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R:\BUS SYS MGR FILES\Financial Manager Spreadsheet Info\"/>
    </mc:Choice>
  </mc:AlternateContent>
  <xr:revisionPtr revIDLastSave="0" documentId="13_ncr:1_{DD9A2A88-26E6-42B4-A650-B883E9F4F306}" xr6:coauthVersionLast="47" xr6:coauthVersionMax="47" xr10:uidLastSave="{00000000-0000-0000-0000-000000000000}"/>
  <bookViews>
    <workbookView xWindow="36765" yWindow="1095" windowWidth="19890" windowHeight="11715" xr2:uid="{00000000-000D-0000-FFFF-FFFF00000000}"/>
  </bookViews>
  <sheets>
    <sheet name="By Fund" sheetId="1" r:id="rId1"/>
    <sheet name="By Financial Manager" sheetId="2" r:id="rId2"/>
    <sheet name="By Budget Contact" sheetId="4" r:id="rId3"/>
    <sheet name="By Accounting Contact" sheetId="3" r:id="rId4"/>
  </sheets>
  <definedNames>
    <definedName name="_xlnm._FilterDatabase" localSheetId="3" hidden="1">'By Accounting Contact'!$A$2:$S$1918</definedName>
    <definedName name="_xlnm._FilterDatabase" localSheetId="1" hidden="1">'By Financial Manager'!$A$2:$S$1889</definedName>
    <definedName name="_xlnm._FilterDatabase" localSheetId="0" hidden="1">'By Fund'!$A$2:$S$1897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08" i="3" l="1"/>
  <c r="G1008" i="3"/>
  <c r="D1008" i="3"/>
  <c r="C1008" i="3"/>
  <c r="B1008" i="3"/>
  <c r="A1008" i="3"/>
  <c r="H1007" i="3"/>
  <c r="G1007" i="3"/>
  <c r="D1007" i="3"/>
  <c r="C1007" i="3"/>
  <c r="B1007" i="3"/>
  <c r="A1007" i="3"/>
  <c r="H1006" i="3"/>
  <c r="G1006" i="3"/>
  <c r="D1006" i="3"/>
  <c r="C1006" i="3"/>
  <c r="B1006" i="3"/>
  <c r="A1006" i="3"/>
  <c r="H1005" i="3"/>
  <c r="G1005" i="3"/>
  <c r="D1005" i="3"/>
  <c r="C1005" i="3"/>
  <c r="B1005" i="3"/>
  <c r="A1005" i="3"/>
  <c r="H1004" i="3"/>
  <c r="G1004" i="3"/>
  <c r="D1004" i="3"/>
  <c r="C1004" i="3"/>
  <c r="B1004" i="3"/>
  <c r="A1004" i="3"/>
  <c r="H1003" i="3"/>
  <c r="G1003" i="3"/>
  <c r="D1003" i="3"/>
  <c r="C1003" i="3"/>
  <c r="B1003" i="3"/>
  <c r="A1003" i="3"/>
  <c r="H1002" i="3"/>
  <c r="G1002" i="3"/>
  <c r="D1002" i="3"/>
  <c r="C1002" i="3"/>
  <c r="B1002" i="3"/>
  <c r="A1002" i="3"/>
  <c r="H1001" i="3"/>
  <c r="G1001" i="3"/>
  <c r="D1001" i="3"/>
  <c r="C1001" i="3"/>
  <c r="B1001" i="3"/>
  <c r="A1001" i="3"/>
  <c r="H1000" i="3"/>
  <c r="G1000" i="3"/>
  <c r="D1000" i="3"/>
  <c r="C1000" i="3"/>
  <c r="B1000" i="3"/>
  <c r="A1000" i="3"/>
  <c r="H999" i="3"/>
  <c r="G999" i="3"/>
  <c r="D999" i="3"/>
  <c r="C999" i="3"/>
  <c r="B999" i="3"/>
  <c r="A999" i="3"/>
  <c r="H998" i="3"/>
  <c r="G998" i="3"/>
  <c r="D998" i="3"/>
  <c r="C998" i="3"/>
  <c r="B998" i="3"/>
  <c r="A998" i="3"/>
  <c r="H997" i="3"/>
  <c r="G997" i="3"/>
  <c r="D997" i="3"/>
  <c r="C997" i="3"/>
  <c r="B997" i="3"/>
  <c r="A997" i="3"/>
  <c r="H996" i="3"/>
  <c r="G996" i="3"/>
  <c r="D996" i="3"/>
  <c r="C996" i="3"/>
  <c r="B996" i="3"/>
  <c r="A996" i="3"/>
  <c r="H995" i="3"/>
  <c r="G995" i="3"/>
  <c r="D995" i="3"/>
  <c r="C995" i="3"/>
  <c r="B995" i="3"/>
  <c r="A995" i="3"/>
  <c r="H994" i="3"/>
  <c r="G994" i="3"/>
  <c r="D994" i="3"/>
  <c r="C994" i="3"/>
  <c r="B994" i="3"/>
  <c r="A994" i="3"/>
  <c r="H993" i="3"/>
  <c r="G993" i="3"/>
  <c r="D993" i="3"/>
  <c r="C993" i="3"/>
  <c r="B993" i="3"/>
  <c r="A993" i="3"/>
  <c r="H992" i="3"/>
  <c r="G992" i="3"/>
  <c r="D992" i="3"/>
  <c r="C992" i="3"/>
  <c r="B992" i="3"/>
  <c r="A992" i="3"/>
  <c r="H991" i="3"/>
  <c r="G991" i="3"/>
  <c r="D991" i="3"/>
  <c r="C991" i="3"/>
  <c r="B991" i="3"/>
  <c r="A991" i="3"/>
  <c r="H990" i="3"/>
  <c r="G990" i="3"/>
  <c r="D990" i="3"/>
  <c r="C990" i="3"/>
  <c r="B990" i="3"/>
  <c r="A990" i="3"/>
  <c r="H989" i="3"/>
  <c r="G989" i="3"/>
  <c r="D989" i="3"/>
  <c r="C989" i="3"/>
  <c r="B989" i="3"/>
  <c r="A989" i="3"/>
  <c r="H988" i="3"/>
  <c r="G988" i="3"/>
  <c r="D988" i="3"/>
  <c r="C988" i="3"/>
  <c r="B988" i="3"/>
  <c r="A988" i="3"/>
  <c r="H987" i="3"/>
  <c r="G987" i="3"/>
  <c r="D987" i="3"/>
  <c r="C987" i="3"/>
  <c r="B987" i="3"/>
  <c r="A987" i="3"/>
  <c r="H986" i="3"/>
  <c r="G986" i="3"/>
  <c r="D986" i="3"/>
  <c r="C986" i="3"/>
  <c r="B986" i="3"/>
  <c r="A986" i="3"/>
  <c r="H985" i="3"/>
  <c r="G985" i="3"/>
  <c r="D985" i="3"/>
  <c r="C985" i="3"/>
  <c r="B985" i="3"/>
  <c r="A985" i="3"/>
  <c r="H984" i="3"/>
  <c r="G984" i="3"/>
  <c r="D984" i="3"/>
  <c r="C984" i="3"/>
  <c r="B984" i="3"/>
  <c r="A984" i="3"/>
  <c r="H983" i="3"/>
  <c r="G983" i="3"/>
  <c r="D983" i="3"/>
  <c r="C983" i="3"/>
  <c r="B983" i="3"/>
  <c r="A983" i="3"/>
  <c r="H982" i="3"/>
  <c r="G982" i="3"/>
  <c r="D982" i="3"/>
  <c r="C982" i="3"/>
  <c r="B982" i="3"/>
  <c r="A982" i="3"/>
  <c r="H981" i="3"/>
  <c r="G981" i="3"/>
  <c r="D981" i="3"/>
  <c r="C981" i="3"/>
  <c r="B981" i="3"/>
  <c r="A981" i="3"/>
  <c r="H980" i="3"/>
  <c r="G980" i="3"/>
  <c r="D980" i="3"/>
  <c r="C980" i="3"/>
  <c r="B980" i="3"/>
  <c r="A980" i="3"/>
  <c r="H979" i="3"/>
  <c r="G979" i="3"/>
  <c r="D979" i="3"/>
  <c r="C979" i="3"/>
  <c r="B979" i="3"/>
  <c r="A979" i="3"/>
  <c r="H978" i="3"/>
  <c r="G978" i="3"/>
  <c r="D978" i="3"/>
  <c r="C978" i="3"/>
  <c r="B978" i="3"/>
  <c r="A978" i="3"/>
  <c r="H977" i="3"/>
  <c r="G977" i="3"/>
  <c r="D977" i="3"/>
  <c r="C977" i="3"/>
  <c r="B977" i="3"/>
  <c r="A977" i="3"/>
  <c r="H976" i="3"/>
  <c r="G976" i="3"/>
  <c r="D976" i="3"/>
  <c r="C976" i="3"/>
  <c r="B976" i="3"/>
  <c r="A976" i="3"/>
  <c r="H975" i="3"/>
  <c r="G975" i="3"/>
  <c r="D975" i="3"/>
  <c r="C975" i="3"/>
  <c r="B975" i="3"/>
  <c r="A975" i="3"/>
  <c r="H974" i="3"/>
  <c r="G974" i="3"/>
  <c r="D974" i="3"/>
  <c r="C974" i="3"/>
  <c r="B974" i="3"/>
  <c r="A974" i="3"/>
  <c r="H973" i="3"/>
  <c r="G973" i="3"/>
  <c r="D973" i="3"/>
  <c r="C973" i="3"/>
  <c r="B973" i="3"/>
  <c r="A973" i="3"/>
  <c r="H972" i="3"/>
  <c r="G972" i="3"/>
  <c r="D972" i="3"/>
  <c r="C972" i="3"/>
  <c r="B972" i="3"/>
  <c r="A972" i="3"/>
  <c r="H971" i="3"/>
  <c r="G971" i="3"/>
  <c r="D971" i="3"/>
  <c r="C971" i="3"/>
  <c r="B971" i="3"/>
  <c r="A971" i="3"/>
  <c r="H970" i="3"/>
  <c r="G970" i="3"/>
  <c r="D970" i="3"/>
  <c r="C970" i="3"/>
  <c r="B970" i="3"/>
  <c r="A970" i="3"/>
  <c r="H969" i="3"/>
  <c r="G969" i="3"/>
  <c r="D969" i="3"/>
  <c r="C969" i="3"/>
  <c r="B969" i="3"/>
  <c r="A969" i="3"/>
  <c r="H968" i="3"/>
  <c r="G968" i="3"/>
  <c r="D968" i="3"/>
  <c r="C968" i="3"/>
  <c r="B968" i="3"/>
  <c r="A968" i="3"/>
  <c r="H967" i="3"/>
  <c r="G967" i="3"/>
  <c r="D967" i="3"/>
  <c r="C967" i="3"/>
  <c r="B967" i="3"/>
  <c r="A967" i="3"/>
  <c r="H966" i="3"/>
  <c r="G966" i="3"/>
  <c r="D966" i="3"/>
  <c r="C966" i="3"/>
  <c r="B966" i="3"/>
  <c r="A966" i="3"/>
  <c r="H965" i="3"/>
  <c r="G965" i="3"/>
  <c r="D965" i="3"/>
  <c r="C965" i="3"/>
  <c r="B965" i="3"/>
  <c r="A965" i="3"/>
  <c r="H964" i="3"/>
  <c r="G964" i="3"/>
  <c r="D964" i="3"/>
  <c r="C964" i="3"/>
  <c r="B964" i="3"/>
  <c r="A964" i="3"/>
  <c r="H963" i="3"/>
  <c r="G963" i="3"/>
  <c r="D963" i="3"/>
  <c r="C963" i="3"/>
  <c r="B963" i="3"/>
  <c r="A963" i="3"/>
  <c r="H962" i="3"/>
  <c r="G962" i="3"/>
  <c r="D962" i="3"/>
  <c r="C962" i="3"/>
  <c r="B962" i="3"/>
  <c r="A962" i="3"/>
  <c r="H961" i="3"/>
  <c r="G961" i="3"/>
  <c r="D961" i="3"/>
  <c r="C961" i="3"/>
  <c r="B961" i="3"/>
  <c r="A961" i="3"/>
  <c r="H960" i="3"/>
  <c r="G960" i="3"/>
  <c r="D960" i="3"/>
  <c r="C960" i="3"/>
  <c r="B960" i="3"/>
  <c r="A960" i="3"/>
  <c r="H959" i="3"/>
  <c r="G959" i="3"/>
  <c r="D959" i="3"/>
  <c r="C959" i="3"/>
  <c r="B959" i="3"/>
  <c r="A959" i="3"/>
  <c r="H958" i="3"/>
  <c r="G958" i="3"/>
  <c r="D958" i="3"/>
  <c r="C958" i="3"/>
  <c r="B958" i="3"/>
  <c r="A958" i="3"/>
  <c r="H957" i="3"/>
  <c r="G957" i="3"/>
  <c r="D957" i="3"/>
  <c r="C957" i="3"/>
  <c r="B957" i="3"/>
  <c r="A957" i="3"/>
  <c r="H956" i="3"/>
  <c r="G956" i="3"/>
  <c r="D956" i="3"/>
  <c r="C956" i="3"/>
  <c r="B956" i="3"/>
  <c r="A956" i="3"/>
  <c r="H955" i="3"/>
  <c r="G955" i="3"/>
  <c r="D955" i="3"/>
  <c r="C955" i="3"/>
  <c r="B955" i="3"/>
  <c r="A955" i="3"/>
  <c r="H954" i="3"/>
  <c r="G954" i="3"/>
  <c r="D954" i="3"/>
  <c r="C954" i="3"/>
  <c r="B954" i="3"/>
  <c r="A954" i="3"/>
  <c r="H953" i="3"/>
  <c r="G953" i="3"/>
  <c r="D953" i="3"/>
  <c r="C953" i="3"/>
  <c r="B953" i="3"/>
  <c r="A953" i="3"/>
  <c r="H952" i="3"/>
  <c r="G952" i="3"/>
  <c r="D952" i="3"/>
  <c r="C952" i="3"/>
  <c r="B952" i="3"/>
  <c r="A952" i="3"/>
  <c r="H951" i="3"/>
  <c r="G951" i="3"/>
  <c r="D951" i="3"/>
  <c r="C951" i="3"/>
  <c r="B951" i="3"/>
  <c r="A951" i="3"/>
  <c r="H950" i="3"/>
  <c r="G950" i="3"/>
  <c r="D950" i="3"/>
  <c r="C950" i="3"/>
  <c r="B950" i="3"/>
  <c r="A950" i="3"/>
  <c r="H949" i="3"/>
  <c r="G949" i="3"/>
  <c r="D949" i="3"/>
  <c r="C949" i="3"/>
  <c r="B949" i="3"/>
  <c r="A949" i="3"/>
  <c r="H948" i="3"/>
  <c r="G948" i="3"/>
  <c r="D948" i="3"/>
  <c r="C948" i="3"/>
  <c r="B948" i="3"/>
  <c r="A948" i="3"/>
  <c r="H947" i="3"/>
  <c r="G947" i="3"/>
  <c r="D947" i="3"/>
  <c r="C947" i="3"/>
  <c r="B947" i="3"/>
  <c r="A947" i="3"/>
  <c r="H946" i="3"/>
  <c r="G946" i="3"/>
  <c r="D946" i="3"/>
  <c r="C946" i="3"/>
  <c r="B946" i="3"/>
  <c r="A946" i="3"/>
  <c r="H945" i="3"/>
  <c r="G945" i="3"/>
  <c r="D945" i="3"/>
  <c r="C945" i="3"/>
  <c r="B945" i="3"/>
  <c r="A945" i="3"/>
  <c r="H944" i="3"/>
  <c r="G944" i="3"/>
  <c r="D944" i="3"/>
  <c r="C944" i="3"/>
  <c r="B944" i="3"/>
  <c r="A944" i="3"/>
  <c r="H943" i="3"/>
  <c r="G943" i="3"/>
  <c r="D943" i="3"/>
  <c r="C943" i="3"/>
  <c r="B943" i="3"/>
  <c r="A943" i="3"/>
  <c r="H942" i="3"/>
  <c r="G942" i="3"/>
  <c r="D942" i="3"/>
  <c r="C942" i="3"/>
  <c r="B942" i="3"/>
  <c r="A942" i="3"/>
  <c r="H941" i="3"/>
  <c r="G941" i="3"/>
  <c r="D941" i="3"/>
  <c r="C941" i="3"/>
  <c r="B941" i="3"/>
  <c r="A941" i="3"/>
  <c r="H940" i="3"/>
  <c r="G940" i="3"/>
  <c r="D940" i="3"/>
  <c r="C940" i="3"/>
  <c r="B940" i="3"/>
  <c r="A940" i="3"/>
  <c r="H939" i="3"/>
  <c r="G939" i="3"/>
  <c r="D939" i="3"/>
  <c r="C939" i="3"/>
  <c r="B939" i="3"/>
  <c r="A939" i="3"/>
  <c r="H938" i="3"/>
  <c r="G938" i="3"/>
  <c r="D938" i="3"/>
  <c r="C938" i="3"/>
  <c r="B938" i="3"/>
  <c r="A938" i="3"/>
  <c r="H937" i="3"/>
  <c r="G937" i="3"/>
  <c r="D937" i="3"/>
  <c r="C937" i="3"/>
  <c r="B937" i="3"/>
  <c r="A937" i="3"/>
  <c r="H936" i="3"/>
  <c r="G936" i="3"/>
  <c r="D936" i="3"/>
  <c r="C936" i="3"/>
  <c r="B936" i="3"/>
  <c r="A936" i="3"/>
  <c r="H935" i="3"/>
  <c r="G935" i="3"/>
  <c r="D935" i="3"/>
  <c r="C935" i="3"/>
  <c r="B935" i="3"/>
  <c r="A935" i="3"/>
  <c r="H934" i="3"/>
  <c r="G934" i="3"/>
  <c r="D934" i="3"/>
  <c r="C934" i="3"/>
  <c r="B934" i="3"/>
  <c r="A934" i="3"/>
  <c r="H933" i="3"/>
  <c r="G933" i="3"/>
  <c r="D933" i="3"/>
  <c r="C933" i="3"/>
  <c r="B933" i="3"/>
  <c r="A933" i="3"/>
  <c r="H932" i="3"/>
  <c r="G932" i="3"/>
  <c r="D932" i="3"/>
  <c r="C932" i="3"/>
  <c r="B932" i="3"/>
  <c r="A932" i="3"/>
  <c r="H931" i="3"/>
  <c r="G931" i="3"/>
  <c r="D931" i="3"/>
  <c r="C931" i="3"/>
  <c r="B931" i="3"/>
  <c r="A931" i="3"/>
  <c r="H930" i="3"/>
  <c r="G930" i="3"/>
  <c r="D930" i="3"/>
  <c r="C930" i="3"/>
  <c r="B930" i="3"/>
  <c r="A930" i="3"/>
  <c r="H929" i="3"/>
  <c r="G929" i="3"/>
  <c r="D929" i="3"/>
  <c r="C929" i="3"/>
  <c r="B929" i="3"/>
  <c r="A929" i="3"/>
  <c r="H928" i="3"/>
  <c r="G928" i="3"/>
  <c r="D928" i="3"/>
  <c r="C928" i="3"/>
  <c r="B928" i="3"/>
  <c r="A928" i="3"/>
  <c r="H927" i="3"/>
  <c r="G927" i="3"/>
  <c r="D927" i="3"/>
  <c r="C927" i="3"/>
  <c r="B927" i="3"/>
  <c r="A927" i="3"/>
  <c r="H926" i="3"/>
  <c r="G926" i="3"/>
  <c r="D926" i="3"/>
  <c r="C926" i="3"/>
  <c r="B926" i="3"/>
  <c r="A926" i="3"/>
  <c r="H925" i="3"/>
  <c r="G925" i="3"/>
  <c r="D925" i="3"/>
  <c r="C925" i="3"/>
  <c r="B925" i="3"/>
  <c r="A925" i="3"/>
  <c r="H924" i="3"/>
  <c r="G924" i="3"/>
  <c r="D924" i="3"/>
  <c r="C924" i="3"/>
  <c r="B924" i="3"/>
  <c r="A924" i="3"/>
  <c r="H923" i="3"/>
  <c r="G923" i="3"/>
  <c r="D923" i="3"/>
  <c r="C923" i="3"/>
  <c r="B923" i="3"/>
  <c r="A923" i="3"/>
  <c r="H922" i="3"/>
  <c r="G922" i="3"/>
  <c r="D922" i="3"/>
  <c r="C922" i="3"/>
  <c r="B922" i="3"/>
  <c r="A922" i="3"/>
  <c r="H921" i="3"/>
  <c r="G921" i="3"/>
  <c r="D921" i="3"/>
  <c r="C921" i="3"/>
  <c r="B921" i="3"/>
  <c r="A921" i="3"/>
  <c r="H920" i="3"/>
  <c r="G920" i="3"/>
  <c r="D920" i="3"/>
  <c r="C920" i="3"/>
  <c r="B920" i="3"/>
  <c r="A920" i="3"/>
  <c r="H919" i="3"/>
  <c r="G919" i="3"/>
  <c r="D919" i="3"/>
  <c r="C919" i="3"/>
  <c r="B919" i="3"/>
  <c r="A919" i="3"/>
  <c r="H918" i="3"/>
  <c r="G918" i="3"/>
  <c r="D918" i="3"/>
  <c r="C918" i="3"/>
  <c r="B918" i="3"/>
  <c r="A918" i="3"/>
  <c r="H917" i="3"/>
  <c r="G917" i="3"/>
  <c r="D917" i="3"/>
  <c r="C917" i="3"/>
  <c r="B917" i="3"/>
  <c r="A917" i="3"/>
  <c r="H916" i="3"/>
  <c r="G916" i="3"/>
  <c r="D916" i="3"/>
  <c r="C916" i="3"/>
  <c r="B916" i="3"/>
  <c r="A916" i="3"/>
  <c r="H915" i="3"/>
  <c r="G915" i="3"/>
  <c r="D915" i="3"/>
  <c r="C915" i="3"/>
  <c r="B915" i="3"/>
  <c r="A915" i="3"/>
  <c r="H914" i="3"/>
  <c r="G914" i="3"/>
  <c r="D914" i="3"/>
  <c r="C914" i="3"/>
  <c r="B914" i="3"/>
  <c r="A914" i="3"/>
  <c r="H913" i="3"/>
  <c r="G913" i="3"/>
  <c r="D913" i="3"/>
  <c r="C913" i="3"/>
  <c r="B913" i="3"/>
  <c r="A913" i="3"/>
  <c r="H912" i="3"/>
  <c r="G912" i="3"/>
  <c r="D912" i="3"/>
  <c r="C912" i="3"/>
  <c r="B912" i="3"/>
  <c r="A912" i="3"/>
  <c r="H911" i="3"/>
  <c r="G911" i="3"/>
  <c r="D911" i="3"/>
  <c r="C911" i="3"/>
  <c r="B911" i="3"/>
  <c r="A911" i="3"/>
  <c r="H910" i="3"/>
  <c r="G910" i="3"/>
  <c r="D910" i="3"/>
  <c r="C910" i="3"/>
  <c r="B910" i="3"/>
  <c r="A910" i="3"/>
  <c r="H909" i="3"/>
  <c r="G909" i="3"/>
  <c r="D909" i="3"/>
  <c r="C909" i="3"/>
  <c r="B909" i="3"/>
  <c r="A909" i="3"/>
  <c r="H908" i="3"/>
  <c r="G908" i="3"/>
  <c r="D908" i="3"/>
  <c r="C908" i="3"/>
  <c r="B908" i="3"/>
  <c r="A908" i="3"/>
  <c r="H907" i="3"/>
  <c r="G907" i="3"/>
  <c r="D907" i="3"/>
  <c r="C907" i="3"/>
  <c r="B907" i="3"/>
  <c r="A907" i="3"/>
  <c r="H906" i="3"/>
  <c r="G906" i="3"/>
  <c r="D906" i="3"/>
  <c r="C906" i="3"/>
  <c r="B906" i="3"/>
  <c r="A906" i="3"/>
  <c r="H905" i="3"/>
  <c r="G905" i="3"/>
  <c r="D905" i="3"/>
  <c r="C905" i="3"/>
  <c r="B905" i="3"/>
  <c r="A905" i="3"/>
  <c r="H904" i="3"/>
  <c r="G904" i="3"/>
  <c r="D904" i="3"/>
  <c r="C904" i="3"/>
  <c r="B904" i="3"/>
  <c r="A904" i="3"/>
  <c r="H903" i="3"/>
  <c r="G903" i="3"/>
  <c r="D903" i="3"/>
  <c r="C903" i="3"/>
  <c r="B903" i="3"/>
  <c r="A903" i="3"/>
  <c r="H902" i="3"/>
  <c r="G902" i="3"/>
  <c r="D902" i="3"/>
  <c r="C902" i="3"/>
  <c r="B902" i="3"/>
  <c r="A902" i="3"/>
  <c r="H901" i="3"/>
  <c r="G901" i="3"/>
  <c r="D901" i="3"/>
  <c r="C901" i="3"/>
  <c r="B901" i="3"/>
  <c r="A901" i="3"/>
  <c r="H900" i="3"/>
  <c r="G900" i="3"/>
  <c r="D900" i="3"/>
  <c r="C900" i="3"/>
  <c r="B900" i="3"/>
  <c r="A900" i="3"/>
  <c r="H899" i="3"/>
  <c r="G899" i="3"/>
  <c r="D899" i="3"/>
  <c r="C899" i="3"/>
  <c r="B899" i="3"/>
  <c r="A899" i="3"/>
  <c r="H898" i="3"/>
  <c r="G898" i="3"/>
  <c r="D898" i="3"/>
  <c r="C898" i="3"/>
  <c r="B898" i="3"/>
  <c r="A898" i="3"/>
  <c r="H897" i="3"/>
  <c r="G897" i="3"/>
  <c r="D897" i="3"/>
  <c r="C897" i="3"/>
  <c r="B897" i="3"/>
  <c r="A897" i="3"/>
  <c r="H896" i="3"/>
  <c r="G896" i="3"/>
  <c r="D896" i="3"/>
  <c r="C896" i="3"/>
  <c r="B896" i="3"/>
  <c r="A896" i="3"/>
  <c r="H895" i="3"/>
  <c r="G895" i="3"/>
  <c r="D895" i="3"/>
  <c r="C895" i="3"/>
  <c r="B895" i="3"/>
  <c r="A895" i="3"/>
  <c r="H894" i="3"/>
  <c r="G894" i="3"/>
  <c r="D894" i="3"/>
  <c r="C894" i="3"/>
  <c r="B894" i="3"/>
  <c r="A894" i="3"/>
  <c r="H893" i="3"/>
  <c r="G893" i="3"/>
  <c r="D893" i="3"/>
  <c r="C893" i="3"/>
  <c r="B893" i="3"/>
  <c r="A893" i="3"/>
  <c r="H892" i="3"/>
  <c r="G892" i="3"/>
  <c r="D892" i="3"/>
  <c r="C892" i="3"/>
  <c r="B892" i="3"/>
  <c r="A892" i="3"/>
  <c r="H891" i="3"/>
  <c r="G891" i="3"/>
  <c r="D891" i="3"/>
  <c r="C891" i="3"/>
  <c r="B891" i="3"/>
  <c r="A891" i="3"/>
  <c r="H890" i="3"/>
  <c r="G890" i="3"/>
  <c r="D890" i="3"/>
  <c r="C890" i="3"/>
  <c r="B890" i="3"/>
  <c r="A890" i="3"/>
  <c r="H889" i="3"/>
  <c r="G889" i="3"/>
  <c r="D889" i="3"/>
  <c r="C889" i="3"/>
  <c r="B889" i="3"/>
  <c r="A889" i="3"/>
  <c r="H888" i="3"/>
  <c r="G888" i="3"/>
  <c r="D888" i="3"/>
  <c r="C888" i="3"/>
  <c r="B888" i="3"/>
  <c r="A888" i="3"/>
  <c r="H887" i="3"/>
  <c r="G887" i="3"/>
  <c r="D887" i="3"/>
  <c r="C887" i="3"/>
  <c r="B887" i="3"/>
  <c r="A887" i="3"/>
  <c r="H886" i="3"/>
  <c r="G886" i="3"/>
  <c r="D886" i="3"/>
  <c r="C886" i="3"/>
  <c r="B886" i="3"/>
  <c r="A886" i="3"/>
  <c r="H885" i="3"/>
  <c r="G885" i="3"/>
  <c r="D885" i="3"/>
  <c r="C885" i="3"/>
  <c r="B885" i="3"/>
  <c r="A885" i="3"/>
  <c r="H884" i="3"/>
  <c r="G884" i="3"/>
  <c r="D884" i="3"/>
  <c r="C884" i="3"/>
  <c r="B884" i="3"/>
  <c r="A884" i="3"/>
  <c r="H883" i="3"/>
  <c r="G883" i="3"/>
  <c r="D883" i="3"/>
  <c r="C883" i="3"/>
  <c r="B883" i="3"/>
  <c r="A883" i="3"/>
  <c r="H882" i="3"/>
  <c r="G882" i="3"/>
  <c r="D882" i="3"/>
  <c r="C882" i="3"/>
  <c r="B882" i="3"/>
  <c r="A882" i="3"/>
  <c r="H881" i="3"/>
  <c r="G881" i="3"/>
  <c r="D881" i="3"/>
  <c r="C881" i="3"/>
  <c r="B881" i="3"/>
  <c r="A881" i="3"/>
  <c r="H880" i="3"/>
  <c r="G880" i="3"/>
  <c r="D880" i="3"/>
  <c r="C880" i="3"/>
  <c r="B880" i="3"/>
  <c r="A880" i="3"/>
  <c r="H879" i="3"/>
  <c r="G879" i="3"/>
  <c r="D879" i="3"/>
  <c r="C879" i="3"/>
  <c r="B879" i="3"/>
  <c r="A879" i="3"/>
  <c r="H878" i="3"/>
  <c r="G878" i="3"/>
  <c r="D878" i="3"/>
  <c r="C878" i="3"/>
  <c r="B878" i="3"/>
  <c r="A878" i="3"/>
  <c r="H877" i="3"/>
  <c r="G877" i="3"/>
  <c r="D877" i="3"/>
  <c r="C877" i="3"/>
  <c r="B877" i="3"/>
  <c r="A877" i="3"/>
  <c r="H876" i="3"/>
  <c r="G876" i="3"/>
  <c r="D876" i="3"/>
  <c r="C876" i="3"/>
  <c r="B876" i="3"/>
  <c r="A876" i="3"/>
  <c r="H1469" i="3"/>
  <c r="G1469" i="3"/>
  <c r="D1469" i="3"/>
  <c r="C1469" i="3"/>
  <c r="B1469" i="3"/>
  <c r="A1469" i="3"/>
  <c r="H1862" i="3"/>
  <c r="G1862" i="3"/>
  <c r="D1862" i="3"/>
  <c r="C1862" i="3"/>
  <c r="B1862" i="3"/>
  <c r="A1862" i="3"/>
  <c r="H1861" i="3"/>
  <c r="G1861" i="3"/>
  <c r="D1861" i="3"/>
  <c r="C1861" i="3"/>
  <c r="B1861" i="3"/>
  <c r="A1861" i="3"/>
  <c r="H1468" i="3"/>
  <c r="G1468" i="3"/>
  <c r="D1468" i="3"/>
  <c r="C1468" i="3"/>
  <c r="B1468" i="3"/>
  <c r="A1468" i="3"/>
  <c r="H1467" i="3"/>
  <c r="G1467" i="3"/>
  <c r="D1467" i="3"/>
  <c r="C1467" i="3"/>
  <c r="B1467" i="3"/>
  <c r="A1467" i="3"/>
  <c r="H1466" i="3"/>
  <c r="G1466" i="3"/>
  <c r="D1466" i="3"/>
  <c r="C1466" i="3"/>
  <c r="B1466" i="3"/>
  <c r="A1466" i="3"/>
  <c r="H1465" i="3"/>
  <c r="G1465" i="3"/>
  <c r="D1465" i="3"/>
  <c r="C1465" i="3"/>
  <c r="B1465" i="3"/>
  <c r="A1465" i="3"/>
  <c r="H1464" i="3"/>
  <c r="G1464" i="3"/>
  <c r="D1464" i="3"/>
  <c r="C1464" i="3"/>
  <c r="B1464" i="3"/>
  <c r="A1464" i="3"/>
  <c r="H1860" i="3"/>
  <c r="G1860" i="3"/>
  <c r="D1860" i="3"/>
  <c r="C1860" i="3"/>
  <c r="B1860" i="3"/>
  <c r="A1860" i="3"/>
  <c r="H1859" i="3"/>
  <c r="G1859" i="3"/>
  <c r="D1859" i="3"/>
  <c r="C1859" i="3"/>
  <c r="B1859" i="3"/>
  <c r="A1859" i="3"/>
  <c r="H1858" i="3"/>
  <c r="G1858" i="3"/>
  <c r="D1858" i="3"/>
  <c r="C1858" i="3"/>
  <c r="B1858" i="3"/>
  <c r="A1858" i="3"/>
  <c r="H1463" i="3"/>
  <c r="G1463" i="3"/>
  <c r="D1463" i="3"/>
  <c r="C1463" i="3"/>
  <c r="B1463" i="3"/>
  <c r="A1463" i="3"/>
  <c r="H1857" i="3"/>
  <c r="G1857" i="3"/>
  <c r="D1857" i="3"/>
  <c r="C1857" i="3"/>
  <c r="B1857" i="3"/>
  <c r="A1857" i="3"/>
  <c r="H1856" i="3"/>
  <c r="G1856" i="3"/>
  <c r="D1856" i="3"/>
  <c r="C1856" i="3"/>
  <c r="B1856" i="3"/>
  <c r="A1856" i="3"/>
  <c r="H1462" i="3"/>
  <c r="G1462" i="3"/>
  <c r="D1462" i="3"/>
  <c r="C1462" i="3"/>
  <c r="B1462" i="3"/>
  <c r="A1462" i="3"/>
  <c r="H1461" i="3"/>
  <c r="G1461" i="3"/>
  <c r="D1461" i="3"/>
  <c r="C1461" i="3"/>
  <c r="B1461" i="3"/>
  <c r="A1461" i="3"/>
  <c r="H1460" i="3"/>
  <c r="G1460" i="3"/>
  <c r="D1460" i="3"/>
  <c r="C1460" i="3"/>
  <c r="B1460" i="3"/>
  <c r="A1460" i="3"/>
  <c r="H1855" i="3"/>
  <c r="G1855" i="3"/>
  <c r="D1855" i="3"/>
  <c r="C1855" i="3"/>
  <c r="B1855" i="3"/>
  <c r="A1855" i="3"/>
  <c r="H1854" i="3"/>
  <c r="G1854" i="3"/>
  <c r="D1854" i="3"/>
  <c r="C1854" i="3"/>
  <c r="B1854" i="3"/>
  <c r="A1854" i="3"/>
  <c r="H1459" i="3"/>
  <c r="G1459" i="3"/>
  <c r="D1459" i="3"/>
  <c r="C1459" i="3"/>
  <c r="B1459" i="3"/>
  <c r="A1459" i="3"/>
  <c r="H1458" i="3"/>
  <c r="G1458" i="3"/>
  <c r="D1458" i="3"/>
  <c r="C1458" i="3"/>
  <c r="B1458" i="3"/>
  <c r="A1458" i="3"/>
  <c r="H1457" i="3"/>
  <c r="G1457" i="3"/>
  <c r="D1457" i="3"/>
  <c r="C1457" i="3"/>
  <c r="B1457" i="3"/>
  <c r="A1457" i="3"/>
  <c r="H1456" i="3"/>
  <c r="G1456" i="3"/>
  <c r="D1456" i="3"/>
  <c r="C1456" i="3"/>
  <c r="B1456" i="3"/>
  <c r="A1456" i="3"/>
  <c r="H1455" i="3"/>
  <c r="G1455" i="3"/>
  <c r="D1455" i="3"/>
  <c r="C1455" i="3"/>
  <c r="B1455" i="3"/>
  <c r="A1455" i="3"/>
  <c r="H1454" i="3"/>
  <c r="G1454" i="3"/>
  <c r="D1454" i="3"/>
  <c r="C1454" i="3"/>
  <c r="B1454" i="3"/>
  <c r="A1454" i="3"/>
  <c r="H1453" i="3"/>
  <c r="G1453" i="3"/>
  <c r="D1453" i="3"/>
  <c r="C1453" i="3"/>
  <c r="B1453" i="3"/>
  <c r="A1453" i="3"/>
  <c r="H1452" i="3"/>
  <c r="G1452" i="3"/>
  <c r="D1452" i="3"/>
  <c r="C1452" i="3"/>
  <c r="B1452" i="3"/>
  <c r="A1452" i="3"/>
  <c r="H1451" i="3"/>
  <c r="G1451" i="3"/>
  <c r="D1451" i="3"/>
  <c r="C1451" i="3"/>
  <c r="B1451" i="3"/>
  <c r="A1451" i="3"/>
  <c r="H1450" i="3"/>
  <c r="G1450" i="3"/>
  <c r="D1450" i="3"/>
  <c r="C1450" i="3"/>
  <c r="B1450" i="3"/>
  <c r="A1450" i="3"/>
  <c r="H1449" i="3"/>
  <c r="G1449" i="3"/>
  <c r="D1449" i="3"/>
  <c r="C1449" i="3"/>
  <c r="B1449" i="3"/>
  <c r="A1449" i="3"/>
  <c r="H1448" i="3"/>
  <c r="G1448" i="3"/>
  <c r="D1448" i="3"/>
  <c r="C1448" i="3"/>
  <c r="B1448" i="3"/>
  <c r="A1448" i="3"/>
  <c r="H1447" i="3"/>
  <c r="G1447" i="3"/>
  <c r="D1447" i="3"/>
  <c r="C1447" i="3"/>
  <c r="B1447" i="3"/>
  <c r="A1447" i="3"/>
  <c r="H1446" i="3"/>
  <c r="G1446" i="3"/>
  <c r="D1446" i="3"/>
  <c r="C1446" i="3"/>
  <c r="B1446" i="3"/>
  <c r="A1446" i="3"/>
  <c r="H1445" i="3"/>
  <c r="G1445" i="3"/>
  <c r="D1445" i="3"/>
  <c r="C1445" i="3"/>
  <c r="B1445" i="3"/>
  <c r="A1445" i="3"/>
  <c r="H1444" i="3"/>
  <c r="G1444" i="3"/>
  <c r="D1444" i="3"/>
  <c r="C1444" i="3"/>
  <c r="B1444" i="3"/>
  <c r="A1444" i="3"/>
  <c r="H1443" i="3"/>
  <c r="G1443" i="3"/>
  <c r="D1443" i="3"/>
  <c r="C1443" i="3"/>
  <c r="B1443" i="3"/>
  <c r="A1443" i="3"/>
  <c r="H1442" i="3"/>
  <c r="G1442" i="3"/>
  <c r="D1442" i="3"/>
  <c r="C1442" i="3"/>
  <c r="B1442" i="3"/>
  <c r="A1442" i="3"/>
  <c r="H1441" i="3"/>
  <c r="G1441" i="3"/>
  <c r="D1441" i="3"/>
  <c r="C1441" i="3"/>
  <c r="B1441" i="3"/>
  <c r="A1441" i="3"/>
  <c r="H1440" i="3"/>
  <c r="G1440" i="3"/>
  <c r="D1440" i="3"/>
  <c r="C1440" i="3"/>
  <c r="B1440" i="3"/>
  <c r="A1440" i="3"/>
  <c r="H1439" i="3"/>
  <c r="G1439" i="3"/>
  <c r="D1439" i="3"/>
  <c r="C1439" i="3"/>
  <c r="B1439" i="3"/>
  <c r="A1439" i="3"/>
  <c r="H1438" i="3"/>
  <c r="G1438" i="3"/>
  <c r="D1438" i="3"/>
  <c r="C1438" i="3"/>
  <c r="B1438" i="3"/>
  <c r="A1438" i="3"/>
  <c r="H1437" i="3"/>
  <c r="G1437" i="3"/>
  <c r="D1437" i="3"/>
  <c r="C1437" i="3"/>
  <c r="B1437" i="3"/>
  <c r="A1437" i="3"/>
  <c r="H1436" i="3"/>
  <c r="G1436" i="3"/>
  <c r="D1436" i="3"/>
  <c r="C1436" i="3"/>
  <c r="B1436" i="3"/>
  <c r="A1436" i="3"/>
  <c r="H1435" i="3"/>
  <c r="G1435" i="3"/>
  <c r="D1435" i="3"/>
  <c r="C1435" i="3"/>
  <c r="B1435" i="3"/>
  <c r="A1435" i="3"/>
  <c r="H1434" i="3"/>
  <c r="G1434" i="3"/>
  <c r="D1434" i="3"/>
  <c r="C1434" i="3"/>
  <c r="B1434" i="3"/>
  <c r="A1434" i="3"/>
  <c r="H1433" i="3"/>
  <c r="G1433" i="3"/>
  <c r="D1433" i="3"/>
  <c r="C1433" i="3"/>
  <c r="B1433" i="3"/>
  <c r="A1433" i="3"/>
  <c r="H1432" i="3"/>
  <c r="G1432" i="3"/>
  <c r="D1432" i="3"/>
  <c r="C1432" i="3"/>
  <c r="B1432" i="3"/>
  <c r="A1432" i="3"/>
  <c r="H1431" i="3"/>
  <c r="G1431" i="3"/>
  <c r="D1431" i="3"/>
  <c r="C1431" i="3"/>
  <c r="B1431" i="3"/>
  <c r="A1431" i="3"/>
  <c r="H1430" i="3"/>
  <c r="G1430" i="3"/>
  <c r="D1430" i="3"/>
  <c r="C1430" i="3"/>
  <c r="B1430" i="3"/>
  <c r="A1430" i="3"/>
  <c r="H1429" i="3"/>
  <c r="G1429" i="3"/>
  <c r="D1429" i="3"/>
  <c r="C1429" i="3"/>
  <c r="B1429" i="3"/>
  <c r="A1429" i="3"/>
  <c r="H1428" i="3"/>
  <c r="G1428" i="3"/>
  <c r="D1428" i="3"/>
  <c r="C1428" i="3"/>
  <c r="B1428" i="3"/>
  <c r="A1428" i="3"/>
  <c r="H1427" i="3"/>
  <c r="G1427" i="3"/>
  <c r="D1427" i="3"/>
  <c r="C1427" i="3"/>
  <c r="B1427" i="3"/>
  <c r="A1427" i="3"/>
  <c r="H1426" i="3"/>
  <c r="G1426" i="3"/>
  <c r="D1426" i="3"/>
  <c r="C1426" i="3"/>
  <c r="B1426" i="3"/>
  <c r="A1426" i="3"/>
  <c r="H1425" i="3"/>
  <c r="G1425" i="3"/>
  <c r="D1425" i="3"/>
  <c r="C1425" i="3"/>
  <c r="B1425" i="3"/>
  <c r="A1425" i="3"/>
  <c r="H1424" i="3"/>
  <c r="G1424" i="3"/>
  <c r="D1424" i="3"/>
  <c r="C1424" i="3"/>
  <c r="B1424" i="3"/>
  <c r="A1424" i="3"/>
  <c r="H1423" i="3"/>
  <c r="G1423" i="3"/>
  <c r="D1423" i="3"/>
  <c r="C1423" i="3"/>
  <c r="B1423" i="3"/>
  <c r="A1423" i="3"/>
  <c r="H1422" i="3"/>
  <c r="G1422" i="3"/>
  <c r="D1422" i="3"/>
  <c r="C1422" i="3"/>
  <c r="B1422" i="3"/>
  <c r="A1422" i="3"/>
  <c r="H1421" i="3"/>
  <c r="G1421" i="3"/>
  <c r="D1421" i="3"/>
  <c r="C1421" i="3"/>
  <c r="B1421" i="3"/>
  <c r="A1421" i="3"/>
  <c r="H1420" i="3"/>
  <c r="G1420" i="3"/>
  <c r="D1420" i="3"/>
  <c r="C1420" i="3"/>
  <c r="B1420" i="3"/>
  <c r="A1420" i="3"/>
  <c r="H1419" i="3"/>
  <c r="G1419" i="3"/>
  <c r="D1419" i="3"/>
  <c r="C1419" i="3"/>
  <c r="B1419" i="3"/>
  <c r="A1419" i="3"/>
  <c r="H1418" i="3"/>
  <c r="G1418" i="3"/>
  <c r="D1418" i="3"/>
  <c r="C1418" i="3"/>
  <c r="B1418" i="3"/>
  <c r="A1418" i="3"/>
  <c r="H1417" i="3"/>
  <c r="G1417" i="3"/>
  <c r="D1417" i="3"/>
  <c r="C1417" i="3"/>
  <c r="B1417" i="3"/>
  <c r="A1417" i="3"/>
  <c r="H1416" i="3"/>
  <c r="G1416" i="3"/>
  <c r="D1416" i="3"/>
  <c r="C1416" i="3"/>
  <c r="B1416" i="3"/>
  <c r="A1416" i="3"/>
  <c r="H1415" i="3"/>
  <c r="G1415" i="3"/>
  <c r="D1415" i="3"/>
  <c r="C1415" i="3"/>
  <c r="B1415" i="3"/>
  <c r="A1415" i="3"/>
  <c r="H1414" i="3"/>
  <c r="G1414" i="3"/>
  <c r="D1414" i="3"/>
  <c r="C1414" i="3"/>
  <c r="B1414" i="3"/>
  <c r="A1414" i="3"/>
  <c r="H1413" i="3"/>
  <c r="G1413" i="3"/>
  <c r="D1413" i="3"/>
  <c r="C1413" i="3"/>
  <c r="B1413" i="3"/>
  <c r="A1413" i="3"/>
  <c r="H1412" i="3"/>
  <c r="G1412" i="3"/>
  <c r="D1412" i="3"/>
  <c r="C1412" i="3"/>
  <c r="B1412" i="3"/>
  <c r="A1412" i="3"/>
  <c r="H1411" i="3"/>
  <c r="G1411" i="3"/>
  <c r="D1411" i="3"/>
  <c r="C1411" i="3"/>
  <c r="B1411" i="3"/>
  <c r="A1411" i="3"/>
  <c r="H1410" i="3"/>
  <c r="G1410" i="3"/>
  <c r="D1410" i="3"/>
  <c r="C1410" i="3"/>
  <c r="B1410" i="3"/>
  <c r="A1410" i="3"/>
  <c r="H1409" i="3"/>
  <c r="G1409" i="3"/>
  <c r="D1409" i="3"/>
  <c r="C1409" i="3"/>
  <c r="B1409" i="3"/>
  <c r="A1409" i="3"/>
  <c r="H1408" i="3"/>
  <c r="G1408" i="3"/>
  <c r="D1408" i="3"/>
  <c r="C1408" i="3"/>
  <c r="B1408" i="3"/>
  <c r="A1408" i="3"/>
  <c r="H1407" i="3"/>
  <c r="G1407" i="3"/>
  <c r="D1407" i="3"/>
  <c r="C1407" i="3"/>
  <c r="B1407" i="3"/>
  <c r="A1407" i="3"/>
  <c r="H1406" i="3"/>
  <c r="G1406" i="3"/>
  <c r="D1406" i="3"/>
  <c r="C1406" i="3"/>
  <c r="B1406" i="3"/>
  <c r="A1406" i="3"/>
  <c r="H1405" i="3"/>
  <c r="G1405" i="3"/>
  <c r="D1405" i="3"/>
  <c r="C1405" i="3"/>
  <c r="B1405" i="3"/>
  <c r="A1405" i="3"/>
  <c r="H1404" i="3"/>
  <c r="G1404" i="3"/>
  <c r="D1404" i="3"/>
  <c r="C1404" i="3"/>
  <c r="B1404" i="3"/>
  <c r="A1404" i="3"/>
  <c r="H1403" i="3"/>
  <c r="G1403" i="3"/>
  <c r="D1403" i="3"/>
  <c r="C1403" i="3"/>
  <c r="B1403" i="3"/>
  <c r="A1403" i="3"/>
  <c r="H1402" i="3"/>
  <c r="G1402" i="3"/>
  <c r="D1402" i="3"/>
  <c r="C1402" i="3"/>
  <c r="B1402" i="3"/>
  <c r="A1402" i="3"/>
  <c r="H1401" i="3"/>
  <c r="G1401" i="3"/>
  <c r="D1401" i="3"/>
  <c r="C1401" i="3"/>
  <c r="B1401" i="3"/>
  <c r="A1401" i="3"/>
  <c r="H1400" i="3"/>
  <c r="G1400" i="3"/>
  <c r="D1400" i="3"/>
  <c r="C1400" i="3"/>
  <c r="B1400" i="3"/>
  <c r="A1400" i="3"/>
  <c r="H1399" i="3"/>
  <c r="G1399" i="3"/>
  <c r="D1399" i="3"/>
  <c r="C1399" i="3"/>
  <c r="B1399" i="3"/>
  <c r="A1399" i="3"/>
  <c r="H1398" i="3"/>
  <c r="G1398" i="3"/>
  <c r="D1398" i="3"/>
  <c r="C1398" i="3"/>
  <c r="B1398" i="3"/>
  <c r="A1398" i="3"/>
  <c r="H1397" i="3"/>
  <c r="G1397" i="3"/>
  <c r="D1397" i="3"/>
  <c r="C1397" i="3"/>
  <c r="B1397" i="3"/>
  <c r="A1397" i="3"/>
  <c r="H1396" i="3"/>
  <c r="G1396" i="3"/>
  <c r="D1396" i="3"/>
  <c r="C1396" i="3"/>
  <c r="B1396" i="3"/>
  <c r="A1396" i="3"/>
  <c r="H1395" i="3"/>
  <c r="G1395" i="3"/>
  <c r="D1395" i="3"/>
  <c r="C1395" i="3"/>
  <c r="B1395" i="3"/>
  <c r="A1395" i="3"/>
  <c r="H1394" i="3"/>
  <c r="G1394" i="3"/>
  <c r="D1394" i="3"/>
  <c r="C1394" i="3"/>
  <c r="B1394" i="3"/>
  <c r="A1394" i="3"/>
  <c r="H1393" i="3"/>
  <c r="G1393" i="3"/>
  <c r="D1393" i="3"/>
  <c r="C1393" i="3"/>
  <c r="B1393" i="3"/>
  <c r="A1393" i="3"/>
  <c r="H1392" i="3"/>
  <c r="G1392" i="3"/>
  <c r="D1392" i="3"/>
  <c r="C1392" i="3"/>
  <c r="B1392" i="3"/>
  <c r="A1392" i="3"/>
  <c r="H1391" i="3"/>
  <c r="G1391" i="3"/>
  <c r="D1391" i="3"/>
  <c r="C1391" i="3"/>
  <c r="B1391" i="3"/>
  <c r="A1391" i="3"/>
  <c r="H1390" i="3"/>
  <c r="G1390" i="3"/>
  <c r="D1390" i="3"/>
  <c r="C1390" i="3"/>
  <c r="B1390" i="3"/>
  <c r="A1390" i="3"/>
  <c r="H1389" i="3"/>
  <c r="G1389" i="3"/>
  <c r="D1389" i="3"/>
  <c r="C1389" i="3"/>
  <c r="B1389" i="3"/>
  <c r="A1389" i="3"/>
  <c r="H1388" i="3"/>
  <c r="G1388" i="3"/>
  <c r="D1388" i="3"/>
  <c r="C1388" i="3"/>
  <c r="B1388" i="3"/>
  <c r="A1388" i="3"/>
  <c r="H1387" i="3"/>
  <c r="G1387" i="3"/>
  <c r="D1387" i="3"/>
  <c r="C1387" i="3"/>
  <c r="B1387" i="3"/>
  <c r="A1387" i="3"/>
  <c r="H1386" i="3"/>
  <c r="G1386" i="3"/>
  <c r="D1386" i="3"/>
  <c r="C1386" i="3"/>
  <c r="B1386" i="3"/>
  <c r="A1386" i="3"/>
  <c r="H1385" i="3"/>
  <c r="G1385" i="3"/>
  <c r="D1385" i="3"/>
  <c r="C1385" i="3"/>
  <c r="B1385" i="3"/>
  <c r="A1385" i="3"/>
  <c r="H1384" i="3"/>
  <c r="G1384" i="3"/>
  <c r="D1384" i="3"/>
  <c r="C1384" i="3"/>
  <c r="B1384" i="3"/>
  <c r="A1384" i="3"/>
  <c r="H1383" i="3"/>
  <c r="G1383" i="3"/>
  <c r="D1383" i="3"/>
  <c r="C1383" i="3"/>
  <c r="B1383" i="3"/>
  <c r="A1383" i="3"/>
  <c r="H1382" i="3"/>
  <c r="G1382" i="3"/>
  <c r="D1382" i="3"/>
  <c r="C1382" i="3"/>
  <c r="B1382" i="3"/>
  <c r="A1382" i="3"/>
  <c r="H1381" i="3"/>
  <c r="G1381" i="3"/>
  <c r="D1381" i="3"/>
  <c r="C1381" i="3"/>
  <c r="B1381" i="3"/>
  <c r="A1381" i="3"/>
  <c r="H1380" i="3"/>
  <c r="G1380" i="3"/>
  <c r="D1380" i="3"/>
  <c r="C1380" i="3"/>
  <c r="B1380" i="3"/>
  <c r="A1380" i="3"/>
  <c r="H1379" i="3"/>
  <c r="G1379" i="3"/>
  <c r="D1379" i="3"/>
  <c r="C1379" i="3"/>
  <c r="B1379" i="3"/>
  <c r="A1379" i="3"/>
  <c r="H1378" i="3"/>
  <c r="G1378" i="3"/>
  <c r="D1378" i="3"/>
  <c r="C1378" i="3"/>
  <c r="B1378" i="3"/>
  <c r="A1378" i="3"/>
  <c r="H1377" i="3"/>
  <c r="G1377" i="3"/>
  <c r="D1377" i="3"/>
  <c r="C1377" i="3"/>
  <c r="B1377" i="3"/>
  <c r="A1377" i="3"/>
  <c r="H1376" i="3"/>
  <c r="G1376" i="3"/>
  <c r="D1376" i="3"/>
  <c r="C1376" i="3"/>
  <c r="B1376" i="3"/>
  <c r="A1376" i="3"/>
  <c r="H1375" i="3"/>
  <c r="G1375" i="3"/>
  <c r="D1375" i="3"/>
  <c r="C1375" i="3"/>
  <c r="B1375" i="3"/>
  <c r="A1375" i="3"/>
  <c r="H1374" i="3"/>
  <c r="G1374" i="3"/>
  <c r="D1374" i="3"/>
  <c r="C1374" i="3"/>
  <c r="B1374" i="3"/>
  <c r="A1374" i="3"/>
  <c r="H1373" i="3"/>
  <c r="G1373" i="3"/>
  <c r="D1373" i="3"/>
  <c r="C1373" i="3"/>
  <c r="B1373" i="3"/>
  <c r="A1373" i="3"/>
  <c r="H1372" i="3"/>
  <c r="G1372" i="3"/>
  <c r="D1372" i="3"/>
  <c r="C1372" i="3"/>
  <c r="B1372" i="3"/>
  <c r="A1372" i="3"/>
  <c r="H1371" i="3"/>
  <c r="G1371" i="3"/>
  <c r="D1371" i="3"/>
  <c r="C1371" i="3"/>
  <c r="B1371" i="3"/>
  <c r="A1371" i="3"/>
  <c r="H1370" i="3"/>
  <c r="G1370" i="3"/>
  <c r="D1370" i="3"/>
  <c r="C1370" i="3"/>
  <c r="B1370" i="3"/>
  <c r="A1370" i="3"/>
  <c r="H1369" i="3"/>
  <c r="G1369" i="3"/>
  <c r="D1369" i="3"/>
  <c r="C1369" i="3"/>
  <c r="B1369" i="3"/>
  <c r="A1369" i="3"/>
  <c r="H1368" i="3"/>
  <c r="G1368" i="3"/>
  <c r="D1368" i="3"/>
  <c r="C1368" i="3"/>
  <c r="B1368" i="3"/>
  <c r="A1368" i="3"/>
  <c r="H1367" i="3"/>
  <c r="G1367" i="3"/>
  <c r="D1367" i="3"/>
  <c r="C1367" i="3"/>
  <c r="B1367" i="3"/>
  <c r="A1367" i="3"/>
  <c r="H1366" i="3"/>
  <c r="G1366" i="3"/>
  <c r="D1366" i="3"/>
  <c r="C1366" i="3"/>
  <c r="B1366" i="3"/>
  <c r="A1366" i="3"/>
  <c r="H1365" i="3"/>
  <c r="G1365" i="3"/>
  <c r="D1365" i="3"/>
  <c r="C1365" i="3"/>
  <c r="B1365" i="3"/>
  <c r="A1365" i="3"/>
  <c r="H1364" i="3"/>
  <c r="G1364" i="3"/>
  <c r="D1364" i="3"/>
  <c r="C1364" i="3"/>
  <c r="B1364" i="3"/>
  <c r="A1364" i="3"/>
  <c r="H1363" i="3"/>
  <c r="G1363" i="3"/>
  <c r="D1363" i="3"/>
  <c r="C1363" i="3"/>
  <c r="B1363" i="3"/>
  <c r="A1363" i="3"/>
  <c r="H1362" i="3"/>
  <c r="G1362" i="3"/>
  <c r="D1362" i="3"/>
  <c r="C1362" i="3"/>
  <c r="B1362" i="3"/>
  <c r="A1362" i="3"/>
  <c r="H1361" i="3"/>
  <c r="G1361" i="3"/>
  <c r="D1361" i="3"/>
  <c r="C1361" i="3"/>
  <c r="B1361" i="3"/>
  <c r="A1361" i="3"/>
  <c r="H1360" i="3"/>
  <c r="G1360" i="3"/>
  <c r="D1360" i="3"/>
  <c r="C1360" i="3"/>
  <c r="B1360" i="3"/>
  <c r="A1360" i="3"/>
  <c r="H1359" i="3"/>
  <c r="G1359" i="3"/>
  <c r="D1359" i="3"/>
  <c r="C1359" i="3"/>
  <c r="B1359" i="3"/>
  <c r="A1359" i="3"/>
  <c r="H1358" i="3"/>
  <c r="G1358" i="3"/>
  <c r="D1358" i="3"/>
  <c r="C1358" i="3"/>
  <c r="B1358" i="3"/>
  <c r="A1358" i="3"/>
  <c r="H1357" i="3"/>
  <c r="G1357" i="3"/>
  <c r="D1357" i="3"/>
  <c r="C1357" i="3"/>
  <c r="B1357" i="3"/>
  <c r="A1357" i="3"/>
  <c r="H1356" i="3"/>
  <c r="G1356" i="3"/>
  <c r="D1356" i="3"/>
  <c r="C1356" i="3"/>
  <c r="B1356" i="3"/>
  <c r="A1356" i="3"/>
  <c r="H1355" i="3"/>
  <c r="G1355" i="3"/>
  <c r="D1355" i="3"/>
  <c r="C1355" i="3"/>
  <c r="B1355" i="3"/>
  <c r="A1355" i="3"/>
  <c r="H1354" i="3"/>
  <c r="G1354" i="3"/>
  <c r="D1354" i="3"/>
  <c r="C1354" i="3"/>
  <c r="B1354" i="3"/>
  <c r="A1354" i="3"/>
  <c r="H1353" i="3"/>
  <c r="G1353" i="3"/>
  <c r="D1353" i="3"/>
  <c r="C1353" i="3"/>
  <c r="B1353" i="3"/>
  <c r="A1353" i="3"/>
  <c r="H1352" i="3"/>
  <c r="G1352" i="3"/>
  <c r="D1352" i="3"/>
  <c r="C1352" i="3"/>
  <c r="B1352" i="3"/>
  <c r="A1352" i="3"/>
  <c r="H1351" i="3"/>
  <c r="G1351" i="3"/>
  <c r="D1351" i="3"/>
  <c r="C1351" i="3"/>
  <c r="B1351" i="3"/>
  <c r="A1351" i="3"/>
  <c r="H1350" i="3"/>
  <c r="G1350" i="3"/>
  <c r="D1350" i="3"/>
  <c r="C1350" i="3"/>
  <c r="B1350" i="3"/>
  <c r="A1350" i="3"/>
  <c r="H1349" i="3"/>
  <c r="G1349" i="3"/>
  <c r="D1349" i="3"/>
  <c r="C1349" i="3"/>
  <c r="B1349" i="3"/>
  <c r="A1349" i="3"/>
  <c r="H1348" i="3"/>
  <c r="G1348" i="3"/>
  <c r="D1348" i="3"/>
  <c r="C1348" i="3"/>
  <c r="B1348" i="3"/>
  <c r="A1348" i="3"/>
  <c r="H1347" i="3"/>
  <c r="G1347" i="3"/>
  <c r="D1347" i="3"/>
  <c r="C1347" i="3"/>
  <c r="B1347" i="3"/>
  <c r="A1347" i="3"/>
  <c r="H1346" i="3"/>
  <c r="G1346" i="3"/>
  <c r="D1346" i="3"/>
  <c r="C1346" i="3"/>
  <c r="B1346" i="3"/>
  <c r="A1346" i="3"/>
  <c r="H1345" i="3"/>
  <c r="G1345" i="3"/>
  <c r="D1345" i="3"/>
  <c r="C1345" i="3"/>
  <c r="B1345" i="3"/>
  <c r="A1345" i="3"/>
  <c r="H1344" i="3"/>
  <c r="G1344" i="3"/>
  <c r="D1344" i="3"/>
  <c r="C1344" i="3"/>
  <c r="B1344" i="3"/>
  <c r="A1344" i="3"/>
  <c r="H1343" i="3"/>
  <c r="G1343" i="3"/>
  <c r="D1343" i="3"/>
  <c r="C1343" i="3"/>
  <c r="B1343" i="3"/>
  <c r="A1343" i="3"/>
  <c r="H1342" i="3"/>
  <c r="G1342" i="3"/>
  <c r="D1342" i="3"/>
  <c r="C1342" i="3"/>
  <c r="B1342" i="3"/>
  <c r="A1342" i="3"/>
  <c r="H1341" i="3"/>
  <c r="G1341" i="3"/>
  <c r="D1341" i="3"/>
  <c r="C1341" i="3"/>
  <c r="B1341" i="3"/>
  <c r="A1341" i="3"/>
  <c r="H1340" i="3"/>
  <c r="G1340" i="3"/>
  <c r="D1340" i="3"/>
  <c r="C1340" i="3"/>
  <c r="B1340" i="3"/>
  <c r="A1340" i="3"/>
  <c r="H1339" i="3"/>
  <c r="G1339" i="3"/>
  <c r="D1339" i="3"/>
  <c r="C1339" i="3"/>
  <c r="B1339" i="3"/>
  <c r="A1339" i="3"/>
  <c r="H1338" i="3"/>
  <c r="G1338" i="3"/>
  <c r="D1338" i="3"/>
  <c r="C1338" i="3"/>
  <c r="B1338" i="3"/>
  <c r="A1338" i="3"/>
  <c r="H1337" i="3"/>
  <c r="G1337" i="3"/>
  <c r="D1337" i="3"/>
  <c r="C1337" i="3"/>
  <c r="B1337" i="3"/>
  <c r="A1337" i="3"/>
  <c r="H1336" i="3"/>
  <c r="G1336" i="3"/>
  <c r="D1336" i="3"/>
  <c r="C1336" i="3"/>
  <c r="B1336" i="3"/>
  <c r="A1336" i="3"/>
  <c r="H1335" i="3"/>
  <c r="G1335" i="3"/>
  <c r="D1335" i="3"/>
  <c r="C1335" i="3"/>
  <c r="B1335" i="3"/>
  <c r="A1335" i="3"/>
  <c r="H1334" i="3"/>
  <c r="G1334" i="3"/>
  <c r="D1334" i="3"/>
  <c r="C1334" i="3"/>
  <c r="B1334" i="3"/>
  <c r="A1334" i="3"/>
  <c r="H1333" i="3"/>
  <c r="G1333" i="3"/>
  <c r="D1333" i="3"/>
  <c r="C1333" i="3"/>
  <c r="B1333" i="3"/>
  <c r="A1333" i="3"/>
  <c r="H1332" i="3"/>
  <c r="G1332" i="3"/>
  <c r="D1332" i="3"/>
  <c r="C1332" i="3"/>
  <c r="B1332" i="3"/>
  <c r="A1332" i="3"/>
  <c r="H1331" i="3"/>
  <c r="G1331" i="3"/>
  <c r="D1331" i="3"/>
  <c r="C1331" i="3"/>
  <c r="B1331" i="3"/>
  <c r="A1331" i="3"/>
  <c r="H1330" i="3"/>
  <c r="G1330" i="3"/>
  <c r="D1330" i="3"/>
  <c r="C1330" i="3"/>
  <c r="B1330" i="3"/>
  <c r="A1330" i="3"/>
  <c r="H1329" i="3"/>
  <c r="G1329" i="3"/>
  <c r="D1329" i="3"/>
  <c r="C1329" i="3"/>
  <c r="B1329" i="3"/>
  <c r="A1329" i="3"/>
  <c r="H1328" i="3"/>
  <c r="G1328" i="3"/>
  <c r="D1328" i="3"/>
  <c r="C1328" i="3"/>
  <c r="B1328" i="3"/>
  <c r="A1328" i="3"/>
  <c r="H1327" i="3"/>
  <c r="G1327" i="3"/>
  <c r="D1327" i="3"/>
  <c r="C1327" i="3"/>
  <c r="B1327" i="3"/>
  <c r="A1327" i="3"/>
  <c r="H1326" i="3"/>
  <c r="G1326" i="3"/>
  <c r="D1326" i="3"/>
  <c r="C1326" i="3"/>
  <c r="B1326" i="3"/>
  <c r="A1326" i="3"/>
  <c r="H1325" i="3"/>
  <c r="G1325" i="3"/>
  <c r="D1325" i="3"/>
  <c r="C1325" i="3"/>
  <c r="B1325" i="3"/>
  <c r="A1325" i="3"/>
  <c r="H1324" i="3"/>
  <c r="G1324" i="3"/>
  <c r="D1324" i="3"/>
  <c r="C1324" i="3"/>
  <c r="B1324" i="3"/>
  <c r="A1324" i="3"/>
  <c r="H1323" i="3"/>
  <c r="G1323" i="3"/>
  <c r="D1323" i="3"/>
  <c r="C1323" i="3"/>
  <c r="B1323" i="3"/>
  <c r="A1323" i="3"/>
  <c r="H1322" i="3"/>
  <c r="G1322" i="3"/>
  <c r="D1322" i="3"/>
  <c r="C1322" i="3"/>
  <c r="B1322" i="3"/>
  <c r="A1322" i="3"/>
  <c r="H1321" i="3"/>
  <c r="G1321" i="3"/>
  <c r="D1321" i="3"/>
  <c r="C1321" i="3"/>
  <c r="B1321" i="3"/>
  <c r="A1321" i="3"/>
  <c r="H1320" i="3"/>
  <c r="G1320" i="3"/>
  <c r="D1320" i="3"/>
  <c r="C1320" i="3"/>
  <c r="B1320" i="3"/>
  <c r="A1320" i="3"/>
  <c r="H1319" i="3"/>
  <c r="G1319" i="3"/>
  <c r="D1319" i="3"/>
  <c r="C1319" i="3"/>
  <c r="B1319" i="3"/>
  <c r="A1319" i="3"/>
  <c r="H1318" i="3"/>
  <c r="G1318" i="3"/>
  <c r="D1318" i="3"/>
  <c r="C1318" i="3"/>
  <c r="B1318" i="3"/>
  <c r="A1318" i="3"/>
  <c r="H1317" i="3"/>
  <c r="G1317" i="3"/>
  <c r="D1317" i="3"/>
  <c r="C1317" i="3"/>
  <c r="B1317" i="3"/>
  <c r="A1317" i="3"/>
  <c r="H1316" i="3"/>
  <c r="G1316" i="3"/>
  <c r="D1316" i="3"/>
  <c r="C1316" i="3"/>
  <c r="B1316" i="3"/>
  <c r="A1316" i="3"/>
  <c r="H1315" i="3"/>
  <c r="G1315" i="3"/>
  <c r="D1315" i="3"/>
  <c r="C1315" i="3"/>
  <c r="B1315" i="3"/>
  <c r="A1315" i="3"/>
  <c r="H1314" i="3"/>
  <c r="G1314" i="3"/>
  <c r="D1314" i="3"/>
  <c r="C1314" i="3"/>
  <c r="B1314" i="3"/>
  <c r="A1314" i="3"/>
  <c r="H1313" i="3"/>
  <c r="G1313" i="3"/>
  <c r="D1313" i="3"/>
  <c r="C1313" i="3"/>
  <c r="B1313" i="3"/>
  <c r="A1313" i="3"/>
  <c r="H1312" i="3"/>
  <c r="G1312" i="3"/>
  <c r="D1312" i="3"/>
  <c r="C1312" i="3"/>
  <c r="B1312" i="3"/>
  <c r="A1312" i="3"/>
  <c r="H1311" i="3"/>
  <c r="G1311" i="3"/>
  <c r="D1311" i="3"/>
  <c r="C1311" i="3"/>
  <c r="B1311" i="3"/>
  <c r="A1311" i="3"/>
  <c r="H1310" i="3"/>
  <c r="G1310" i="3"/>
  <c r="D1310" i="3"/>
  <c r="C1310" i="3"/>
  <c r="B1310" i="3"/>
  <c r="A1310" i="3"/>
  <c r="H1309" i="3"/>
  <c r="G1309" i="3"/>
  <c r="D1309" i="3"/>
  <c r="C1309" i="3"/>
  <c r="B1309" i="3"/>
  <c r="A1309" i="3"/>
  <c r="H1308" i="3"/>
  <c r="G1308" i="3"/>
  <c r="D1308" i="3"/>
  <c r="C1308" i="3"/>
  <c r="B1308" i="3"/>
  <c r="A1308" i="3"/>
  <c r="H1307" i="3"/>
  <c r="G1307" i="3"/>
  <c r="D1307" i="3"/>
  <c r="C1307" i="3"/>
  <c r="B1307" i="3"/>
  <c r="A1307" i="3"/>
  <c r="H1306" i="3"/>
  <c r="G1306" i="3"/>
  <c r="D1306" i="3"/>
  <c r="C1306" i="3"/>
  <c r="B1306" i="3"/>
  <c r="A1306" i="3"/>
  <c r="H1305" i="3"/>
  <c r="G1305" i="3"/>
  <c r="D1305" i="3"/>
  <c r="C1305" i="3"/>
  <c r="B1305" i="3"/>
  <c r="A1305" i="3"/>
  <c r="H1304" i="3"/>
  <c r="G1304" i="3"/>
  <c r="D1304" i="3"/>
  <c r="C1304" i="3"/>
  <c r="B1304" i="3"/>
  <c r="A1304" i="3"/>
  <c r="H1303" i="3"/>
  <c r="G1303" i="3"/>
  <c r="D1303" i="3"/>
  <c r="C1303" i="3"/>
  <c r="B1303" i="3"/>
  <c r="A1303" i="3"/>
  <c r="H1302" i="3"/>
  <c r="G1302" i="3"/>
  <c r="D1302" i="3"/>
  <c r="C1302" i="3"/>
  <c r="B1302" i="3"/>
  <c r="A1302" i="3"/>
  <c r="H1301" i="3"/>
  <c r="G1301" i="3"/>
  <c r="D1301" i="3"/>
  <c r="C1301" i="3"/>
  <c r="B1301" i="3"/>
  <c r="A1301" i="3"/>
  <c r="H1300" i="3"/>
  <c r="G1300" i="3"/>
  <c r="D1300" i="3"/>
  <c r="C1300" i="3"/>
  <c r="B1300" i="3"/>
  <c r="A1300" i="3"/>
  <c r="H1299" i="3"/>
  <c r="G1299" i="3"/>
  <c r="D1299" i="3"/>
  <c r="C1299" i="3"/>
  <c r="B1299" i="3"/>
  <c r="A1299" i="3"/>
  <c r="H1298" i="3"/>
  <c r="G1298" i="3"/>
  <c r="D1298" i="3"/>
  <c r="C1298" i="3"/>
  <c r="B1298" i="3"/>
  <c r="A1298" i="3"/>
  <c r="H1297" i="3"/>
  <c r="G1297" i="3"/>
  <c r="D1297" i="3"/>
  <c r="C1297" i="3"/>
  <c r="B1297" i="3"/>
  <c r="A1297" i="3"/>
  <c r="H1296" i="3"/>
  <c r="G1296" i="3"/>
  <c r="D1296" i="3"/>
  <c r="C1296" i="3"/>
  <c r="B1296" i="3"/>
  <c r="A1296" i="3"/>
  <c r="H1295" i="3"/>
  <c r="G1295" i="3"/>
  <c r="D1295" i="3"/>
  <c r="C1295" i="3"/>
  <c r="B1295" i="3"/>
  <c r="A1295" i="3"/>
  <c r="H1294" i="3"/>
  <c r="G1294" i="3"/>
  <c r="D1294" i="3"/>
  <c r="C1294" i="3"/>
  <c r="B1294" i="3"/>
  <c r="A1294" i="3"/>
  <c r="H1293" i="3"/>
  <c r="G1293" i="3"/>
  <c r="D1293" i="3"/>
  <c r="C1293" i="3"/>
  <c r="B1293" i="3"/>
  <c r="A1293" i="3"/>
  <c r="H822" i="3"/>
  <c r="G822" i="3"/>
  <c r="D822" i="3"/>
  <c r="C822" i="3"/>
  <c r="B822" i="3"/>
  <c r="A822" i="3"/>
  <c r="H821" i="3"/>
  <c r="G821" i="3"/>
  <c r="D821" i="3"/>
  <c r="C821" i="3"/>
  <c r="B821" i="3"/>
  <c r="A821" i="3"/>
  <c r="H820" i="3"/>
  <c r="G820" i="3"/>
  <c r="D820" i="3"/>
  <c r="C820" i="3"/>
  <c r="B820" i="3"/>
  <c r="A820" i="3"/>
  <c r="H819" i="3"/>
  <c r="G819" i="3"/>
  <c r="D819" i="3"/>
  <c r="C819" i="3"/>
  <c r="B819" i="3"/>
  <c r="A819" i="3"/>
  <c r="H818" i="3"/>
  <c r="G818" i="3"/>
  <c r="D818" i="3"/>
  <c r="C818" i="3"/>
  <c r="B818" i="3"/>
  <c r="A818" i="3"/>
  <c r="H817" i="3"/>
  <c r="G817" i="3"/>
  <c r="D817" i="3"/>
  <c r="C817" i="3"/>
  <c r="B817" i="3"/>
  <c r="A817" i="3"/>
  <c r="H816" i="3"/>
  <c r="G816" i="3"/>
  <c r="D816" i="3"/>
  <c r="C816" i="3"/>
  <c r="B816" i="3"/>
  <c r="A816" i="3"/>
  <c r="H815" i="3"/>
  <c r="G815" i="3"/>
  <c r="D815" i="3"/>
  <c r="C815" i="3"/>
  <c r="B815" i="3"/>
  <c r="A815" i="3"/>
  <c r="H814" i="3"/>
  <c r="G814" i="3"/>
  <c r="D814" i="3"/>
  <c r="C814" i="3"/>
  <c r="B814" i="3"/>
  <c r="A814" i="3"/>
  <c r="H813" i="3"/>
  <c r="G813" i="3"/>
  <c r="D813" i="3"/>
  <c r="C813" i="3"/>
  <c r="B813" i="3"/>
  <c r="A813" i="3"/>
  <c r="H812" i="3"/>
  <c r="G812" i="3"/>
  <c r="D812" i="3"/>
  <c r="C812" i="3"/>
  <c r="B812" i="3"/>
  <c r="A812" i="3"/>
  <c r="H811" i="3"/>
  <c r="G811" i="3"/>
  <c r="D811" i="3"/>
  <c r="C811" i="3"/>
  <c r="B811" i="3"/>
  <c r="A811" i="3"/>
  <c r="H810" i="3"/>
  <c r="G810" i="3"/>
  <c r="D810" i="3"/>
  <c r="C810" i="3"/>
  <c r="B810" i="3"/>
  <c r="A810" i="3"/>
  <c r="H809" i="3"/>
  <c r="G809" i="3"/>
  <c r="D809" i="3"/>
  <c r="C809" i="3"/>
  <c r="B809" i="3"/>
  <c r="A809" i="3"/>
  <c r="H808" i="3"/>
  <c r="G808" i="3"/>
  <c r="D808" i="3"/>
  <c r="C808" i="3"/>
  <c r="B808" i="3"/>
  <c r="A808" i="3"/>
  <c r="H807" i="3"/>
  <c r="G807" i="3"/>
  <c r="D807" i="3"/>
  <c r="C807" i="3"/>
  <c r="B807" i="3"/>
  <c r="A807" i="3"/>
  <c r="H806" i="3"/>
  <c r="G806" i="3"/>
  <c r="D806" i="3"/>
  <c r="C806" i="3"/>
  <c r="B806" i="3"/>
  <c r="A806" i="3"/>
  <c r="H805" i="3"/>
  <c r="G805" i="3"/>
  <c r="D805" i="3"/>
  <c r="C805" i="3"/>
  <c r="B805" i="3"/>
  <c r="A805" i="3"/>
  <c r="H804" i="3"/>
  <c r="G804" i="3"/>
  <c r="D804" i="3"/>
  <c r="C804" i="3"/>
  <c r="B804" i="3"/>
  <c r="A804" i="3"/>
  <c r="H803" i="3"/>
  <c r="G803" i="3"/>
  <c r="D803" i="3"/>
  <c r="C803" i="3"/>
  <c r="B803" i="3"/>
  <c r="A803" i="3"/>
  <c r="H802" i="3"/>
  <c r="G802" i="3"/>
  <c r="D802" i="3"/>
  <c r="C802" i="3"/>
  <c r="B802" i="3"/>
  <c r="A802" i="3"/>
  <c r="H801" i="3"/>
  <c r="G801" i="3"/>
  <c r="D801" i="3"/>
  <c r="C801" i="3"/>
  <c r="B801" i="3"/>
  <c r="A801" i="3"/>
  <c r="H800" i="3"/>
  <c r="G800" i="3"/>
  <c r="D800" i="3"/>
  <c r="C800" i="3"/>
  <c r="B800" i="3"/>
  <c r="A800" i="3"/>
  <c r="H799" i="3"/>
  <c r="G799" i="3"/>
  <c r="D799" i="3"/>
  <c r="C799" i="3"/>
  <c r="B799" i="3"/>
  <c r="A799" i="3"/>
  <c r="H798" i="3"/>
  <c r="G798" i="3"/>
  <c r="D798" i="3"/>
  <c r="C798" i="3"/>
  <c r="B798" i="3"/>
  <c r="A798" i="3"/>
  <c r="H797" i="3"/>
  <c r="G797" i="3"/>
  <c r="D797" i="3"/>
  <c r="C797" i="3"/>
  <c r="B797" i="3"/>
  <c r="A797" i="3"/>
  <c r="H796" i="3"/>
  <c r="G796" i="3"/>
  <c r="D796" i="3"/>
  <c r="C796" i="3"/>
  <c r="B796" i="3"/>
  <c r="A796" i="3"/>
  <c r="H795" i="3"/>
  <c r="G795" i="3"/>
  <c r="D795" i="3"/>
  <c r="C795" i="3"/>
  <c r="B795" i="3"/>
  <c r="A795" i="3"/>
  <c r="H794" i="3"/>
  <c r="G794" i="3"/>
  <c r="D794" i="3"/>
  <c r="C794" i="3"/>
  <c r="B794" i="3"/>
  <c r="A794" i="3"/>
  <c r="H793" i="3"/>
  <c r="G793" i="3"/>
  <c r="D793" i="3"/>
  <c r="C793" i="3"/>
  <c r="B793" i="3"/>
  <c r="A793" i="3"/>
  <c r="H792" i="3"/>
  <c r="G792" i="3"/>
  <c r="D792" i="3"/>
  <c r="C792" i="3"/>
  <c r="B792" i="3"/>
  <c r="A792" i="3"/>
  <c r="H791" i="3"/>
  <c r="G791" i="3"/>
  <c r="D791" i="3"/>
  <c r="C791" i="3"/>
  <c r="B791" i="3"/>
  <c r="A791" i="3"/>
  <c r="H790" i="3"/>
  <c r="G790" i="3"/>
  <c r="D790" i="3"/>
  <c r="C790" i="3"/>
  <c r="B790" i="3"/>
  <c r="A790" i="3"/>
  <c r="H789" i="3"/>
  <c r="G789" i="3"/>
  <c r="D789" i="3"/>
  <c r="C789" i="3"/>
  <c r="B789" i="3"/>
  <c r="A789" i="3"/>
  <c r="H788" i="3"/>
  <c r="G788" i="3"/>
  <c r="D788" i="3"/>
  <c r="C788" i="3"/>
  <c r="B788" i="3"/>
  <c r="A788" i="3"/>
  <c r="H787" i="3"/>
  <c r="G787" i="3"/>
  <c r="D787" i="3"/>
  <c r="C787" i="3"/>
  <c r="B787" i="3"/>
  <c r="A787" i="3"/>
  <c r="H786" i="3"/>
  <c r="G786" i="3"/>
  <c r="D786" i="3"/>
  <c r="C786" i="3"/>
  <c r="B786" i="3"/>
  <c r="A786" i="3"/>
  <c r="H785" i="3"/>
  <c r="G785" i="3"/>
  <c r="D785" i="3"/>
  <c r="C785" i="3"/>
  <c r="B785" i="3"/>
  <c r="A785" i="3"/>
  <c r="H784" i="3"/>
  <c r="G784" i="3"/>
  <c r="D784" i="3"/>
  <c r="C784" i="3"/>
  <c r="B784" i="3"/>
  <c r="A784" i="3"/>
  <c r="H783" i="3"/>
  <c r="G783" i="3"/>
  <c r="D783" i="3"/>
  <c r="C783" i="3"/>
  <c r="B783" i="3"/>
  <c r="A783" i="3"/>
  <c r="H782" i="3"/>
  <c r="G782" i="3"/>
  <c r="D782" i="3"/>
  <c r="C782" i="3"/>
  <c r="B782" i="3"/>
  <c r="A782" i="3"/>
  <c r="H781" i="3"/>
  <c r="G781" i="3"/>
  <c r="D781" i="3"/>
  <c r="C781" i="3"/>
  <c r="B781" i="3"/>
  <c r="A781" i="3"/>
  <c r="H780" i="3"/>
  <c r="G780" i="3"/>
  <c r="D780" i="3"/>
  <c r="C780" i="3"/>
  <c r="B780" i="3"/>
  <c r="A780" i="3"/>
  <c r="H779" i="3"/>
  <c r="G779" i="3"/>
  <c r="D779" i="3"/>
  <c r="C779" i="3"/>
  <c r="B779" i="3"/>
  <c r="A779" i="3"/>
  <c r="H778" i="3"/>
  <c r="G778" i="3"/>
  <c r="D778" i="3"/>
  <c r="C778" i="3"/>
  <c r="B778" i="3"/>
  <c r="A778" i="3"/>
  <c r="H777" i="3"/>
  <c r="G777" i="3"/>
  <c r="D777" i="3"/>
  <c r="C777" i="3"/>
  <c r="B777" i="3"/>
  <c r="A777" i="3"/>
  <c r="H776" i="3"/>
  <c r="G776" i="3"/>
  <c r="D776" i="3"/>
  <c r="C776" i="3"/>
  <c r="B776" i="3"/>
  <c r="A776" i="3"/>
  <c r="H775" i="3"/>
  <c r="G775" i="3"/>
  <c r="D775" i="3"/>
  <c r="C775" i="3"/>
  <c r="B775" i="3"/>
  <c r="A775" i="3"/>
  <c r="H774" i="3"/>
  <c r="G774" i="3"/>
  <c r="D774" i="3"/>
  <c r="C774" i="3"/>
  <c r="B774" i="3"/>
  <c r="A774" i="3"/>
  <c r="H773" i="3"/>
  <c r="G773" i="3"/>
  <c r="D773" i="3"/>
  <c r="C773" i="3"/>
  <c r="B773" i="3"/>
  <c r="A773" i="3"/>
  <c r="H772" i="3"/>
  <c r="G772" i="3"/>
  <c r="D772" i="3"/>
  <c r="C772" i="3"/>
  <c r="B772" i="3"/>
  <c r="A772" i="3"/>
  <c r="H771" i="3"/>
  <c r="G771" i="3"/>
  <c r="D771" i="3"/>
  <c r="C771" i="3"/>
  <c r="B771" i="3"/>
  <c r="A771" i="3"/>
  <c r="H770" i="3"/>
  <c r="G770" i="3"/>
  <c r="D770" i="3"/>
  <c r="C770" i="3"/>
  <c r="B770" i="3"/>
  <c r="A770" i="3"/>
  <c r="H769" i="3"/>
  <c r="G769" i="3"/>
  <c r="D769" i="3"/>
  <c r="C769" i="3"/>
  <c r="B769" i="3"/>
  <c r="A769" i="3"/>
  <c r="H768" i="3"/>
  <c r="G768" i="3"/>
  <c r="D768" i="3"/>
  <c r="C768" i="3"/>
  <c r="B768" i="3"/>
  <c r="A768" i="3"/>
  <c r="H767" i="3"/>
  <c r="G767" i="3"/>
  <c r="D767" i="3"/>
  <c r="C767" i="3"/>
  <c r="B767" i="3"/>
  <c r="A767" i="3"/>
  <c r="H766" i="3"/>
  <c r="G766" i="3"/>
  <c r="D766" i="3"/>
  <c r="C766" i="3"/>
  <c r="B766" i="3"/>
  <c r="A766" i="3"/>
  <c r="H765" i="3"/>
  <c r="G765" i="3"/>
  <c r="D765" i="3"/>
  <c r="C765" i="3"/>
  <c r="B765" i="3"/>
  <c r="A765" i="3"/>
  <c r="H764" i="3"/>
  <c r="G764" i="3"/>
  <c r="D764" i="3"/>
  <c r="C764" i="3"/>
  <c r="B764" i="3"/>
  <c r="A764" i="3"/>
  <c r="H763" i="3"/>
  <c r="G763" i="3"/>
  <c r="D763" i="3"/>
  <c r="C763" i="3"/>
  <c r="B763" i="3"/>
  <c r="A763" i="3"/>
  <c r="H762" i="3"/>
  <c r="G762" i="3"/>
  <c r="D762" i="3"/>
  <c r="C762" i="3"/>
  <c r="B762" i="3"/>
  <c r="A762" i="3"/>
  <c r="H761" i="3"/>
  <c r="G761" i="3"/>
  <c r="D761" i="3"/>
  <c r="C761" i="3"/>
  <c r="B761" i="3"/>
  <c r="A761" i="3"/>
  <c r="H760" i="3"/>
  <c r="G760" i="3"/>
  <c r="D760" i="3"/>
  <c r="C760" i="3"/>
  <c r="B760" i="3"/>
  <c r="A760" i="3"/>
  <c r="H759" i="3"/>
  <c r="G759" i="3"/>
  <c r="D759" i="3"/>
  <c r="C759" i="3"/>
  <c r="B759" i="3"/>
  <c r="A759" i="3"/>
  <c r="H758" i="3"/>
  <c r="G758" i="3"/>
  <c r="D758" i="3"/>
  <c r="C758" i="3"/>
  <c r="B758" i="3"/>
  <c r="A758" i="3"/>
  <c r="H757" i="3"/>
  <c r="G757" i="3"/>
  <c r="D757" i="3"/>
  <c r="C757" i="3"/>
  <c r="B757" i="3"/>
  <c r="A757" i="3"/>
  <c r="H756" i="3"/>
  <c r="G756" i="3"/>
  <c r="D756" i="3"/>
  <c r="C756" i="3"/>
  <c r="B756" i="3"/>
  <c r="A756" i="3"/>
  <c r="H755" i="3"/>
  <c r="G755" i="3"/>
  <c r="D755" i="3"/>
  <c r="C755" i="3"/>
  <c r="B755" i="3"/>
  <c r="A755" i="3"/>
  <c r="H754" i="3"/>
  <c r="G754" i="3"/>
  <c r="D754" i="3"/>
  <c r="C754" i="3"/>
  <c r="B754" i="3"/>
  <c r="A754" i="3"/>
  <c r="H753" i="3"/>
  <c r="G753" i="3"/>
  <c r="D753" i="3"/>
  <c r="C753" i="3"/>
  <c r="B753" i="3"/>
  <c r="A753" i="3"/>
  <c r="H752" i="3"/>
  <c r="G752" i="3"/>
  <c r="D752" i="3"/>
  <c r="C752" i="3"/>
  <c r="B752" i="3"/>
  <c r="A752" i="3"/>
  <c r="H751" i="3"/>
  <c r="G751" i="3"/>
  <c r="D751" i="3"/>
  <c r="C751" i="3"/>
  <c r="B751" i="3"/>
  <c r="A751" i="3"/>
  <c r="H750" i="3"/>
  <c r="G750" i="3"/>
  <c r="D750" i="3"/>
  <c r="C750" i="3"/>
  <c r="B750" i="3"/>
  <c r="A750" i="3"/>
  <c r="H749" i="3"/>
  <c r="G749" i="3"/>
  <c r="D749" i="3"/>
  <c r="C749" i="3"/>
  <c r="B749" i="3"/>
  <c r="A749" i="3"/>
  <c r="H748" i="3"/>
  <c r="G748" i="3"/>
  <c r="D748" i="3"/>
  <c r="C748" i="3"/>
  <c r="B748" i="3"/>
  <c r="A748" i="3"/>
  <c r="H747" i="3"/>
  <c r="G747" i="3"/>
  <c r="D747" i="3"/>
  <c r="C747" i="3"/>
  <c r="B747" i="3"/>
  <c r="A747" i="3"/>
  <c r="H746" i="3"/>
  <c r="G746" i="3"/>
  <c r="D746" i="3"/>
  <c r="C746" i="3"/>
  <c r="B746" i="3"/>
  <c r="A746" i="3"/>
  <c r="H745" i="3"/>
  <c r="G745" i="3"/>
  <c r="D745" i="3"/>
  <c r="C745" i="3"/>
  <c r="B745" i="3"/>
  <c r="A745" i="3"/>
  <c r="H744" i="3"/>
  <c r="G744" i="3"/>
  <c r="D744" i="3"/>
  <c r="C744" i="3"/>
  <c r="B744" i="3"/>
  <c r="A744" i="3"/>
  <c r="H743" i="3"/>
  <c r="G743" i="3"/>
  <c r="D743" i="3"/>
  <c r="C743" i="3"/>
  <c r="B743" i="3"/>
  <c r="A743" i="3"/>
  <c r="H742" i="3"/>
  <c r="G742" i="3"/>
  <c r="D742" i="3"/>
  <c r="C742" i="3"/>
  <c r="B742" i="3"/>
  <c r="A742" i="3"/>
  <c r="H741" i="3"/>
  <c r="G741" i="3"/>
  <c r="D741" i="3"/>
  <c r="C741" i="3"/>
  <c r="B741" i="3"/>
  <c r="A741" i="3"/>
  <c r="H740" i="3"/>
  <c r="G740" i="3"/>
  <c r="D740" i="3"/>
  <c r="C740" i="3"/>
  <c r="B740" i="3"/>
  <c r="A740" i="3"/>
  <c r="H739" i="3"/>
  <c r="G739" i="3"/>
  <c r="D739" i="3"/>
  <c r="C739" i="3"/>
  <c r="B739" i="3"/>
  <c r="A739" i="3"/>
  <c r="H738" i="3"/>
  <c r="G738" i="3"/>
  <c r="D738" i="3"/>
  <c r="C738" i="3"/>
  <c r="B738" i="3"/>
  <c r="A738" i="3"/>
  <c r="H737" i="3"/>
  <c r="G737" i="3"/>
  <c r="D737" i="3"/>
  <c r="C737" i="3"/>
  <c r="B737" i="3"/>
  <c r="A737" i="3"/>
  <c r="H736" i="3"/>
  <c r="G736" i="3"/>
  <c r="D736" i="3"/>
  <c r="C736" i="3"/>
  <c r="B736" i="3"/>
  <c r="A736" i="3"/>
  <c r="H735" i="3"/>
  <c r="G735" i="3"/>
  <c r="D735" i="3"/>
  <c r="C735" i="3"/>
  <c r="B735" i="3"/>
  <c r="A735" i="3"/>
  <c r="H734" i="3"/>
  <c r="G734" i="3"/>
  <c r="D734" i="3"/>
  <c r="C734" i="3"/>
  <c r="B734" i="3"/>
  <c r="A734" i="3"/>
  <c r="H733" i="3"/>
  <c r="G733" i="3"/>
  <c r="D733" i="3"/>
  <c r="C733" i="3"/>
  <c r="B733" i="3"/>
  <c r="A733" i="3"/>
  <c r="H732" i="3"/>
  <c r="G732" i="3"/>
  <c r="D732" i="3"/>
  <c r="C732" i="3"/>
  <c r="B732" i="3"/>
  <c r="A732" i="3"/>
  <c r="H731" i="3"/>
  <c r="G731" i="3"/>
  <c r="D731" i="3"/>
  <c r="C731" i="3"/>
  <c r="B731" i="3"/>
  <c r="A731" i="3"/>
  <c r="H730" i="3"/>
  <c r="G730" i="3"/>
  <c r="D730" i="3"/>
  <c r="C730" i="3"/>
  <c r="B730" i="3"/>
  <c r="A730" i="3"/>
  <c r="H729" i="3"/>
  <c r="G729" i="3"/>
  <c r="D729" i="3"/>
  <c r="C729" i="3"/>
  <c r="B729" i="3"/>
  <c r="A729" i="3"/>
  <c r="H728" i="3"/>
  <c r="G728" i="3"/>
  <c r="D728" i="3"/>
  <c r="C728" i="3"/>
  <c r="B728" i="3"/>
  <c r="A728" i="3"/>
  <c r="H727" i="3"/>
  <c r="G727" i="3"/>
  <c r="D727" i="3"/>
  <c r="C727" i="3"/>
  <c r="B727" i="3"/>
  <c r="A727" i="3"/>
  <c r="H726" i="3"/>
  <c r="G726" i="3"/>
  <c r="D726" i="3"/>
  <c r="C726" i="3"/>
  <c r="B726" i="3"/>
  <c r="A726" i="3"/>
  <c r="H725" i="3"/>
  <c r="G725" i="3"/>
  <c r="D725" i="3"/>
  <c r="C725" i="3"/>
  <c r="B725" i="3"/>
  <c r="A725" i="3"/>
  <c r="H724" i="3"/>
  <c r="G724" i="3"/>
  <c r="D724" i="3"/>
  <c r="C724" i="3"/>
  <c r="B724" i="3"/>
  <c r="A724" i="3"/>
  <c r="H723" i="3"/>
  <c r="G723" i="3"/>
  <c r="D723" i="3"/>
  <c r="C723" i="3"/>
  <c r="B723" i="3"/>
  <c r="A723" i="3"/>
  <c r="H722" i="3"/>
  <c r="G722" i="3"/>
  <c r="D722" i="3"/>
  <c r="C722" i="3"/>
  <c r="B722" i="3"/>
  <c r="A722" i="3"/>
  <c r="H721" i="3"/>
  <c r="G721" i="3"/>
  <c r="D721" i="3"/>
  <c r="C721" i="3"/>
  <c r="B721" i="3"/>
  <c r="A721" i="3"/>
  <c r="H720" i="3"/>
  <c r="G720" i="3"/>
  <c r="D720" i="3"/>
  <c r="C720" i="3"/>
  <c r="B720" i="3"/>
  <c r="A720" i="3"/>
  <c r="H719" i="3"/>
  <c r="G719" i="3"/>
  <c r="D719" i="3"/>
  <c r="C719" i="3"/>
  <c r="B719" i="3"/>
  <c r="A719" i="3"/>
  <c r="H718" i="3"/>
  <c r="G718" i="3"/>
  <c r="D718" i="3"/>
  <c r="C718" i="3"/>
  <c r="B718" i="3"/>
  <c r="A718" i="3"/>
  <c r="H717" i="3"/>
  <c r="G717" i="3"/>
  <c r="D717" i="3"/>
  <c r="C717" i="3"/>
  <c r="B717" i="3"/>
  <c r="A717" i="3"/>
  <c r="H716" i="3"/>
  <c r="G716" i="3"/>
  <c r="D716" i="3"/>
  <c r="C716" i="3"/>
  <c r="B716" i="3"/>
  <c r="A716" i="3"/>
  <c r="H715" i="3"/>
  <c r="G715" i="3"/>
  <c r="D715" i="3"/>
  <c r="C715" i="3"/>
  <c r="B715" i="3"/>
  <c r="A715" i="3"/>
  <c r="H714" i="3"/>
  <c r="G714" i="3"/>
  <c r="D714" i="3"/>
  <c r="C714" i="3"/>
  <c r="B714" i="3"/>
  <c r="A714" i="3"/>
  <c r="H713" i="3"/>
  <c r="G713" i="3"/>
  <c r="D713" i="3"/>
  <c r="C713" i="3"/>
  <c r="B713" i="3"/>
  <c r="A713" i="3"/>
  <c r="H712" i="3"/>
  <c r="G712" i="3"/>
  <c r="D712" i="3"/>
  <c r="C712" i="3"/>
  <c r="B712" i="3"/>
  <c r="A712" i="3"/>
  <c r="H711" i="3"/>
  <c r="G711" i="3"/>
  <c r="D711" i="3"/>
  <c r="C711" i="3"/>
  <c r="B711" i="3"/>
  <c r="A711" i="3"/>
  <c r="H710" i="3"/>
  <c r="G710" i="3"/>
  <c r="D710" i="3"/>
  <c r="C710" i="3"/>
  <c r="B710" i="3"/>
  <c r="A710" i="3"/>
  <c r="H709" i="3"/>
  <c r="G709" i="3"/>
  <c r="D709" i="3"/>
  <c r="C709" i="3"/>
  <c r="B709" i="3"/>
  <c r="A709" i="3"/>
  <c r="H708" i="3"/>
  <c r="G708" i="3"/>
  <c r="D708" i="3"/>
  <c r="C708" i="3"/>
  <c r="B708" i="3"/>
  <c r="A708" i="3"/>
  <c r="H707" i="3"/>
  <c r="G707" i="3"/>
  <c r="D707" i="3"/>
  <c r="C707" i="3"/>
  <c r="B707" i="3"/>
  <c r="A707" i="3"/>
  <c r="H706" i="3"/>
  <c r="G706" i="3"/>
  <c r="D706" i="3"/>
  <c r="C706" i="3"/>
  <c r="B706" i="3"/>
  <c r="A706" i="3"/>
  <c r="H705" i="3"/>
  <c r="G705" i="3"/>
  <c r="D705" i="3"/>
  <c r="C705" i="3"/>
  <c r="B705" i="3"/>
  <c r="A705" i="3"/>
  <c r="H704" i="3"/>
  <c r="G704" i="3"/>
  <c r="D704" i="3"/>
  <c r="C704" i="3"/>
  <c r="B704" i="3"/>
  <c r="A704" i="3"/>
  <c r="H703" i="3"/>
  <c r="G703" i="3"/>
  <c r="D703" i="3"/>
  <c r="C703" i="3"/>
  <c r="B703" i="3"/>
  <c r="A703" i="3"/>
  <c r="H702" i="3"/>
  <c r="G702" i="3"/>
  <c r="D702" i="3"/>
  <c r="C702" i="3"/>
  <c r="B702" i="3"/>
  <c r="A702" i="3"/>
  <c r="H701" i="3"/>
  <c r="G701" i="3"/>
  <c r="D701" i="3"/>
  <c r="C701" i="3"/>
  <c r="B701" i="3"/>
  <c r="A701" i="3"/>
  <c r="H700" i="3"/>
  <c r="G700" i="3"/>
  <c r="D700" i="3"/>
  <c r="C700" i="3"/>
  <c r="B700" i="3"/>
  <c r="A700" i="3"/>
  <c r="H699" i="3"/>
  <c r="G699" i="3"/>
  <c r="D699" i="3"/>
  <c r="C699" i="3"/>
  <c r="B699" i="3"/>
  <c r="A699" i="3"/>
  <c r="H698" i="3"/>
  <c r="G698" i="3"/>
  <c r="D698" i="3"/>
  <c r="C698" i="3"/>
  <c r="B698" i="3"/>
  <c r="A698" i="3"/>
  <c r="H697" i="3"/>
  <c r="G697" i="3"/>
  <c r="D697" i="3"/>
  <c r="C697" i="3"/>
  <c r="B697" i="3"/>
  <c r="A697" i="3"/>
  <c r="H696" i="3"/>
  <c r="G696" i="3"/>
  <c r="D696" i="3"/>
  <c r="C696" i="3"/>
  <c r="B696" i="3"/>
  <c r="A696" i="3"/>
  <c r="H695" i="3"/>
  <c r="G695" i="3"/>
  <c r="D695" i="3"/>
  <c r="C695" i="3"/>
  <c r="B695" i="3"/>
  <c r="A695" i="3"/>
  <c r="H694" i="3"/>
  <c r="G694" i="3"/>
  <c r="D694" i="3"/>
  <c r="C694" i="3"/>
  <c r="B694" i="3"/>
  <c r="A694" i="3"/>
  <c r="H693" i="3"/>
  <c r="G693" i="3"/>
  <c r="D693" i="3"/>
  <c r="C693" i="3"/>
  <c r="B693" i="3"/>
  <c r="A693" i="3"/>
  <c r="H692" i="3"/>
  <c r="G692" i="3"/>
  <c r="D692" i="3"/>
  <c r="C692" i="3"/>
  <c r="B692" i="3"/>
  <c r="A692" i="3"/>
  <c r="H691" i="3"/>
  <c r="G691" i="3"/>
  <c r="D691" i="3"/>
  <c r="C691" i="3"/>
  <c r="B691" i="3"/>
  <c r="A691" i="3"/>
  <c r="H690" i="3"/>
  <c r="G690" i="3"/>
  <c r="D690" i="3"/>
  <c r="C690" i="3"/>
  <c r="B690" i="3"/>
  <c r="A690" i="3"/>
  <c r="H689" i="3"/>
  <c r="G689" i="3"/>
  <c r="D689" i="3"/>
  <c r="C689" i="3"/>
  <c r="B689" i="3"/>
  <c r="A689" i="3"/>
  <c r="H688" i="3"/>
  <c r="G688" i="3"/>
  <c r="D688" i="3"/>
  <c r="C688" i="3"/>
  <c r="B688" i="3"/>
  <c r="A688" i="3"/>
  <c r="H687" i="3"/>
  <c r="G687" i="3"/>
  <c r="D687" i="3"/>
  <c r="C687" i="3"/>
  <c r="B687" i="3"/>
  <c r="A687" i="3"/>
  <c r="H686" i="3"/>
  <c r="G686" i="3"/>
  <c r="D686" i="3"/>
  <c r="C686" i="3"/>
  <c r="B686" i="3"/>
  <c r="A686" i="3"/>
  <c r="H685" i="3"/>
  <c r="G685" i="3"/>
  <c r="D685" i="3"/>
  <c r="C685" i="3"/>
  <c r="B685" i="3"/>
  <c r="A685" i="3"/>
  <c r="H684" i="3"/>
  <c r="G684" i="3"/>
  <c r="D684" i="3"/>
  <c r="C684" i="3"/>
  <c r="B684" i="3"/>
  <c r="A684" i="3"/>
  <c r="H683" i="3"/>
  <c r="G683" i="3"/>
  <c r="D683" i="3"/>
  <c r="C683" i="3"/>
  <c r="B683" i="3"/>
  <c r="A683" i="3"/>
  <c r="H682" i="3"/>
  <c r="G682" i="3"/>
  <c r="D682" i="3"/>
  <c r="C682" i="3"/>
  <c r="B682" i="3"/>
  <c r="A682" i="3"/>
  <c r="H681" i="3"/>
  <c r="G681" i="3"/>
  <c r="D681" i="3"/>
  <c r="C681" i="3"/>
  <c r="B681" i="3"/>
  <c r="A681" i="3"/>
  <c r="H680" i="3"/>
  <c r="G680" i="3"/>
  <c r="D680" i="3"/>
  <c r="C680" i="3"/>
  <c r="B680" i="3"/>
  <c r="A680" i="3"/>
  <c r="H679" i="3"/>
  <c r="G679" i="3"/>
  <c r="D679" i="3"/>
  <c r="C679" i="3"/>
  <c r="B679" i="3"/>
  <c r="A679" i="3"/>
  <c r="H678" i="3"/>
  <c r="G678" i="3"/>
  <c r="D678" i="3"/>
  <c r="C678" i="3"/>
  <c r="B678" i="3"/>
  <c r="A678" i="3"/>
  <c r="H677" i="3"/>
  <c r="G677" i="3"/>
  <c r="D677" i="3"/>
  <c r="C677" i="3"/>
  <c r="B677" i="3"/>
  <c r="A677" i="3"/>
  <c r="H676" i="3"/>
  <c r="G676" i="3"/>
  <c r="D676" i="3"/>
  <c r="C676" i="3"/>
  <c r="B676" i="3"/>
  <c r="A676" i="3"/>
  <c r="H675" i="3"/>
  <c r="G675" i="3"/>
  <c r="D675" i="3"/>
  <c r="C675" i="3"/>
  <c r="B675" i="3"/>
  <c r="A675" i="3"/>
  <c r="H674" i="3"/>
  <c r="G674" i="3"/>
  <c r="D674" i="3"/>
  <c r="C674" i="3"/>
  <c r="B674" i="3"/>
  <c r="A674" i="3"/>
  <c r="H673" i="3"/>
  <c r="G673" i="3"/>
  <c r="D673" i="3"/>
  <c r="C673" i="3"/>
  <c r="B673" i="3"/>
  <c r="A673" i="3"/>
  <c r="H672" i="3"/>
  <c r="G672" i="3"/>
  <c r="D672" i="3"/>
  <c r="C672" i="3"/>
  <c r="B672" i="3"/>
  <c r="A672" i="3"/>
  <c r="H671" i="3"/>
  <c r="G671" i="3"/>
  <c r="D671" i="3"/>
  <c r="C671" i="3"/>
  <c r="B671" i="3"/>
  <c r="A671" i="3"/>
  <c r="H670" i="3"/>
  <c r="G670" i="3"/>
  <c r="D670" i="3"/>
  <c r="C670" i="3"/>
  <c r="B670" i="3"/>
  <c r="A670" i="3"/>
  <c r="H669" i="3"/>
  <c r="G669" i="3"/>
  <c r="D669" i="3"/>
  <c r="C669" i="3"/>
  <c r="B669" i="3"/>
  <c r="A669" i="3"/>
  <c r="H668" i="3"/>
  <c r="G668" i="3"/>
  <c r="D668" i="3"/>
  <c r="C668" i="3"/>
  <c r="B668" i="3"/>
  <c r="A668" i="3"/>
  <c r="H667" i="3"/>
  <c r="G667" i="3"/>
  <c r="D667" i="3"/>
  <c r="C667" i="3"/>
  <c r="B667" i="3"/>
  <c r="A667" i="3"/>
  <c r="H666" i="3"/>
  <c r="G666" i="3"/>
  <c r="D666" i="3"/>
  <c r="C666" i="3"/>
  <c r="B666" i="3"/>
  <c r="A666" i="3"/>
  <c r="H665" i="3"/>
  <c r="G665" i="3"/>
  <c r="D665" i="3"/>
  <c r="C665" i="3"/>
  <c r="B665" i="3"/>
  <c r="A665" i="3"/>
  <c r="H664" i="3"/>
  <c r="G664" i="3"/>
  <c r="D664" i="3"/>
  <c r="C664" i="3"/>
  <c r="B664" i="3"/>
  <c r="A664" i="3"/>
  <c r="H663" i="3"/>
  <c r="G663" i="3"/>
  <c r="D663" i="3"/>
  <c r="C663" i="3"/>
  <c r="B663" i="3"/>
  <c r="A663" i="3"/>
  <c r="H662" i="3"/>
  <c r="G662" i="3"/>
  <c r="D662" i="3"/>
  <c r="C662" i="3"/>
  <c r="B662" i="3"/>
  <c r="A662" i="3"/>
  <c r="H661" i="3"/>
  <c r="G661" i="3"/>
  <c r="D661" i="3"/>
  <c r="C661" i="3"/>
  <c r="B661" i="3"/>
  <c r="A661" i="3"/>
  <c r="H660" i="3"/>
  <c r="G660" i="3"/>
  <c r="D660" i="3"/>
  <c r="C660" i="3"/>
  <c r="B660" i="3"/>
  <c r="A660" i="3"/>
  <c r="H659" i="3"/>
  <c r="G659" i="3"/>
  <c r="D659" i="3"/>
  <c r="C659" i="3"/>
  <c r="B659" i="3"/>
  <c r="A659" i="3"/>
  <c r="H658" i="3"/>
  <c r="G658" i="3"/>
  <c r="D658" i="3"/>
  <c r="C658" i="3"/>
  <c r="B658" i="3"/>
  <c r="A658" i="3"/>
  <c r="H657" i="3"/>
  <c r="G657" i="3"/>
  <c r="D657" i="3"/>
  <c r="C657" i="3"/>
  <c r="B657" i="3"/>
  <c r="A657" i="3"/>
  <c r="H656" i="3"/>
  <c r="G656" i="3"/>
  <c r="D656" i="3"/>
  <c r="C656" i="3"/>
  <c r="B656" i="3"/>
  <c r="A656" i="3"/>
  <c r="H655" i="3"/>
  <c r="G655" i="3"/>
  <c r="D655" i="3"/>
  <c r="C655" i="3"/>
  <c r="B655" i="3"/>
  <c r="A655" i="3"/>
  <c r="H654" i="3"/>
  <c r="G654" i="3"/>
  <c r="D654" i="3"/>
  <c r="C654" i="3"/>
  <c r="B654" i="3"/>
  <c r="A654" i="3"/>
  <c r="H653" i="3"/>
  <c r="G653" i="3"/>
  <c r="D653" i="3"/>
  <c r="C653" i="3"/>
  <c r="B653" i="3"/>
  <c r="A653" i="3"/>
  <c r="H652" i="3"/>
  <c r="G652" i="3"/>
  <c r="D652" i="3"/>
  <c r="C652" i="3"/>
  <c r="B652" i="3"/>
  <c r="A652" i="3"/>
  <c r="H651" i="3"/>
  <c r="G651" i="3"/>
  <c r="D651" i="3"/>
  <c r="C651" i="3"/>
  <c r="B651" i="3"/>
  <c r="A651" i="3"/>
  <c r="H650" i="3"/>
  <c r="G650" i="3"/>
  <c r="D650" i="3"/>
  <c r="C650" i="3"/>
  <c r="B650" i="3"/>
  <c r="A650" i="3"/>
  <c r="H649" i="3"/>
  <c r="G649" i="3"/>
  <c r="D649" i="3"/>
  <c r="C649" i="3"/>
  <c r="B649" i="3"/>
  <c r="A649" i="3"/>
  <c r="H648" i="3"/>
  <c r="G648" i="3"/>
  <c r="D648" i="3"/>
  <c r="C648" i="3"/>
  <c r="B648" i="3"/>
  <c r="A648" i="3"/>
  <c r="H647" i="3"/>
  <c r="G647" i="3"/>
  <c r="D647" i="3"/>
  <c r="C647" i="3"/>
  <c r="B647" i="3"/>
  <c r="A647" i="3"/>
  <c r="H646" i="3"/>
  <c r="G646" i="3"/>
  <c r="D646" i="3"/>
  <c r="C646" i="3"/>
  <c r="B646" i="3"/>
  <c r="A646" i="3"/>
  <c r="H645" i="3"/>
  <c r="G645" i="3"/>
  <c r="D645" i="3"/>
  <c r="C645" i="3"/>
  <c r="B645" i="3"/>
  <c r="A645" i="3"/>
  <c r="H644" i="3"/>
  <c r="G644" i="3"/>
  <c r="D644" i="3"/>
  <c r="C644" i="3"/>
  <c r="B644" i="3"/>
  <c r="A644" i="3"/>
  <c r="H643" i="3"/>
  <c r="G643" i="3"/>
  <c r="D643" i="3"/>
  <c r="C643" i="3"/>
  <c r="B643" i="3"/>
  <c r="A643" i="3"/>
  <c r="H642" i="3"/>
  <c r="G642" i="3"/>
  <c r="D642" i="3"/>
  <c r="C642" i="3"/>
  <c r="B642" i="3"/>
  <c r="A642" i="3"/>
  <c r="H641" i="3"/>
  <c r="G641" i="3"/>
  <c r="D641" i="3"/>
  <c r="C641" i="3"/>
  <c r="B641" i="3"/>
  <c r="A641" i="3"/>
  <c r="H640" i="3"/>
  <c r="G640" i="3"/>
  <c r="D640" i="3"/>
  <c r="C640" i="3"/>
  <c r="B640" i="3"/>
  <c r="A640" i="3"/>
  <c r="H639" i="3"/>
  <c r="G639" i="3"/>
  <c r="D639" i="3"/>
  <c r="C639" i="3"/>
  <c r="B639" i="3"/>
  <c r="A639" i="3"/>
  <c r="H638" i="3"/>
  <c r="G638" i="3"/>
  <c r="D638" i="3"/>
  <c r="C638" i="3"/>
  <c r="B638" i="3"/>
  <c r="A638" i="3"/>
  <c r="H637" i="3"/>
  <c r="G637" i="3"/>
  <c r="D637" i="3"/>
  <c r="C637" i="3"/>
  <c r="B637" i="3"/>
  <c r="A637" i="3"/>
  <c r="H636" i="3"/>
  <c r="G636" i="3"/>
  <c r="D636" i="3"/>
  <c r="C636" i="3"/>
  <c r="B636" i="3"/>
  <c r="A636" i="3"/>
  <c r="H635" i="3"/>
  <c r="G635" i="3"/>
  <c r="D635" i="3"/>
  <c r="C635" i="3"/>
  <c r="B635" i="3"/>
  <c r="A635" i="3"/>
  <c r="H634" i="3"/>
  <c r="G634" i="3"/>
  <c r="D634" i="3"/>
  <c r="C634" i="3"/>
  <c r="B634" i="3"/>
  <c r="A634" i="3"/>
  <c r="H633" i="3"/>
  <c r="G633" i="3"/>
  <c r="D633" i="3"/>
  <c r="C633" i="3"/>
  <c r="B633" i="3"/>
  <c r="A633" i="3"/>
  <c r="H632" i="3"/>
  <c r="G632" i="3"/>
  <c r="D632" i="3"/>
  <c r="C632" i="3"/>
  <c r="B632" i="3"/>
  <c r="A632" i="3"/>
  <c r="H631" i="3"/>
  <c r="G631" i="3"/>
  <c r="D631" i="3"/>
  <c r="C631" i="3"/>
  <c r="B631" i="3"/>
  <c r="A631" i="3"/>
  <c r="H630" i="3"/>
  <c r="G630" i="3"/>
  <c r="D630" i="3"/>
  <c r="C630" i="3"/>
  <c r="B630" i="3"/>
  <c r="A630" i="3"/>
  <c r="H629" i="3"/>
  <c r="G629" i="3"/>
  <c r="D629" i="3"/>
  <c r="C629" i="3"/>
  <c r="B629" i="3"/>
  <c r="A629" i="3"/>
  <c r="H628" i="3"/>
  <c r="G628" i="3"/>
  <c r="D628" i="3"/>
  <c r="C628" i="3"/>
  <c r="B628" i="3"/>
  <c r="A628" i="3"/>
  <c r="H627" i="3"/>
  <c r="G627" i="3"/>
  <c r="D627" i="3"/>
  <c r="C627" i="3"/>
  <c r="B627" i="3"/>
  <c r="A627" i="3"/>
  <c r="H626" i="3"/>
  <c r="G626" i="3"/>
  <c r="D626" i="3"/>
  <c r="C626" i="3"/>
  <c r="B626" i="3"/>
  <c r="A626" i="3"/>
  <c r="H625" i="3"/>
  <c r="G625" i="3"/>
  <c r="D625" i="3"/>
  <c r="C625" i="3"/>
  <c r="B625" i="3"/>
  <c r="A625" i="3"/>
  <c r="H624" i="3"/>
  <c r="G624" i="3"/>
  <c r="D624" i="3"/>
  <c r="C624" i="3"/>
  <c r="B624" i="3"/>
  <c r="A624" i="3"/>
  <c r="H623" i="3"/>
  <c r="G623" i="3"/>
  <c r="D623" i="3"/>
  <c r="C623" i="3"/>
  <c r="B623" i="3"/>
  <c r="A623" i="3"/>
  <c r="H622" i="3"/>
  <c r="G622" i="3"/>
  <c r="D622" i="3"/>
  <c r="C622" i="3"/>
  <c r="B622" i="3"/>
  <c r="A622" i="3"/>
  <c r="H621" i="3"/>
  <c r="G621" i="3"/>
  <c r="D621" i="3"/>
  <c r="C621" i="3"/>
  <c r="B621" i="3"/>
  <c r="A621" i="3"/>
  <c r="H620" i="3"/>
  <c r="G620" i="3"/>
  <c r="D620" i="3"/>
  <c r="C620" i="3"/>
  <c r="B620" i="3"/>
  <c r="A620" i="3"/>
  <c r="H619" i="3"/>
  <c r="G619" i="3"/>
  <c r="D619" i="3"/>
  <c r="C619" i="3"/>
  <c r="B619" i="3"/>
  <c r="A619" i="3"/>
  <c r="H618" i="3"/>
  <c r="G618" i="3"/>
  <c r="D618" i="3"/>
  <c r="C618" i="3"/>
  <c r="B618" i="3"/>
  <c r="A618" i="3"/>
  <c r="H617" i="3"/>
  <c r="G617" i="3"/>
  <c r="D617" i="3"/>
  <c r="C617" i="3"/>
  <c r="B617" i="3"/>
  <c r="A617" i="3"/>
  <c r="H616" i="3"/>
  <c r="G616" i="3"/>
  <c r="D616" i="3"/>
  <c r="C616" i="3"/>
  <c r="B616" i="3"/>
  <c r="A616" i="3"/>
  <c r="H615" i="3"/>
  <c r="G615" i="3"/>
  <c r="D615" i="3"/>
  <c r="C615" i="3"/>
  <c r="B615" i="3"/>
  <c r="A615" i="3"/>
  <c r="H614" i="3"/>
  <c r="G614" i="3"/>
  <c r="D614" i="3"/>
  <c r="C614" i="3"/>
  <c r="B614" i="3"/>
  <c r="A614" i="3"/>
  <c r="H613" i="3"/>
  <c r="G613" i="3"/>
  <c r="D613" i="3"/>
  <c r="C613" i="3"/>
  <c r="B613" i="3"/>
  <c r="A613" i="3"/>
  <c r="H612" i="3"/>
  <c r="G612" i="3"/>
  <c r="D612" i="3"/>
  <c r="C612" i="3"/>
  <c r="B612" i="3"/>
  <c r="A612" i="3"/>
  <c r="H611" i="3"/>
  <c r="G611" i="3"/>
  <c r="D611" i="3"/>
  <c r="C611" i="3"/>
  <c r="B611" i="3"/>
  <c r="A611" i="3"/>
  <c r="H610" i="3"/>
  <c r="G610" i="3"/>
  <c r="D610" i="3"/>
  <c r="C610" i="3"/>
  <c r="B610" i="3"/>
  <c r="A610" i="3"/>
  <c r="H609" i="3"/>
  <c r="G609" i="3"/>
  <c r="D609" i="3"/>
  <c r="C609" i="3"/>
  <c r="B609" i="3"/>
  <c r="A609" i="3"/>
  <c r="H608" i="3"/>
  <c r="G608" i="3"/>
  <c r="D608" i="3"/>
  <c r="C608" i="3"/>
  <c r="B608" i="3"/>
  <c r="A608" i="3"/>
  <c r="H607" i="3"/>
  <c r="G607" i="3"/>
  <c r="D607" i="3"/>
  <c r="C607" i="3"/>
  <c r="B607" i="3"/>
  <c r="A607" i="3"/>
  <c r="H606" i="3"/>
  <c r="G606" i="3"/>
  <c r="D606" i="3"/>
  <c r="C606" i="3"/>
  <c r="B606" i="3"/>
  <c r="A606" i="3"/>
  <c r="H605" i="3"/>
  <c r="G605" i="3"/>
  <c r="D605" i="3"/>
  <c r="C605" i="3"/>
  <c r="B605" i="3"/>
  <c r="A605" i="3"/>
  <c r="H604" i="3"/>
  <c r="G604" i="3"/>
  <c r="D604" i="3"/>
  <c r="C604" i="3"/>
  <c r="B604" i="3"/>
  <c r="A604" i="3"/>
  <c r="H603" i="3"/>
  <c r="G603" i="3"/>
  <c r="D603" i="3"/>
  <c r="C603" i="3"/>
  <c r="B603" i="3"/>
  <c r="A603" i="3"/>
  <c r="H602" i="3"/>
  <c r="G602" i="3"/>
  <c r="D602" i="3"/>
  <c r="C602" i="3"/>
  <c r="B602" i="3"/>
  <c r="A602" i="3"/>
  <c r="H601" i="3"/>
  <c r="G601" i="3"/>
  <c r="D601" i="3"/>
  <c r="C601" i="3"/>
  <c r="B601" i="3"/>
  <c r="A601" i="3"/>
  <c r="H600" i="3"/>
  <c r="G600" i="3"/>
  <c r="D600" i="3"/>
  <c r="C600" i="3"/>
  <c r="B600" i="3"/>
  <c r="A600" i="3"/>
  <c r="H599" i="3"/>
  <c r="G599" i="3"/>
  <c r="D599" i="3"/>
  <c r="C599" i="3"/>
  <c r="B599" i="3"/>
  <c r="A599" i="3"/>
  <c r="H598" i="3"/>
  <c r="G598" i="3"/>
  <c r="D598" i="3"/>
  <c r="C598" i="3"/>
  <c r="B598" i="3"/>
  <c r="A598" i="3"/>
  <c r="H597" i="3"/>
  <c r="G597" i="3"/>
  <c r="D597" i="3"/>
  <c r="C597" i="3"/>
  <c r="B597" i="3"/>
  <c r="A597" i="3"/>
  <c r="H596" i="3"/>
  <c r="G596" i="3"/>
  <c r="D596" i="3"/>
  <c r="C596" i="3"/>
  <c r="B596" i="3"/>
  <c r="A596" i="3"/>
  <c r="H595" i="3"/>
  <c r="G595" i="3"/>
  <c r="D595" i="3"/>
  <c r="C595" i="3"/>
  <c r="B595" i="3"/>
  <c r="A595" i="3"/>
  <c r="H594" i="3"/>
  <c r="G594" i="3"/>
  <c r="D594" i="3"/>
  <c r="C594" i="3"/>
  <c r="B594" i="3"/>
  <c r="A594" i="3"/>
  <c r="H593" i="3"/>
  <c r="G593" i="3"/>
  <c r="D593" i="3"/>
  <c r="C593" i="3"/>
  <c r="B593" i="3"/>
  <c r="A593" i="3"/>
  <c r="H592" i="3"/>
  <c r="G592" i="3"/>
  <c r="D592" i="3"/>
  <c r="C592" i="3"/>
  <c r="B592" i="3"/>
  <c r="A592" i="3"/>
  <c r="H591" i="3"/>
  <c r="G591" i="3"/>
  <c r="D591" i="3"/>
  <c r="C591" i="3"/>
  <c r="B591" i="3"/>
  <c r="A591" i="3"/>
  <c r="H590" i="3"/>
  <c r="G590" i="3"/>
  <c r="D590" i="3"/>
  <c r="C590" i="3"/>
  <c r="B590" i="3"/>
  <c r="A590" i="3"/>
  <c r="H589" i="3"/>
  <c r="G589" i="3"/>
  <c r="D589" i="3"/>
  <c r="C589" i="3"/>
  <c r="B589" i="3"/>
  <c r="A589" i="3"/>
  <c r="H588" i="3"/>
  <c r="G588" i="3"/>
  <c r="D588" i="3"/>
  <c r="C588" i="3"/>
  <c r="B588" i="3"/>
  <c r="A588" i="3"/>
  <c r="H587" i="3"/>
  <c r="G587" i="3"/>
  <c r="D587" i="3"/>
  <c r="C587" i="3"/>
  <c r="B587" i="3"/>
  <c r="A587" i="3"/>
  <c r="H586" i="3"/>
  <c r="G586" i="3"/>
  <c r="D586" i="3"/>
  <c r="C586" i="3"/>
  <c r="B586" i="3"/>
  <c r="A586" i="3"/>
  <c r="H585" i="3"/>
  <c r="G585" i="3"/>
  <c r="D585" i="3"/>
  <c r="C585" i="3"/>
  <c r="B585" i="3"/>
  <c r="A585" i="3"/>
  <c r="H584" i="3"/>
  <c r="G584" i="3"/>
  <c r="D584" i="3"/>
  <c r="C584" i="3"/>
  <c r="B584" i="3"/>
  <c r="A584" i="3"/>
  <c r="H583" i="3"/>
  <c r="G583" i="3"/>
  <c r="D583" i="3"/>
  <c r="C583" i="3"/>
  <c r="B583" i="3"/>
  <c r="A583" i="3"/>
  <c r="H582" i="3"/>
  <c r="G582" i="3"/>
  <c r="D582" i="3"/>
  <c r="C582" i="3"/>
  <c r="B582" i="3"/>
  <c r="A582" i="3"/>
  <c r="H581" i="3"/>
  <c r="G581" i="3"/>
  <c r="D581" i="3"/>
  <c r="C581" i="3"/>
  <c r="B581" i="3"/>
  <c r="A581" i="3"/>
  <c r="H580" i="3"/>
  <c r="G580" i="3"/>
  <c r="D580" i="3"/>
  <c r="C580" i="3"/>
  <c r="B580" i="3"/>
  <c r="A580" i="3"/>
  <c r="H579" i="3"/>
  <c r="G579" i="3"/>
  <c r="D579" i="3"/>
  <c r="C579" i="3"/>
  <c r="B579" i="3"/>
  <c r="A579" i="3"/>
  <c r="H578" i="3"/>
  <c r="G578" i="3"/>
  <c r="D578" i="3"/>
  <c r="C578" i="3"/>
  <c r="B578" i="3"/>
  <c r="A578" i="3"/>
  <c r="H577" i="3"/>
  <c r="G577" i="3"/>
  <c r="D577" i="3"/>
  <c r="C577" i="3"/>
  <c r="B577" i="3"/>
  <c r="A577" i="3"/>
  <c r="H576" i="3"/>
  <c r="G576" i="3"/>
  <c r="D576" i="3"/>
  <c r="C576" i="3"/>
  <c r="B576" i="3"/>
  <c r="A576" i="3"/>
  <c r="H575" i="3"/>
  <c r="G575" i="3"/>
  <c r="D575" i="3"/>
  <c r="C575" i="3"/>
  <c r="B575" i="3"/>
  <c r="A575" i="3"/>
  <c r="H574" i="3"/>
  <c r="G574" i="3"/>
  <c r="D574" i="3"/>
  <c r="C574" i="3"/>
  <c r="B574" i="3"/>
  <c r="A574" i="3"/>
  <c r="H573" i="3"/>
  <c r="G573" i="3"/>
  <c r="D573" i="3"/>
  <c r="C573" i="3"/>
  <c r="B573" i="3"/>
  <c r="A573" i="3"/>
  <c r="H572" i="3"/>
  <c r="G572" i="3"/>
  <c r="D572" i="3"/>
  <c r="C572" i="3"/>
  <c r="B572" i="3"/>
  <c r="A572" i="3"/>
  <c r="H571" i="3"/>
  <c r="G571" i="3"/>
  <c r="D571" i="3"/>
  <c r="C571" i="3"/>
  <c r="B571" i="3"/>
  <c r="A571" i="3"/>
  <c r="H570" i="3"/>
  <c r="G570" i="3"/>
  <c r="D570" i="3"/>
  <c r="C570" i="3"/>
  <c r="B570" i="3"/>
  <c r="A570" i="3"/>
  <c r="H569" i="3"/>
  <c r="G569" i="3"/>
  <c r="D569" i="3"/>
  <c r="C569" i="3"/>
  <c r="B569" i="3"/>
  <c r="A569" i="3"/>
  <c r="H568" i="3"/>
  <c r="G568" i="3"/>
  <c r="D568" i="3"/>
  <c r="C568" i="3"/>
  <c r="B568" i="3"/>
  <c r="A568" i="3"/>
  <c r="H567" i="3"/>
  <c r="G567" i="3"/>
  <c r="D567" i="3"/>
  <c r="C567" i="3"/>
  <c r="B567" i="3"/>
  <c r="A567" i="3"/>
  <c r="H566" i="3"/>
  <c r="G566" i="3"/>
  <c r="D566" i="3"/>
  <c r="C566" i="3"/>
  <c r="B566" i="3"/>
  <c r="A566" i="3"/>
  <c r="H565" i="3"/>
  <c r="G565" i="3"/>
  <c r="D565" i="3"/>
  <c r="C565" i="3"/>
  <c r="B565" i="3"/>
  <c r="A565" i="3"/>
  <c r="H564" i="3"/>
  <c r="G564" i="3"/>
  <c r="D564" i="3"/>
  <c r="C564" i="3"/>
  <c r="B564" i="3"/>
  <c r="A564" i="3"/>
  <c r="H563" i="3"/>
  <c r="G563" i="3"/>
  <c r="D563" i="3"/>
  <c r="C563" i="3"/>
  <c r="B563" i="3"/>
  <c r="A563" i="3"/>
  <c r="H562" i="3"/>
  <c r="G562" i="3"/>
  <c r="D562" i="3"/>
  <c r="C562" i="3"/>
  <c r="B562" i="3"/>
  <c r="A562" i="3"/>
  <c r="H561" i="3"/>
  <c r="G561" i="3"/>
  <c r="D561" i="3"/>
  <c r="C561" i="3"/>
  <c r="B561" i="3"/>
  <c r="A561" i="3"/>
  <c r="H560" i="3"/>
  <c r="G560" i="3"/>
  <c r="D560" i="3"/>
  <c r="C560" i="3"/>
  <c r="B560" i="3"/>
  <c r="A560" i="3"/>
  <c r="H559" i="3"/>
  <c r="G559" i="3"/>
  <c r="D559" i="3"/>
  <c r="C559" i="3"/>
  <c r="B559" i="3"/>
  <c r="A559" i="3"/>
  <c r="H558" i="3"/>
  <c r="G558" i="3"/>
  <c r="D558" i="3"/>
  <c r="C558" i="3"/>
  <c r="B558" i="3"/>
  <c r="A558" i="3"/>
  <c r="H557" i="3"/>
  <c r="G557" i="3"/>
  <c r="D557" i="3"/>
  <c r="C557" i="3"/>
  <c r="B557" i="3"/>
  <c r="A557" i="3"/>
  <c r="H556" i="3"/>
  <c r="G556" i="3"/>
  <c r="D556" i="3"/>
  <c r="C556" i="3"/>
  <c r="B556" i="3"/>
  <c r="A556" i="3"/>
  <c r="H555" i="3"/>
  <c r="G555" i="3"/>
  <c r="D555" i="3"/>
  <c r="C555" i="3"/>
  <c r="B555" i="3"/>
  <c r="A555" i="3"/>
  <c r="H554" i="3"/>
  <c r="G554" i="3"/>
  <c r="D554" i="3"/>
  <c r="C554" i="3"/>
  <c r="B554" i="3"/>
  <c r="A554" i="3"/>
  <c r="H553" i="3"/>
  <c r="G553" i="3"/>
  <c r="D553" i="3"/>
  <c r="C553" i="3"/>
  <c r="B553" i="3"/>
  <c r="A553" i="3"/>
  <c r="H552" i="3"/>
  <c r="G552" i="3"/>
  <c r="D552" i="3"/>
  <c r="C552" i="3"/>
  <c r="B552" i="3"/>
  <c r="A552" i="3"/>
  <c r="H551" i="3"/>
  <c r="G551" i="3"/>
  <c r="D551" i="3"/>
  <c r="C551" i="3"/>
  <c r="B551" i="3"/>
  <c r="A551" i="3"/>
  <c r="H550" i="3"/>
  <c r="G550" i="3"/>
  <c r="D550" i="3"/>
  <c r="C550" i="3"/>
  <c r="B550" i="3"/>
  <c r="A550" i="3"/>
  <c r="H549" i="3"/>
  <c r="G549" i="3"/>
  <c r="D549" i="3"/>
  <c r="C549" i="3"/>
  <c r="B549" i="3"/>
  <c r="A549" i="3"/>
  <c r="H548" i="3"/>
  <c r="G548" i="3"/>
  <c r="D548" i="3"/>
  <c r="C548" i="3"/>
  <c r="B548" i="3"/>
  <c r="A548" i="3"/>
  <c r="H547" i="3"/>
  <c r="G547" i="3"/>
  <c r="D547" i="3"/>
  <c r="C547" i="3"/>
  <c r="B547" i="3"/>
  <c r="A547" i="3"/>
  <c r="H546" i="3"/>
  <c r="G546" i="3"/>
  <c r="D546" i="3"/>
  <c r="C546" i="3"/>
  <c r="B546" i="3"/>
  <c r="A546" i="3"/>
  <c r="H545" i="3"/>
  <c r="G545" i="3"/>
  <c r="D545" i="3"/>
  <c r="C545" i="3"/>
  <c r="B545" i="3"/>
  <c r="A545" i="3"/>
  <c r="H544" i="3"/>
  <c r="G544" i="3"/>
  <c r="D544" i="3"/>
  <c r="C544" i="3"/>
  <c r="B544" i="3"/>
  <c r="A544" i="3"/>
  <c r="H543" i="3"/>
  <c r="G543" i="3"/>
  <c r="D543" i="3"/>
  <c r="C543" i="3"/>
  <c r="B543" i="3"/>
  <c r="A543" i="3"/>
  <c r="H542" i="3"/>
  <c r="G542" i="3"/>
  <c r="D542" i="3"/>
  <c r="C542" i="3"/>
  <c r="B542" i="3"/>
  <c r="A542" i="3"/>
  <c r="H541" i="3"/>
  <c r="G541" i="3"/>
  <c r="D541" i="3"/>
  <c r="C541" i="3"/>
  <c r="B541" i="3"/>
  <c r="A541" i="3"/>
  <c r="H540" i="3"/>
  <c r="G540" i="3"/>
  <c r="D540" i="3"/>
  <c r="C540" i="3"/>
  <c r="B540" i="3"/>
  <c r="A540" i="3"/>
  <c r="H539" i="3"/>
  <c r="G539" i="3"/>
  <c r="D539" i="3"/>
  <c r="C539" i="3"/>
  <c r="B539" i="3"/>
  <c r="A539" i="3"/>
  <c r="H538" i="3"/>
  <c r="G538" i="3"/>
  <c r="D538" i="3"/>
  <c r="C538" i="3"/>
  <c r="B538" i="3"/>
  <c r="A538" i="3"/>
  <c r="H537" i="3"/>
  <c r="G537" i="3"/>
  <c r="D537" i="3"/>
  <c r="C537" i="3"/>
  <c r="B537" i="3"/>
  <c r="A537" i="3"/>
  <c r="H536" i="3"/>
  <c r="G536" i="3"/>
  <c r="D536" i="3"/>
  <c r="C536" i="3"/>
  <c r="B536" i="3"/>
  <c r="A536" i="3"/>
  <c r="H535" i="3"/>
  <c r="G535" i="3"/>
  <c r="D535" i="3"/>
  <c r="C535" i="3"/>
  <c r="B535" i="3"/>
  <c r="A535" i="3"/>
  <c r="H534" i="3"/>
  <c r="G534" i="3"/>
  <c r="D534" i="3"/>
  <c r="C534" i="3"/>
  <c r="B534" i="3"/>
  <c r="A534" i="3"/>
  <c r="H533" i="3"/>
  <c r="G533" i="3"/>
  <c r="D533" i="3"/>
  <c r="C533" i="3"/>
  <c r="B533" i="3"/>
  <c r="A533" i="3"/>
  <c r="H532" i="3"/>
  <c r="G532" i="3"/>
  <c r="D532" i="3"/>
  <c r="C532" i="3"/>
  <c r="B532" i="3"/>
  <c r="A532" i="3"/>
  <c r="H531" i="3"/>
  <c r="G531" i="3"/>
  <c r="D531" i="3"/>
  <c r="C531" i="3"/>
  <c r="B531" i="3"/>
  <c r="A531" i="3"/>
  <c r="H530" i="3"/>
  <c r="G530" i="3"/>
  <c r="D530" i="3"/>
  <c r="C530" i="3"/>
  <c r="B530" i="3"/>
  <c r="A530" i="3"/>
  <c r="H529" i="3"/>
  <c r="G529" i="3"/>
  <c r="D529" i="3"/>
  <c r="C529" i="3"/>
  <c r="B529" i="3"/>
  <c r="A529" i="3"/>
  <c r="H528" i="3"/>
  <c r="G528" i="3"/>
  <c r="D528" i="3"/>
  <c r="C528" i="3"/>
  <c r="B528" i="3"/>
  <c r="A528" i="3"/>
  <c r="H527" i="3"/>
  <c r="G527" i="3"/>
  <c r="D527" i="3"/>
  <c r="C527" i="3"/>
  <c r="B527" i="3"/>
  <c r="A527" i="3"/>
  <c r="H526" i="3"/>
  <c r="G526" i="3"/>
  <c r="D526" i="3"/>
  <c r="C526" i="3"/>
  <c r="B526" i="3"/>
  <c r="A526" i="3"/>
  <c r="H525" i="3"/>
  <c r="G525" i="3"/>
  <c r="D525" i="3"/>
  <c r="C525" i="3"/>
  <c r="B525" i="3"/>
  <c r="A525" i="3"/>
  <c r="H524" i="3"/>
  <c r="G524" i="3"/>
  <c r="D524" i="3"/>
  <c r="C524" i="3"/>
  <c r="B524" i="3"/>
  <c r="A524" i="3"/>
  <c r="H523" i="3"/>
  <c r="G523" i="3"/>
  <c r="D523" i="3"/>
  <c r="C523" i="3"/>
  <c r="B523" i="3"/>
  <c r="A523" i="3"/>
  <c r="H522" i="3"/>
  <c r="G522" i="3"/>
  <c r="D522" i="3"/>
  <c r="C522" i="3"/>
  <c r="B522" i="3"/>
  <c r="A522" i="3"/>
  <c r="H521" i="3"/>
  <c r="G521" i="3"/>
  <c r="D521" i="3"/>
  <c r="C521" i="3"/>
  <c r="B521" i="3"/>
  <c r="A521" i="3"/>
  <c r="H520" i="3"/>
  <c r="G520" i="3"/>
  <c r="D520" i="3"/>
  <c r="C520" i="3"/>
  <c r="B520" i="3"/>
  <c r="A520" i="3"/>
  <c r="H519" i="3"/>
  <c r="G519" i="3"/>
  <c r="D519" i="3"/>
  <c r="C519" i="3"/>
  <c r="B519" i="3"/>
  <c r="A519" i="3"/>
  <c r="H518" i="3"/>
  <c r="G518" i="3"/>
  <c r="D518" i="3"/>
  <c r="C518" i="3"/>
  <c r="B518" i="3"/>
  <c r="A518" i="3"/>
  <c r="H517" i="3"/>
  <c r="G517" i="3"/>
  <c r="D517" i="3"/>
  <c r="C517" i="3"/>
  <c r="B517" i="3"/>
  <c r="A517" i="3"/>
  <c r="H516" i="3"/>
  <c r="G516" i="3"/>
  <c r="D516" i="3"/>
  <c r="C516" i="3"/>
  <c r="B516" i="3"/>
  <c r="A516" i="3"/>
  <c r="H515" i="3"/>
  <c r="G515" i="3"/>
  <c r="D515" i="3"/>
  <c r="C515" i="3"/>
  <c r="B515" i="3"/>
  <c r="A515" i="3"/>
  <c r="H514" i="3"/>
  <c r="G514" i="3"/>
  <c r="D514" i="3"/>
  <c r="C514" i="3"/>
  <c r="B514" i="3"/>
  <c r="A514" i="3"/>
  <c r="H513" i="3"/>
  <c r="G513" i="3"/>
  <c r="D513" i="3"/>
  <c r="C513" i="3"/>
  <c r="B513" i="3"/>
  <c r="A513" i="3"/>
  <c r="H512" i="3"/>
  <c r="G512" i="3"/>
  <c r="D512" i="3"/>
  <c r="C512" i="3"/>
  <c r="B512" i="3"/>
  <c r="A512" i="3"/>
  <c r="H511" i="3"/>
  <c r="G511" i="3"/>
  <c r="D511" i="3"/>
  <c r="C511" i="3"/>
  <c r="B511" i="3"/>
  <c r="A511" i="3"/>
  <c r="H510" i="3"/>
  <c r="G510" i="3"/>
  <c r="D510" i="3"/>
  <c r="C510" i="3"/>
  <c r="B510" i="3"/>
  <c r="A510" i="3"/>
  <c r="H509" i="3"/>
  <c r="G509" i="3"/>
  <c r="D509" i="3"/>
  <c r="C509" i="3"/>
  <c r="B509" i="3"/>
  <c r="A509" i="3"/>
  <c r="H508" i="3"/>
  <c r="G508" i="3"/>
  <c r="D508" i="3"/>
  <c r="C508" i="3"/>
  <c r="B508" i="3"/>
  <c r="A508" i="3"/>
  <c r="H507" i="3"/>
  <c r="G507" i="3"/>
  <c r="D507" i="3"/>
  <c r="C507" i="3"/>
  <c r="B507" i="3"/>
  <c r="A507" i="3"/>
  <c r="H506" i="3"/>
  <c r="G506" i="3"/>
  <c r="D506" i="3"/>
  <c r="C506" i="3"/>
  <c r="B506" i="3"/>
  <c r="A506" i="3"/>
  <c r="H505" i="3"/>
  <c r="G505" i="3"/>
  <c r="D505" i="3"/>
  <c r="C505" i="3"/>
  <c r="B505" i="3"/>
  <c r="A505" i="3"/>
  <c r="H504" i="3"/>
  <c r="G504" i="3"/>
  <c r="D504" i="3"/>
  <c r="C504" i="3"/>
  <c r="B504" i="3"/>
  <c r="A504" i="3"/>
  <c r="H503" i="3"/>
  <c r="G503" i="3"/>
  <c r="D503" i="3"/>
  <c r="C503" i="3"/>
  <c r="B503" i="3"/>
  <c r="A503" i="3"/>
  <c r="H502" i="3"/>
  <c r="G502" i="3"/>
  <c r="D502" i="3"/>
  <c r="C502" i="3"/>
  <c r="B502" i="3"/>
  <c r="A502" i="3"/>
  <c r="H501" i="3"/>
  <c r="G501" i="3"/>
  <c r="D501" i="3"/>
  <c r="C501" i="3"/>
  <c r="B501" i="3"/>
  <c r="A501" i="3"/>
  <c r="H500" i="3"/>
  <c r="G500" i="3"/>
  <c r="D500" i="3"/>
  <c r="C500" i="3"/>
  <c r="B500" i="3"/>
  <c r="A500" i="3"/>
  <c r="H499" i="3"/>
  <c r="G499" i="3"/>
  <c r="D499" i="3"/>
  <c r="C499" i="3"/>
  <c r="B499" i="3"/>
  <c r="A499" i="3"/>
  <c r="H498" i="3"/>
  <c r="G498" i="3"/>
  <c r="D498" i="3"/>
  <c r="C498" i="3"/>
  <c r="B498" i="3"/>
  <c r="A498" i="3"/>
  <c r="H497" i="3"/>
  <c r="G497" i="3"/>
  <c r="D497" i="3"/>
  <c r="C497" i="3"/>
  <c r="B497" i="3"/>
  <c r="A497" i="3"/>
  <c r="H496" i="3"/>
  <c r="G496" i="3"/>
  <c r="D496" i="3"/>
  <c r="C496" i="3"/>
  <c r="B496" i="3"/>
  <c r="A496" i="3"/>
  <c r="H495" i="3"/>
  <c r="G495" i="3"/>
  <c r="D495" i="3"/>
  <c r="C495" i="3"/>
  <c r="B495" i="3"/>
  <c r="A495" i="3"/>
  <c r="H494" i="3"/>
  <c r="G494" i="3"/>
  <c r="D494" i="3"/>
  <c r="C494" i="3"/>
  <c r="B494" i="3"/>
  <c r="A494" i="3"/>
  <c r="H493" i="3"/>
  <c r="G493" i="3"/>
  <c r="D493" i="3"/>
  <c r="C493" i="3"/>
  <c r="B493" i="3"/>
  <c r="A493" i="3"/>
  <c r="H492" i="3"/>
  <c r="G492" i="3"/>
  <c r="D492" i="3"/>
  <c r="C492" i="3"/>
  <c r="B492" i="3"/>
  <c r="A492" i="3"/>
  <c r="H491" i="3"/>
  <c r="G491" i="3"/>
  <c r="D491" i="3"/>
  <c r="C491" i="3"/>
  <c r="B491" i="3"/>
  <c r="A491" i="3"/>
  <c r="H490" i="3"/>
  <c r="G490" i="3"/>
  <c r="D490" i="3"/>
  <c r="C490" i="3"/>
  <c r="B490" i="3"/>
  <c r="A490" i="3"/>
  <c r="H489" i="3"/>
  <c r="G489" i="3"/>
  <c r="D489" i="3"/>
  <c r="C489" i="3"/>
  <c r="B489" i="3"/>
  <c r="A489" i="3"/>
  <c r="H488" i="3"/>
  <c r="G488" i="3"/>
  <c r="D488" i="3"/>
  <c r="C488" i="3"/>
  <c r="B488" i="3"/>
  <c r="A488" i="3"/>
  <c r="H487" i="3"/>
  <c r="G487" i="3"/>
  <c r="D487" i="3"/>
  <c r="C487" i="3"/>
  <c r="B487" i="3"/>
  <c r="A487" i="3"/>
  <c r="H486" i="3"/>
  <c r="G486" i="3"/>
  <c r="D486" i="3"/>
  <c r="C486" i="3"/>
  <c r="B486" i="3"/>
  <c r="A486" i="3"/>
  <c r="H485" i="3"/>
  <c r="G485" i="3"/>
  <c r="D485" i="3"/>
  <c r="C485" i="3"/>
  <c r="B485" i="3"/>
  <c r="A485" i="3"/>
  <c r="H484" i="3"/>
  <c r="G484" i="3"/>
  <c r="D484" i="3"/>
  <c r="C484" i="3"/>
  <c r="B484" i="3"/>
  <c r="A484" i="3"/>
  <c r="H483" i="3"/>
  <c r="G483" i="3"/>
  <c r="D483" i="3"/>
  <c r="C483" i="3"/>
  <c r="B483" i="3"/>
  <c r="A483" i="3"/>
  <c r="H482" i="3"/>
  <c r="G482" i="3"/>
  <c r="D482" i="3"/>
  <c r="C482" i="3"/>
  <c r="B482" i="3"/>
  <c r="A482" i="3"/>
  <c r="H481" i="3"/>
  <c r="G481" i="3"/>
  <c r="D481" i="3"/>
  <c r="C481" i="3"/>
  <c r="B481" i="3"/>
  <c r="A481" i="3"/>
  <c r="H480" i="3"/>
  <c r="G480" i="3"/>
  <c r="D480" i="3"/>
  <c r="C480" i="3"/>
  <c r="B480" i="3"/>
  <c r="A480" i="3"/>
  <c r="H479" i="3"/>
  <c r="G479" i="3"/>
  <c r="D479" i="3"/>
  <c r="C479" i="3"/>
  <c r="B479" i="3"/>
  <c r="A479" i="3"/>
  <c r="H478" i="3"/>
  <c r="G478" i="3"/>
  <c r="D478" i="3"/>
  <c r="C478" i="3"/>
  <c r="B478" i="3"/>
  <c r="A478" i="3"/>
  <c r="H477" i="3"/>
  <c r="G477" i="3"/>
  <c r="D477" i="3"/>
  <c r="C477" i="3"/>
  <c r="B477" i="3"/>
  <c r="A477" i="3"/>
  <c r="H476" i="3"/>
  <c r="G476" i="3"/>
  <c r="D476" i="3"/>
  <c r="C476" i="3"/>
  <c r="B476" i="3"/>
  <c r="A476" i="3"/>
  <c r="H475" i="3"/>
  <c r="G475" i="3"/>
  <c r="D475" i="3"/>
  <c r="C475" i="3"/>
  <c r="B475" i="3"/>
  <c r="A475" i="3"/>
  <c r="H474" i="3"/>
  <c r="G474" i="3"/>
  <c r="D474" i="3"/>
  <c r="C474" i="3"/>
  <c r="B474" i="3"/>
  <c r="A474" i="3"/>
  <c r="H473" i="3"/>
  <c r="G473" i="3"/>
  <c r="D473" i="3"/>
  <c r="C473" i="3"/>
  <c r="B473" i="3"/>
  <c r="A473" i="3"/>
  <c r="H472" i="3"/>
  <c r="G472" i="3"/>
  <c r="D472" i="3"/>
  <c r="C472" i="3"/>
  <c r="B472" i="3"/>
  <c r="A472" i="3"/>
  <c r="H471" i="3"/>
  <c r="G471" i="3"/>
  <c r="D471" i="3"/>
  <c r="C471" i="3"/>
  <c r="B471" i="3"/>
  <c r="A471" i="3"/>
  <c r="H470" i="3"/>
  <c r="G470" i="3"/>
  <c r="D470" i="3"/>
  <c r="C470" i="3"/>
  <c r="B470" i="3"/>
  <c r="A470" i="3"/>
  <c r="H469" i="3"/>
  <c r="G469" i="3"/>
  <c r="D469" i="3"/>
  <c r="C469" i="3"/>
  <c r="B469" i="3"/>
  <c r="A469" i="3"/>
  <c r="H468" i="3"/>
  <c r="G468" i="3"/>
  <c r="D468" i="3"/>
  <c r="C468" i="3"/>
  <c r="B468" i="3"/>
  <c r="A468" i="3"/>
  <c r="H467" i="3"/>
  <c r="G467" i="3"/>
  <c r="D467" i="3"/>
  <c r="C467" i="3"/>
  <c r="B467" i="3"/>
  <c r="A467" i="3"/>
  <c r="H466" i="3"/>
  <c r="G466" i="3"/>
  <c r="D466" i="3"/>
  <c r="C466" i="3"/>
  <c r="B466" i="3"/>
  <c r="A466" i="3"/>
  <c r="H465" i="3"/>
  <c r="G465" i="3"/>
  <c r="D465" i="3"/>
  <c r="C465" i="3"/>
  <c r="B465" i="3"/>
  <c r="A465" i="3"/>
  <c r="H464" i="3"/>
  <c r="G464" i="3"/>
  <c r="D464" i="3"/>
  <c r="C464" i="3"/>
  <c r="B464" i="3"/>
  <c r="A464" i="3"/>
  <c r="H463" i="3"/>
  <c r="G463" i="3"/>
  <c r="D463" i="3"/>
  <c r="C463" i="3"/>
  <c r="B463" i="3"/>
  <c r="A463" i="3"/>
  <c r="H462" i="3"/>
  <c r="G462" i="3"/>
  <c r="D462" i="3"/>
  <c r="C462" i="3"/>
  <c r="B462" i="3"/>
  <c r="A462" i="3"/>
  <c r="H461" i="3"/>
  <c r="G461" i="3"/>
  <c r="D461" i="3"/>
  <c r="C461" i="3"/>
  <c r="B461" i="3"/>
  <c r="A461" i="3"/>
  <c r="H460" i="3"/>
  <c r="G460" i="3"/>
  <c r="D460" i="3"/>
  <c r="C460" i="3"/>
  <c r="B460" i="3"/>
  <c r="A460" i="3"/>
  <c r="H459" i="3"/>
  <c r="G459" i="3"/>
  <c r="D459" i="3"/>
  <c r="C459" i="3"/>
  <c r="B459" i="3"/>
  <c r="A459" i="3"/>
  <c r="H458" i="3"/>
  <c r="G458" i="3"/>
  <c r="D458" i="3"/>
  <c r="C458" i="3"/>
  <c r="B458" i="3"/>
  <c r="A458" i="3"/>
  <c r="H457" i="3"/>
  <c r="G457" i="3"/>
  <c r="D457" i="3"/>
  <c r="C457" i="3"/>
  <c r="B457" i="3"/>
  <c r="A457" i="3"/>
  <c r="H456" i="3"/>
  <c r="G456" i="3"/>
  <c r="D456" i="3"/>
  <c r="C456" i="3"/>
  <c r="B456" i="3"/>
  <c r="A456" i="3"/>
  <c r="H455" i="3"/>
  <c r="G455" i="3"/>
  <c r="D455" i="3"/>
  <c r="C455" i="3"/>
  <c r="B455" i="3"/>
  <c r="A455" i="3"/>
  <c r="H454" i="3"/>
  <c r="G454" i="3"/>
  <c r="D454" i="3"/>
  <c r="C454" i="3"/>
  <c r="B454" i="3"/>
  <c r="A454" i="3"/>
  <c r="H453" i="3"/>
  <c r="G453" i="3"/>
  <c r="D453" i="3"/>
  <c r="C453" i="3"/>
  <c r="B453" i="3"/>
  <c r="A453" i="3"/>
  <c r="H452" i="3"/>
  <c r="G452" i="3"/>
  <c r="D452" i="3"/>
  <c r="C452" i="3"/>
  <c r="B452" i="3"/>
  <c r="A452" i="3"/>
  <c r="H451" i="3"/>
  <c r="G451" i="3"/>
  <c r="D451" i="3"/>
  <c r="C451" i="3"/>
  <c r="B451" i="3"/>
  <c r="A451" i="3"/>
  <c r="H450" i="3"/>
  <c r="G450" i="3"/>
  <c r="D450" i="3"/>
  <c r="C450" i="3"/>
  <c r="B450" i="3"/>
  <c r="A450" i="3"/>
  <c r="H449" i="3"/>
  <c r="G449" i="3"/>
  <c r="D449" i="3"/>
  <c r="C449" i="3"/>
  <c r="B449" i="3"/>
  <c r="A449" i="3"/>
  <c r="H448" i="3"/>
  <c r="G448" i="3"/>
  <c r="D448" i="3"/>
  <c r="C448" i="3"/>
  <c r="B448" i="3"/>
  <c r="A448" i="3"/>
  <c r="H447" i="3"/>
  <c r="G447" i="3"/>
  <c r="D447" i="3"/>
  <c r="C447" i="3"/>
  <c r="B447" i="3"/>
  <c r="A447" i="3"/>
  <c r="H446" i="3"/>
  <c r="G446" i="3"/>
  <c r="D446" i="3"/>
  <c r="C446" i="3"/>
  <c r="B446" i="3"/>
  <c r="A446" i="3"/>
  <c r="H445" i="3"/>
  <c r="G445" i="3"/>
  <c r="D445" i="3"/>
  <c r="C445" i="3"/>
  <c r="B445" i="3"/>
  <c r="A445" i="3"/>
  <c r="H444" i="3"/>
  <c r="G444" i="3"/>
  <c r="D444" i="3"/>
  <c r="C444" i="3"/>
  <c r="B444" i="3"/>
  <c r="A444" i="3"/>
  <c r="H443" i="3"/>
  <c r="G443" i="3"/>
  <c r="D443" i="3"/>
  <c r="C443" i="3"/>
  <c r="B443" i="3"/>
  <c r="A443" i="3"/>
  <c r="H442" i="3"/>
  <c r="G442" i="3"/>
  <c r="D442" i="3"/>
  <c r="C442" i="3"/>
  <c r="B442" i="3"/>
  <c r="A442" i="3"/>
  <c r="H441" i="3"/>
  <c r="G441" i="3"/>
  <c r="D441" i="3"/>
  <c r="C441" i="3"/>
  <c r="B441" i="3"/>
  <c r="A441" i="3"/>
  <c r="H440" i="3"/>
  <c r="G440" i="3"/>
  <c r="D440" i="3"/>
  <c r="C440" i="3"/>
  <c r="B440" i="3"/>
  <c r="A440" i="3"/>
  <c r="H439" i="3"/>
  <c r="G439" i="3"/>
  <c r="D439" i="3"/>
  <c r="C439" i="3"/>
  <c r="B439" i="3"/>
  <c r="A439" i="3"/>
  <c r="H438" i="3"/>
  <c r="G438" i="3"/>
  <c r="D438" i="3"/>
  <c r="C438" i="3"/>
  <c r="B438" i="3"/>
  <c r="A438" i="3"/>
  <c r="H437" i="3"/>
  <c r="G437" i="3"/>
  <c r="D437" i="3"/>
  <c r="C437" i="3"/>
  <c r="B437" i="3"/>
  <c r="A437" i="3"/>
  <c r="H436" i="3"/>
  <c r="G436" i="3"/>
  <c r="D436" i="3"/>
  <c r="C436" i="3"/>
  <c r="B436" i="3"/>
  <c r="A436" i="3"/>
  <c r="H435" i="3"/>
  <c r="G435" i="3"/>
  <c r="D435" i="3"/>
  <c r="C435" i="3"/>
  <c r="B435" i="3"/>
  <c r="A435" i="3"/>
  <c r="H434" i="3"/>
  <c r="G434" i="3"/>
  <c r="D434" i="3"/>
  <c r="C434" i="3"/>
  <c r="B434" i="3"/>
  <c r="A434" i="3"/>
  <c r="H433" i="3"/>
  <c r="G433" i="3"/>
  <c r="D433" i="3"/>
  <c r="C433" i="3"/>
  <c r="B433" i="3"/>
  <c r="A433" i="3"/>
  <c r="H432" i="3"/>
  <c r="G432" i="3"/>
  <c r="D432" i="3"/>
  <c r="C432" i="3"/>
  <c r="B432" i="3"/>
  <c r="A432" i="3"/>
  <c r="H431" i="3"/>
  <c r="G431" i="3"/>
  <c r="D431" i="3"/>
  <c r="C431" i="3"/>
  <c r="B431" i="3"/>
  <c r="A431" i="3"/>
  <c r="H430" i="3"/>
  <c r="G430" i="3"/>
  <c r="D430" i="3"/>
  <c r="C430" i="3"/>
  <c r="B430" i="3"/>
  <c r="A430" i="3"/>
  <c r="H429" i="3"/>
  <c r="G429" i="3"/>
  <c r="D429" i="3"/>
  <c r="C429" i="3"/>
  <c r="B429" i="3"/>
  <c r="A429" i="3"/>
  <c r="H428" i="3"/>
  <c r="G428" i="3"/>
  <c r="D428" i="3"/>
  <c r="C428" i="3"/>
  <c r="B428" i="3"/>
  <c r="A428" i="3"/>
  <c r="H427" i="3"/>
  <c r="G427" i="3"/>
  <c r="D427" i="3"/>
  <c r="C427" i="3"/>
  <c r="B427" i="3"/>
  <c r="A427" i="3"/>
  <c r="H426" i="3"/>
  <c r="G426" i="3"/>
  <c r="D426" i="3"/>
  <c r="C426" i="3"/>
  <c r="B426" i="3"/>
  <c r="A426" i="3"/>
  <c r="H425" i="3"/>
  <c r="G425" i="3"/>
  <c r="D425" i="3"/>
  <c r="C425" i="3"/>
  <c r="B425" i="3"/>
  <c r="A425" i="3"/>
  <c r="H424" i="3"/>
  <c r="G424" i="3"/>
  <c r="D424" i="3"/>
  <c r="C424" i="3"/>
  <c r="B424" i="3"/>
  <c r="A424" i="3"/>
  <c r="H423" i="3"/>
  <c r="G423" i="3"/>
  <c r="D423" i="3"/>
  <c r="C423" i="3"/>
  <c r="B423" i="3"/>
  <c r="A423" i="3"/>
  <c r="H422" i="3"/>
  <c r="G422" i="3"/>
  <c r="D422" i="3"/>
  <c r="C422" i="3"/>
  <c r="B422" i="3"/>
  <c r="A422" i="3"/>
  <c r="H421" i="3"/>
  <c r="G421" i="3"/>
  <c r="D421" i="3"/>
  <c r="C421" i="3"/>
  <c r="B421" i="3"/>
  <c r="A421" i="3"/>
  <c r="H420" i="3"/>
  <c r="G420" i="3"/>
  <c r="D420" i="3"/>
  <c r="C420" i="3"/>
  <c r="B420" i="3"/>
  <c r="A420" i="3"/>
  <c r="H419" i="3"/>
  <c r="G419" i="3"/>
  <c r="D419" i="3"/>
  <c r="C419" i="3"/>
  <c r="B419" i="3"/>
  <c r="A419" i="3"/>
  <c r="H418" i="3"/>
  <c r="G418" i="3"/>
  <c r="D418" i="3"/>
  <c r="C418" i="3"/>
  <c r="B418" i="3"/>
  <c r="A418" i="3"/>
  <c r="H417" i="3"/>
  <c r="G417" i="3"/>
  <c r="D417" i="3"/>
  <c r="C417" i="3"/>
  <c r="B417" i="3"/>
  <c r="A417" i="3"/>
  <c r="H416" i="3"/>
  <c r="G416" i="3"/>
  <c r="D416" i="3"/>
  <c r="C416" i="3"/>
  <c r="B416" i="3"/>
  <c r="A416" i="3"/>
  <c r="H415" i="3"/>
  <c r="G415" i="3"/>
  <c r="D415" i="3"/>
  <c r="C415" i="3"/>
  <c r="B415" i="3"/>
  <c r="A415" i="3"/>
  <c r="H414" i="3"/>
  <c r="G414" i="3"/>
  <c r="D414" i="3"/>
  <c r="C414" i="3"/>
  <c r="B414" i="3"/>
  <c r="A414" i="3"/>
  <c r="H413" i="3"/>
  <c r="G413" i="3"/>
  <c r="D413" i="3"/>
  <c r="C413" i="3"/>
  <c r="B413" i="3"/>
  <c r="A413" i="3"/>
  <c r="H412" i="3"/>
  <c r="G412" i="3"/>
  <c r="D412" i="3"/>
  <c r="C412" i="3"/>
  <c r="B412" i="3"/>
  <c r="A412" i="3"/>
  <c r="H411" i="3"/>
  <c r="G411" i="3"/>
  <c r="D411" i="3"/>
  <c r="C411" i="3"/>
  <c r="B411" i="3"/>
  <c r="A411" i="3"/>
  <c r="H410" i="3"/>
  <c r="G410" i="3"/>
  <c r="D410" i="3"/>
  <c r="C410" i="3"/>
  <c r="B410" i="3"/>
  <c r="A410" i="3"/>
  <c r="H409" i="3"/>
  <c r="G409" i="3"/>
  <c r="D409" i="3"/>
  <c r="C409" i="3"/>
  <c r="B409" i="3"/>
  <c r="A409" i="3"/>
  <c r="H408" i="3"/>
  <c r="G408" i="3"/>
  <c r="D408" i="3"/>
  <c r="C408" i="3"/>
  <c r="B408" i="3"/>
  <c r="A408" i="3"/>
  <c r="H407" i="3"/>
  <c r="G407" i="3"/>
  <c r="D407" i="3"/>
  <c r="C407" i="3"/>
  <c r="B407" i="3"/>
  <c r="A407" i="3"/>
  <c r="H406" i="3"/>
  <c r="G406" i="3"/>
  <c r="D406" i="3"/>
  <c r="C406" i="3"/>
  <c r="B406" i="3"/>
  <c r="A406" i="3"/>
  <c r="H405" i="3"/>
  <c r="G405" i="3"/>
  <c r="D405" i="3"/>
  <c r="C405" i="3"/>
  <c r="B405" i="3"/>
  <c r="A405" i="3"/>
  <c r="H404" i="3"/>
  <c r="G404" i="3"/>
  <c r="D404" i="3"/>
  <c r="C404" i="3"/>
  <c r="B404" i="3"/>
  <c r="A404" i="3"/>
  <c r="H403" i="3"/>
  <c r="G403" i="3"/>
  <c r="D403" i="3"/>
  <c r="C403" i="3"/>
  <c r="B403" i="3"/>
  <c r="A403" i="3"/>
  <c r="H402" i="3"/>
  <c r="G402" i="3"/>
  <c r="D402" i="3"/>
  <c r="C402" i="3"/>
  <c r="B402" i="3"/>
  <c r="A402" i="3"/>
  <c r="H401" i="3"/>
  <c r="G401" i="3"/>
  <c r="D401" i="3"/>
  <c r="C401" i="3"/>
  <c r="B401" i="3"/>
  <c r="A401" i="3"/>
  <c r="H400" i="3"/>
  <c r="G400" i="3"/>
  <c r="D400" i="3"/>
  <c r="C400" i="3"/>
  <c r="B400" i="3"/>
  <c r="A400" i="3"/>
  <c r="H399" i="3"/>
  <c r="G399" i="3"/>
  <c r="D399" i="3"/>
  <c r="C399" i="3"/>
  <c r="B399" i="3"/>
  <c r="A399" i="3"/>
  <c r="H398" i="3"/>
  <c r="G398" i="3"/>
  <c r="D398" i="3"/>
  <c r="C398" i="3"/>
  <c r="B398" i="3"/>
  <c r="A398" i="3"/>
  <c r="H397" i="3"/>
  <c r="G397" i="3"/>
  <c r="D397" i="3"/>
  <c r="C397" i="3"/>
  <c r="B397" i="3"/>
  <c r="A397" i="3"/>
  <c r="H396" i="3"/>
  <c r="G396" i="3"/>
  <c r="D396" i="3"/>
  <c r="C396" i="3"/>
  <c r="B396" i="3"/>
  <c r="A396" i="3"/>
  <c r="H395" i="3"/>
  <c r="G395" i="3"/>
  <c r="D395" i="3"/>
  <c r="C395" i="3"/>
  <c r="B395" i="3"/>
  <c r="A395" i="3"/>
  <c r="H394" i="3"/>
  <c r="G394" i="3"/>
  <c r="D394" i="3"/>
  <c r="C394" i="3"/>
  <c r="B394" i="3"/>
  <c r="A394" i="3"/>
  <c r="H393" i="3"/>
  <c r="G393" i="3"/>
  <c r="D393" i="3"/>
  <c r="C393" i="3"/>
  <c r="B393" i="3"/>
  <c r="A393" i="3"/>
  <c r="H392" i="3"/>
  <c r="G392" i="3"/>
  <c r="D392" i="3"/>
  <c r="C392" i="3"/>
  <c r="B392" i="3"/>
  <c r="A392" i="3"/>
  <c r="H391" i="3"/>
  <c r="G391" i="3"/>
  <c r="D391" i="3"/>
  <c r="C391" i="3"/>
  <c r="B391" i="3"/>
  <c r="A391" i="3"/>
  <c r="H390" i="3"/>
  <c r="G390" i="3"/>
  <c r="D390" i="3"/>
  <c r="C390" i="3"/>
  <c r="B390" i="3"/>
  <c r="A390" i="3"/>
  <c r="H389" i="3"/>
  <c r="G389" i="3"/>
  <c r="D389" i="3"/>
  <c r="C389" i="3"/>
  <c r="B389" i="3"/>
  <c r="A389" i="3"/>
  <c r="H388" i="3"/>
  <c r="G388" i="3"/>
  <c r="D388" i="3"/>
  <c r="C388" i="3"/>
  <c r="B388" i="3"/>
  <c r="A388" i="3"/>
  <c r="H387" i="3"/>
  <c r="G387" i="3"/>
  <c r="D387" i="3"/>
  <c r="C387" i="3"/>
  <c r="B387" i="3"/>
  <c r="A387" i="3"/>
  <c r="H386" i="3"/>
  <c r="G386" i="3"/>
  <c r="D386" i="3"/>
  <c r="C386" i="3"/>
  <c r="B386" i="3"/>
  <c r="A386" i="3"/>
  <c r="H385" i="3"/>
  <c r="G385" i="3"/>
  <c r="D385" i="3"/>
  <c r="C385" i="3"/>
  <c r="B385" i="3"/>
  <c r="A385" i="3"/>
  <c r="H384" i="3"/>
  <c r="G384" i="3"/>
  <c r="D384" i="3"/>
  <c r="C384" i="3"/>
  <c r="B384" i="3"/>
  <c r="A384" i="3"/>
  <c r="H383" i="3"/>
  <c r="G383" i="3"/>
  <c r="D383" i="3"/>
  <c r="C383" i="3"/>
  <c r="B383" i="3"/>
  <c r="A383" i="3"/>
  <c r="H382" i="3"/>
  <c r="G382" i="3"/>
  <c r="D382" i="3"/>
  <c r="C382" i="3"/>
  <c r="B382" i="3"/>
  <c r="A382" i="3"/>
  <c r="H381" i="3"/>
  <c r="G381" i="3"/>
  <c r="D381" i="3"/>
  <c r="C381" i="3"/>
  <c r="B381" i="3"/>
  <c r="A381" i="3"/>
  <c r="H380" i="3"/>
  <c r="G380" i="3"/>
  <c r="D380" i="3"/>
  <c r="C380" i="3"/>
  <c r="B380" i="3"/>
  <c r="A380" i="3"/>
  <c r="H379" i="3"/>
  <c r="G379" i="3"/>
  <c r="D379" i="3"/>
  <c r="C379" i="3"/>
  <c r="B379" i="3"/>
  <c r="A379" i="3"/>
  <c r="H378" i="3"/>
  <c r="G378" i="3"/>
  <c r="D378" i="3"/>
  <c r="C378" i="3"/>
  <c r="B378" i="3"/>
  <c r="A378" i="3"/>
  <c r="H377" i="3"/>
  <c r="G377" i="3"/>
  <c r="D377" i="3"/>
  <c r="C377" i="3"/>
  <c r="B377" i="3"/>
  <c r="A377" i="3"/>
  <c r="H376" i="3"/>
  <c r="G376" i="3"/>
  <c r="D376" i="3"/>
  <c r="C376" i="3"/>
  <c r="B376" i="3"/>
  <c r="A376" i="3"/>
  <c r="H375" i="3"/>
  <c r="G375" i="3"/>
  <c r="D375" i="3"/>
  <c r="C375" i="3"/>
  <c r="B375" i="3"/>
  <c r="A375" i="3"/>
  <c r="H374" i="3"/>
  <c r="G374" i="3"/>
  <c r="D374" i="3"/>
  <c r="C374" i="3"/>
  <c r="B374" i="3"/>
  <c r="A374" i="3"/>
  <c r="H373" i="3"/>
  <c r="G373" i="3"/>
  <c r="D373" i="3"/>
  <c r="C373" i="3"/>
  <c r="B373" i="3"/>
  <c r="A373" i="3"/>
  <c r="H372" i="3"/>
  <c r="G372" i="3"/>
  <c r="D372" i="3"/>
  <c r="C372" i="3"/>
  <c r="B372" i="3"/>
  <c r="A372" i="3"/>
  <c r="H371" i="3"/>
  <c r="G371" i="3"/>
  <c r="D371" i="3"/>
  <c r="C371" i="3"/>
  <c r="B371" i="3"/>
  <c r="A371" i="3"/>
  <c r="H370" i="3"/>
  <c r="G370" i="3"/>
  <c r="D370" i="3"/>
  <c r="C370" i="3"/>
  <c r="B370" i="3"/>
  <c r="A370" i="3"/>
  <c r="H369" i="3"/>
  <c r="G369" i="3"/>
  <c r="D369" i="3"/>
  <c r="C369" i="3"/>
  <c r="B369" i="3"/>
  <c r="A369" i="3"/>
  <c r="H368" i="3"/>
  <c r="G368" i="3"/>
  <c r="D368" i="3"/>
  <c r="C368" i="3"/>
  <c r="B368" i="3"/>
  <c r="A368" i="3"/>
  <c r="H367" i="3"/>
  <c r="G367" i="3"/>
  <c r="D367" i="3"/>
  <c r="C367" i="3"/>
  <c r="B367" i="3"/>
  <c r="A367" i="3"/>
  <c r="H366" i="3"/>
  <c r="G366" i="3"/>
  <c r="D366" i="3"/>
  <c r="C366" i="3"/>
  <c r="B366" i="3"/>
  <c r="A366" i="3"/>
  <c r="H365" i="3"/>
  <c r="G365" i="3"/>
  <c r="D365" i="3"/>
  <c r="C365" i="3"/>
  <c r="B365" i="3"/>
  <c r="A365" i="3"/>
  <c r="H364" i="3"/>
  <c r="G364" i="3"/>
  <c r="D364" i="3"/>
  <c r="C364" i="3"/>
  <c r="B364" i="3"/>
  <c r="A364" i="3"/>
  <c r="H363" i="3"/>
  <c r="G363" i="3"/>
  <c r="D363" i="3"/>
  <c r="C363" i="3"/>
  <c r="B363" i="3"/>
  <c r="A363" i="3"/>
  <c r="H362" i="3"/>
  <c r="G362" i="3"/>
  <c r="D362" i="3"/>
  <c r="C362" i="3"/>
  <c r="B362" i="3"/>
  <c r="A362" i="3"/>
  <c r="H361" i="3"/>
  <c r="G361" i="3"/>
  <c r="D361" i="3"/>
  <c r="C361" i="3"/>
  <c r="B361" i="3"/>
  <c r="A361" i="3"/>
  <c r="H360" i="3"/>
  <c r="G360" i="3"/>
  <c r="D360" i="3"/>
  <c r="C360" i="3"/>
  <c r="B360" i="3"/>
  <c r="A360" i="3"/>
  <c r="H359" i="3"/>
  <c r="G359" i="3"/>
  <c r="D359" i="3"/>
  <c r="C359" i="3"/>
  <c r="B359" i="3"/>
  <c r="A359" i="3"/>
  <c r="H358" i="3"/>
  <c r="G358" i="3"/>
  <c r="D358" i="3"/>
  <c r="C358" i="3"/>
  <c r="B358" i="3"/>
  <c r="A358" i="3"/>
  <c r="H357" i="3"/>
  <c r="G357" i="3"/>
  <c r="D357" i="3"/>
  <c r="C357" i="3"/>
  <c r="B357" i="3"/>
  <c r="A357" i="3"/>
  <c r="H356" i="3"/>
  <c r="G356" i="3"/>
  <c r="D356" i="3"/>
  <c r="C356" i="3"/>
  <c r="B356" i="3"/>
  <c r="A356" i="3"/>
  <c r="H355" i="3"/>
  <c r="G355" i="3"/>
  <c r="D355" i="3"/>
  <c r="C355" i="3"/>
  <c r="B355" i="3"/>
  <c r="A355" i="3"/>
  <c r="H354" i="3"/>
  <c r="G354" i="3"/>
  <c r="D354" i="3"/>
  <c r="C354" i="3"/>
  <c r="B354" i="3"/>
  <c r="A354" i="3"/>
  <c r="H353" i="3"/>
  <c r="G353" i="3"/>
  <c r="D353" i="3"/>
  <c r="C353" i="3"/>
  <c r="B353" i="3"/>
  <c r="A353" i="3"/>
  <c r="H352" i="3"/>
  <c r="G352" i="3"/>
  <c r="D352" i="3"/>
  <c r="C352" i="3"/>
  <c r="B352" i="3"/>
  <c r="A352" i="3"/>
  <c r="H351" i="3"/>
  <c r="G351" i="3"/>
  <c r="D351" i="3"/>
  <c r="C351" i="3"/>
  <c r="B351" i="3"/>
  <c r="A351" i="3"/>
  <c r="H350" i="3"/>
  <c r="G350" i="3"/>
  <c r="D350" i="3"/>
  <c r="C350" i="3"/>
  <c r="B350" i="3"/>
  <c r="A350" i="3"/>
  <c r="H349" i="3"/>
  <c r="G349" i="3"/>
  <c r="D349" i="3"/>
  <c r="C349" i="3"/>
  <c r="B349" i="3"/>
  <c r="A349" i="3"/>
  <c r="H348" i="3"/>
  <c r="G348" i="3"/>
  <c r="D348" i="3"/>
  <c r="C348" i="3"/>
  <c r="B348" i="3"/>
  <c r="A348" i="3"/>
  <c r="H347" i="3"/>
  <c r="G347" i="3"/>
  <c r="D347" i="3"/>
  <c r="C347" i="3"/>
  <c r="B347" i="3"/>
  <c r="A347" i="3"/>
  <c r="H346" i="3"/>
  <c r="G346" i="3"/>
  <c r="D346" i="3"/>
  <c r="C346" i="3"/>
  <c r="B346" i="3"/>
  <c r="A346" i="3"/>
  <c r="H345" i="3"/>
  <c r="G345" i="3"/>
  <c r="D345" i="3"/>
  <c r="C345" i="3"/>
  <c r="B345" i="3"/>
  <c r="A345" i="3"/>
  <c r="H344" i="3"/>
  <c r="G344" i="3"/>
  <c r="D344" i="3"/>
  <c r="C344" i="3"/>
  <c r="B344" i="3"/>
  <c r="A344" i="3"/>
  <c r="H343" i="3"/>
  <c r="G343" i="3"/>
  <c r="D343" i="3"/>
  <c r="C343" i="3"/>
  <c r="B343" i="3"/>
  <c r="A343" i="3"/>
  <c r="H342" i="3"/>
  <c r="G342" i="3"/>
  <c r="D342" i="3"/>
  <c r="C342" i="3"/>
  <c r="B342" i="3"/>
  <c r="A342" i="3"/>
  <c r="H341" i="3"/>
  <c r="G341" i="3"/>
  <c r="D341" i="3"/>
  <c r="C341" i="3"/>
  <c r="B341" i="3"/>
  <c r="A341" i="3"/>
  <c r="H340" i="3"/>
  <c r="G340" i="3"/>
  <c r="D340" i="3"/>
  <c r="C340" i="3"/>
  <c r="B340" i="3"/>
  <c r="A340" i="3"/>
  <c r="H339" i="3"/>
  <c r="G339" i="3"/>
  <c r="D339" i="3"/>
  <c r="C339" i="3"/>
  <c r="B339" i="3"/>
  <c r="A339" i="3"/>
  <c r="H338" i="3"/>
  <c r="G338" i="3"/>
  <c r="D338" i="3"/>
  <c r="C338" i="3"/>
  <c r="B338" i="3"/>
  <c r="A338" i="3"/>
  <c r="H337" i="3"/>
  <c r="G337" i="3"/>
  <c r="D337" i="3"/>
  <c r="C337" i="3"/>
  <c r="B337" i="3"/>
  <c r="A337" i="3"/>
  <c r="H336" i="3"/>
  <c r="G336" i="3"/>
  <c r="D336" i="3"/>
  <c r="C336" i="3"/>
  <c r="B336" i="3"/>
  <c r="A336" i="3"/>
  <c r="H335" i="3"/>
  <c r="G335" i="3"/>
  <c r="D335" i="3"/>
  <c r="C335" i="3"/>
  <c r="B335" i="3"/>
  <c r="A335" i="3"/>
  <c r="H334" i="3"/>
  <c r="G334" i="3"/>
  <c r="D334" i="3"/>
  <c r="C334" i="3"/>
  <c r="B334" i="3"/>
  <c r="A334" i="3"/>
  <c r="H333" i="3"/>
  <c r="G333" i="3"/>
  <c r="D333" i="3"/>
  <c r="C333" i="3"/>
  <c r="B333" i="3"/>
  <c r="A333" i="3"/>
  <c r="H332" i="3"/>
  <c r="G332" i="3"/>
  <c r="D332" i="3"/>
  <c r="C332" i="3"/>
  <c r="B332" i="3"/>
  <c r="A332" i="3"/>
  <c r="H331" i="3"/>
  <c r="G331" i="3"/>
  <c r="D331" i="3"/>
  <c r="C331" i="3"/>
  <c r="B331" i="3"/>
  <c r="A331" i="3"/>
  <c r="H330" i="3"/>
  <c r="G330" i="3"/>
  <c r="D330" i="3"/>
  <c r="C330" i="3"/>
  <c r="B330" i="3"/>
  <c r="A330" i="3"/>
  <c r="H329" i="3"/>
  <c r="G329" i="3"/>
  <c r="D329" i="3"/>
  <c r="C329" i="3"/>
  <c r="B329" i="3"/>
  <c r="A329" i="3"/>
  <c r="H328" i="3"/>
  <c r="G328" i="3"/>
  <c r="D328" i="3"/>
  <c r="C328" i="3"/>
  <c r="B328" i="3"/>
  <c r="A328" i="3"/>
  <c r="H327" i="3"/>
  <c r="G327" i="3"/>
  <c r="D327" i="3"/>
  <c r="C327" i="3"/>
  <c r="B327" i="3"/>
  <c r="A327" i="3"/>
  <c r="H326" i="3"/>
  <c r="G326" i="3"/>
  <c r="D326" i="3"/>
  <c r="C326" i="3"/>
  <c r="B326" i="3"/>
  <c r="A326" i="3"/>
  <c r="H325" i="3"/>
  <c r="G325" i="3"/>
  <c r="D325" i="3"/>
  <c r="C325" i="3"/>
  <c r="B325" i="3"/>
  <c r="A325" i="3"/>
  <c r="H324" i="3"/>
  <c r="G324" i="3"/>
  <c r="D324" i="3"/>
  <c r="C324" i="3"/>
  <c r="B324" i="3"/>
  <c r="A324" i="3"/>
  <c r="H323" i="3"/>
  <c r="G323" i="3"/>
  <c r="D323" i="3"/>
  <c r="C323" i="3"/>
  <c r="B323" i="3"/>
  <c r="A323" i="3"/>
  <c r="H322" i="3"/>
  <c r="G322" i="3"/>
  <c r="D322" i="3"/>
  <c r="C322" i="3"/>
  <c r="B322" i="3"/>
  <c r="A322" i="3"/>
  <c r="H321" i="3"/>
  <c r="G321" i="3"/>
  <c r="D321" i="3"/>
  <c r="C321" i="3"/>
  <c r="B321" i="3"/>
  <c r="A321" i="3"/>
  <c r="H320" i="3"/>
  <c r="G320" i="3"/>
  <c r="D320" i="3"/>
  <c r="C320" i="3"/>
  <c r="B320" i="3"/>
  <c r="A320" i="3"/>
  <c r="H319" i="3"/>
  <c r="G319" i="3"/>
  <c r="D319" i="3"/>
  <c r="C319" i="3"/>
  <c r="B319" i="3"/>
  <c r="A319" i="3"/>
  <c r="H318" i="3"/>
  <c r="G318" i="3"/>
  <c r="D318" i="3"/>
  <c r="C318" i="3"/>
  <c r="B318" i="3"/>
  <c r="A318" i="3"/>
  <c r="H317" i="3"/>
  <c r="G317" i="3"/>
  <c r="D317" i="3"/>
  <c r="C317" i="3"/>
  <c r="B317" i="3"/>
  <c r="A317" i="3"/>
  <c r="H316" i="3"/>
  <c r="G316" i="3"/>
  <c r="D316" i="3"/>
  <c r="C316" i="3"/>
  <c r="B316" i="3"/>
  <c r="A316" i="3"/>
  <c r="H315" i="3"/>
  <c r="G315" i="3"/>
  <c r="D315" i="3"/>
  <c r="C315" i="3"/>
  <c r="B315" i="3"/>
  <c r="A315" i="3"/>
  <c r="H314" i="3"/>
  <c r="G314" i="3"/>
  <c r="D314" i="3"/>
  <c r="C314" i="3"/>
  <c r="B314" i="3"/>
  <c r="A314" i="3"/>
  <c r="H313" i="3"/>
  <c r="G313" i="3"/>
  <c r="D313" i="3"/>
  <c r="C313" i="3"/>
  <c r="B313" i="3"/>
  <c r="A313" i="3"/>
  <c r="H312" i="3"/>
  <c r="G312" i="3"/>
  <c r="D312" i="3"/>
  <c r="C312" i="3"/>
  <c r="B312" i="3"/>
  <c r="A312" i="3"/>
  <c r="H311" i="3"/>
  <c r="G311" i="3"/>
  <c r="D311" i="3"/>
  <c r="C311" i="3"/>
  <c r="B311" i="3"/>
  <c r="A311" i="3"/>
  <c r="H310" i="3"/>
  <c r="G310" i="3"/>
  <c r="D310" i="3"/>
  <c r="C310" i="3"/>
  <c r="B310" i="3"/>
  <c r="A310" i="3"/>
  <c r="H309" i="3"/>
  <c r="G309" i="3"/>
  <c r="D309" i="3"/>
  <c r="C309" i="3"/>
  <c r="B309" i="3"/>
  <c r="A309" i="3"/>
  <c r="H308" i="3"/>
  <c r="G308" i="3"/>
  <c r="D308" i="3"/>
  <c r="C308" i="3"/>
  <c r="B308" i="3"/>
  <c r="A308" i="3"/>
  <c r="H307" i="3"/>
  <c r="G307" i="3"/>
  <c r="D307" i="3"/>
  <c r="C307" i="3"/>
  <c r="B307" i="3"/>
  <c r="A307" i="3"/>
  <c r="H306" i="3"/>
  <c r="G306" i="3"/>
  <c r="D306" i="3"/>
  <c r="C306" i="3"/>
  <c r="B306" i="3"/>
  <c r="A306" i="3"/>
  <c r="H305" i="3"/>
  <c r="G305" i="3"/>
  <c r="D305" i="3"/>
  <c r="C305" i="3"/>
  <c r="B305" i="3"/>
  <c r="A305" i="3"/>
  <c r="H304" i="3"/>
  <c r="G304" i="3"/>
  <c r="D304" i="3"/>
  <c r="C304" i="3"/>
  <c r="B304" i="3"/>
  <c r="A304" i="3"/>
  <c r="H303" i="3"/>
  <c r="G303" i="3"/>
  <c r="D303" i="3"/>
  <c r="C303" i="3"/>
  <c r="B303" i="3"/>
  <c r="A303" i="3"/>
  <c r="H302" i="3"/>
  <c r="G302" i="3"/>
  <c r="D302" i="3"/>
  <c r="C302" i="3"/>
  <c r="B302" i="3"/>
  <c r="A302" i="3"/>
  <c r="H301" i="3"/>
  <c r="G301" i="3"/>
  <c r="D301" i="3"/>
  <c r="C301" i="3"/>
  <c r="B301" i="3"/>
  <c r="A301" i="3"/>
  <c r="H300" i="3"/>
  <c r="G300" i="3"/>
  <c r="D300" i="3"/>
  <c r="C300" i="3"/>
  <c r="B300" i="3"/>
  <c r="A300" i="3"/>
  <c r="H299" i="3"/>
  <c r="G299" i="3"/>
  <c r="D299" i="3"/>
  <c r="C299" i="3"/>
  <c r="B299" i="3"/>
  <c r="A299" i="3"/>
  <c r="H298" i="3"/>
  <c r="G298" i="3"/>
  <c r="D298" i="3"/>
  <c r="C298" i="3"/>
  <c r="B298" i="3"/>
  <c r="A298" i="3"/>
  <c r="H297" i="3"/>
  <c r="G297" i="3"/>
  <c r="D297" i="3"/>
  <c r="C297" i="3"/>
  <c r="B297" i="3"/>
  <c r="A297" i="3"/>
  <c r="H296" i="3"/>
  <c r="G296" i="3"/>
  <c r="D296" i="3"/>
  <c r="C296" i="3"/>
  <c r="B296" i="3"/>
  <c r="A296" i="3"/>
  <c r="H295" i="3"/>
  <c r="G295" i="3"/>
  <c r="D295" i="3"/>
  <c r="C295" i="3"/>
  <c r="B295" i="3"/>
  <c r="A295" i="3"/>
  <c r="H294" i="3"/>
  <c r="G294" i="3"/>
  <c r="D294" i="3"/>
  <c r="C294" i="3"/>
  <c r="B294" i="3"/>
  <c r="A294" i="3"/>
  <c r="H293" i="3"/>
  <c r="G293" i="3"/>
  <c r="D293" i="3"/>
  <c r="C293" i="3"/>
  <c r="B293" i="3"/>
  <c r="A293" i="3"/>
  <c r="H292" i="3"/>
  <c r="G292" i="3"/>
  <c r="D292" i="3"/>
  <c r="C292" i="3"/>
  <c r="B292" i="3"/>
  <c r="A292" i="3"/>
  <c r="H291" i="3"/>
  <c r="G291" i="3"/>
  <c r="D291" i="3"/>
  <c r="C291" i="3"/>
  <c r="B291" i="3"/>
  <c r="A291" i="3"/>
  <c r="H290" i="3"/>
  <c r="G290" i="3"/>
  <c r="D290" i="3"/>
  <c r="C290" i="3"/>
  <c r="B290" i="3"/>
  <c r="A290" i="3"/>
  <c r="H289" i="3"/>
  <c r="G289" i="3"/>
  <c r="D289" i="3"/>
  <c r="C289" i="3"/>
  <c r="B289" i="3"/>
  <c r="A289" i="3"/>
  <c r="H288" i="3"/>
  <c r="G288" i="3"/>
  <c r="D288" i="3"/>
  <c r="C288" i="3"/>
  <c r="B288" i="3"/>
  <c r="A288" i="3"/>
  <c r="H287" i="3"/>
  <c r="G287" i="3"/>
  <c r="D287" i="3"/>
  <c r="C287" i="3"/>
  <c r="B287" i="3"/>
  <c r="A287" i="3"/>
  <c r="H864" i="3"/>
  <c r="G864" i="3"/>
  <c r="D864" i="3"/>
  <c r="C864" i="3"/>
  <c r="B864" i="3"/>
  <c r="A864" i="3"/>
  <c r="H1292" i="3"/>
  <c r="G1292" i="3"/>
  <c r="D1292" i="3"/>
  <c r="C1292" i="3"/>
  <c r="B1292" i="3"/>
  <c r="A1292" i="3"/>
  <c r="H875" i="3"/>
  <c r="G875" i="3"/>
  <c r="D875" i="3"/>
  <c r="C875" i="3"/>
  <c r="B875" i="3"/>
  <c r="A875" i="3"/>
  <c r="H1291" i="3"/>
  <c r="G1291" i="3"/>
  <c r="D1291" i="3"/>
  <c r="C1291" i="3"/>
  <c r="B1291" i="3"/>
  <c r="A1291" i="3"/>
  <c r="H874" i="3"/>
  <c r="G874" i="3"/>
  <c r="D874" i="3"/>
  <c r="C874" i="3"/>
  <c r="B874" i="3"/>
  <c r="A874" i="3"/>
  <c r="H1290" i="3"/>
  <c r="G1290" i="3"/>
  <c r="D1290" i="3"/>
  <c r="C1290" i="3"/>
  <c r="B1290" i="3"/>
  <c r="A1290" i="3"/>
  <c r="H1289" i="3"/>
  <c r="G1289" i="3"/>
  <c r="D1289" i="3"/>
  <c r="C1289" i="3"/>
  <c r="B1289" i="3"/>
  <c r="A1289" i="3"/>
  <c r="H1853" i="3"/>
  <c r="G1853" i="3"/>
  <c r="D1853" i="3"/>
  <c r="C1853" i="3"/>
  <c r="B1853" i="3"/>
  <c r="A1853" i="3"/>
  <c r="H1852" i="3"/>
  <c r="G1852" i="3"/>
  <c r="D1852" i="3"/>
  <c r="C1852" i="3"/>
  <c r="B1852" i="3"/>
  <c r="A1852" i="3"/>
  <c r="H1288" i="3"/>
  <c r="G1288" i="3"/>
  <c r="D1288" i="3"/>
  <c r="C1288" i="3"/>
  <c r="B1288" i="3"/>
  <c r="A1288" i="3"/>
  <c r="H1287" i="3"/>
  <c r="G1287" i="3"/>
  <c r="D1287" i="3"/>
  <c r="C1287" i="3"/>
  <c r="B1287" i="3"/>
  <c r="A1287" i="3"/>
  <c r="H873" i="3"/>
  <c r="G873" i="3"/>
  <c r="D873" i="3"/>
  <c r="C873" i="3"/>
  <c r="B873" i="3"/>
  <c r="A873" i="3"/>
  <c r="H1286" i="3"/>
  <c r="G1286" i="3"/>
  <c r="D1286" i="3"/>
  <c r="C1286" i="3"/>
  <c r="B1286" i="3"/>
  <c r="A1286" i="3"/>
  <c r="H1285" i="3"/>
  <c r="G1285" i="3"/>
  <c r="D1285" i="3"/>
  <c r="C1285" i="3"/>
  <c r="B1285" i="3"/>
  <c r="A1285" i="3"/>
  <c r="H1284" i="3"/>
  <c r="G1284" i="3"/>
  <c r="D1284" i="3"/>
  <c r="C1284" i="3"/>
  <c r="B1284" i="3"/>
  <c r="A1284" i="3"/>
  <c r="H1283" i="3"/>
  <c r="G1283" i="3"/>
  <c r="D1283" i="3"/>
  <c r="C1283" i="3"/>
  <c r="B1283" i="3"/>
  <c r="A1283" i="3"/>
  <c r="H1282" i="3"/>
  <c r="G1282" i="3"/>
  <c r="D1282" i="3"/>
  <c r="C1282" i="3"/>
  <c r="B1282" i="3"/>
  <c r="A1282" i="3"/>
  <c r="H1281" i="3"/>
  <c r="G1281" i="3"/>
  <c r="D1281" i="3"/>
  <c r="C1281" i="3"/>
  <c r="B1281" i="3"/>
  <c r="A1281" i="3"/>
  <c r="H1280" i="3"/>
  <c r="G1280" i="3"/>
  <c r="D1280" i="3"/>
  <c r="C1280" i="3"/>
  <c r="B1280" i="3"/>
  <c r="A1280" i="3"/>
  <c r="H1279" i="3"/>
  <c r="G1279" i="3"/>
  <c r="D1279" i="3"/>
  <c r="C1279" i="3"/>
  <c r="B1279" i="3"/>
  <c r="A1279" i="3"/>
  <c r="H1278" i="3"/>
  <c r="G1278" i="3"/>
  <c r="D1278" i="3"/>
  <c r="C1278" i="3"/>
  <c r="B1278" i="3"/>
  <c r="A1278" i="3"/>
  <c r="H1277" i="3"/>
  <c r="G1277" i="3"/>
  <c r="D1277" i="3"/>
  <c r="C1277" i="3"/>
  <c r="B1277" i="3"/>
  <c r="A1277" i="3"/>
  <c r="H1276" i="3"/>
  <c r="G1276" i="3"/>
  <c r="D1276" i="3"/>
  <c r="C1276" i="3"/>
  <c r="B1276" i="3"/>
  <c r="A1276" i="3"/>
  <c r="H1275" i="3"/>
  <c r="G1275" i="3"/>
  <c r="D1275" i="3"/>
  <c r="C1275" i="3"/>
  <c r="B1275" i="3"/>
  <c r="A1275" i="3"/>
  <c r="H1274" i="3"/>
  <c r="G1274" i="3"/>
  <c r="D1274" i="3"/>
  <c r="C1274" i="3"/>
  <c r="B1274" i="3"/>
  <c r="A1274" i="3"/>
  <c r="H1273" i="3"/>
  <c r="G1273" i="3"/>
  <c r="D1273" i="3"/>
  <c r="C1273" i="3"/>
  <c r="B1273" i="3"/>
  <c r="A1273" i="3"/>
  <c r="H1272" i="3"/>
  <c r="G1272" i="3"/>
  <c r="D1272" i="3"/>
  <c r="C1272" i="3"/>
  <c r="B1272" i="3"/>
  <c r="A1272" i="3"/>
  <c r="H1271" i="3"/>
  <c r="G1271" i="3"/>
  <c r="D1271" i="3"/>
  <c r="C1271" i="3"/>
  <c r="B1271" i="3"/>
  <c r="A1271" i="3"/>
  <c r="H1270" i="3"/>
  <c r="G1270" i="3"/>
  <c r="D1270" i="3"/>
  <c r="C1270" i="3"/>
  <c r="B1270" i="3"/>
  <c r="A1270" i="3"/>
  <c r="H1269" i="3"/>
  <c r="G1269" i="3"/>
  <c r="D1269" i="3"/>
  <c r="C1269" i="3"/>
  <c r="B1269" i="3"/>
  <c r="A1269" i="3"/>
  <c r="H1268" i="3"/>
  <c r="G1268" i="3"/>
  <c r="D1268" i="3"/>
  <c r="C1268" i="3"/>
  <c r="B1268" i="3"/>
  <c r="A1268" i="3"/>
  <c r="H1267" i="3"/>
  <c r="G1267" i="3"/>
  <c r="D1267" i="3"/>
  <c r="C1267" i="3"/>
  <c r="B1267" i="3"/>
  <c r="A1267" i="3"/>
  <c r="H286" i="3"/>
  <c r="G286" i="3"/>
  <c r="D286" i="3"/>
  <c r="C286" i="3"/>
  <c r="B286" i="3"/>
  <c r="A286" i="3"/>
  <c r="H285" i="3"/>
  <c r="G285" i="3"/>
  <c r="D285" i="3"/>
  <c r="C285" i="3"/>
  <c r="B285" i="3"/>
  <c r="A285" i="3"/>
  <c r="H1266" i="3"/>
  <c r="G1266" i="3"/>
  <c r="D1266" i="3"/>
  <c r="C1266" i="3"/>
  <c r="B1266" i="3"/>
  <c r="A1266" i="3"/>
  <c r="H284" i="3"/>
  <c r="G284" i="3"/>
  <c r="D284" i="3"/>
  <c r="C284" i="3"/>
  <c r="B284" i="3"/>
  <c r="A284" i="3"/>
  <c r="H1265" i="3"/>
  <c r="G1265" i="3"/>
  <c r="D1265" i="3"/>
  <c r="C1265" i="3"/>
  <c r="B1265" i="3"/>
  <c r="A1265" i="3"/>
  <c r="H1264" i="3"/>
  <c r="G1264" i="3"/>
  <c r="D1264" i="3"/>
  <c r="C1264" i="3"/>
  <c r="B1264" i="3"/>
  <c r="A1264" i="3"/>
  <c r="H1263" i="3"/>
  <c r="G1263" i="3"/>
  <c r="D1263" i="3"/>
  <c r="C1263" i="3"/>
  <c r="B1263" i="3"/>
  <c r="A1263" i="3"/>
  <c r="H1262" i="3"/>
  <c r="G1262" i="3"/>
  <c r="D1262" i="3"/>
  <c r="C1262" i="3"/>
  <c r="B1262" i="3"/>
  <c r="A1262" i="3"/>
  <c r="H1261" i="3"/>
  <c r="G1261" i="3"/>
  <c r="D1261" i="3"/>
  <c r="C1261" i="3"/>
  <c r="B1261" i="3"/>
  <c r="A1261" i="3"/>
  <c r="H1260" i="3"/>
  <c r="G1260" i="3"/>
  <c r="D1260" i="3"/>
  <c r="C1260" i="3"/>
  <c r="B1260" i="3"/>
  <c r="A1260" i="3"/>
  <c r="H1259" i="3"/>
  <c r="G1259" i="3"/>
  <c r="D1259" i="3"/>
  <c r="C1259" i="3"/>
  <c r="B1259" i="3"/>
  <c r="A1259" i="3"/>
  <c r="H1258" i="3"/>
  <c r="G1258" i="3"/>
  <c r="D1258" i="3"/>
  <c r="C1258" i="3"/>
  <c r="B1258" i="3"/>
  <c r="A1258" i="3"/>
  <c r="H1257" i="3"/>
  <c r="G1257" i="3"/>
  <c r="D1257" i="3"/>
  <c r="C1257" i="3"/>
  <c r="B1257" i="3"/>
  <c r="A1257" i="3"/>
  <c r="H1256" i="3"/>
  <c r="G1256" i="3"/>
  <c r="D1256" i="3"/>
  <c r="C1256" i="3"/>
  <c r="B1256" i="3"/>
  <c r="A1256" i="3"/>
  <c r="H1255" i="3"/>
  <c r="G1255" i="3"/>
  <c r="D1255" i="3"/>
  <c r="C1255" i="3"/>
  <c r="B1255" i="3"/>
  <c r="A1255" i="3"/>
  <c r="H1254" i="3"/>
  <c r="G1254" i="3"/>
  <c r="D1254" i="3"/>
  <c r="C1254" i="3"/>
  <c r="B1254" i="3"/>
  <c r="A1254" i="3"/>
  <c r="H1253" i="3"/>
  <c r="G1253" i="3"/>
  <c r="D1253" i="3"/>
  <c r="C1253" i="3"/>
  <c r="B1253" i="3"/>
  <c r="A1253" i="3"/>
  <c r="H1252" i="3"/>
  <c r="G1252" i="3"/>
  <c r="D1252" i="3"/>
  <c r="C1252" i="3"/>
  <c r="B1252" i="3"/>
  <c r="A1252" i="3"/>
  <c r="H1251" i="3"/>
  <c r="G1251" i="3"/>
  <c r="D1251" i="3"/>
  <c r="C1251" i="3"/>
  <c r="B1251" i="3"/>
  <c r="A1251" i="3"/>
  <c r="H1250" i="3"/>
  <c r="G1250" i="3"/>
  <c r="D1250" i="3"/>
  <c r="C1250" i="3"/>
  <c r="B1250" i="3"/>
  <c r="A1250" i="3"/>
  <c r="H1249" i="3"/>
  <c r="G1249" i="3"/>
  <c r="D1249" i="3"/>
  <c r="C1249" i="3"/>
  <c r="B1249" i="3"/>
  <c r="A1249" i="3"/>
  <c r="H1248" i="3"/>
  <c r="G1248" i="3"/>
  <c r="D1248" i="3"/>
  <c r="C1248" i="3"/>
  <c r="B1248" i="3"/>
  <c r="A1248" i="3"/>
  <c r="H1247" i="3"/>
  <c r="G1247" i="3"/>
  <c r="D1247" i="3"/>
  <c r="C1247" i="3"/>
  <c r="B1247" i="3"/>
  <c r="A1247" i="3"/>
  <c r="H1246" i="3"/>
  <c r="G1246" i="3"/>
  <c r="D1246" i="3"/>
  <c r="C1246" i="3"/>
  <c r="B1246" i="3"/>
  <c r="A1246" i="3"/>
  <c r="H1245" i="3"/>
  <c r="G1245" i="3"/>
  <c r="D1245" i="3"/>
  <c r="C1245" i="3"/>
  <c r="B1245" i="3"/>
  <c r="A1245" i="3"/>
  <c r="H1851" i="3"/>
  <c r="G1851" i="3"/>
  <c r="D1851" i="3"/>
  <c r="C1851" i="3"/>
  <c r="B1851" i="3"/>
  <c r="A1851" i="3"/>
  <c r="H1850" i="3"/>
  <c r="G1850" i="3"/>
  <c r="D1850" i="3"/>
  <c r="C1850" i="3"/>
  <c r="B1850" i="3"/>
  <c r="A1850" i="3"/>
  <c r="H1849" i="3"/>
  <c r="G1849" i="3"/>
  <c r="D1849" i="3"/>
  <c r="C1849" i="3"/>
  <c r="B1849" i="3"/>
  <c r="A1849" i="3"/>
  <c r="H1848" i="3"/>
  <c r="G1848" i="3"/>
  <c r="D1848" i="3"/>
  <c r="C1848" i="3"/>
  <c r="B1848" i="3"/>
  <c r="A1848" i="3"/>
  <c r="H1847" i="3"/>
  <c r="G1847" i="3"/>
  <c r="D1847" i="3"/>
  <c r="C1847" i="3"/>
  <c r="B1847" i="3"/>
  <c r="A1847" i="3"/>
  <c r="H1846" i="3"/>
  <c r="G1846" i="3"/>
  <c r="D1846" i="3"/>
  <c r="C1846" i="3"/>
  <c r="B1846" i="3"/>
  <c r="A1846" i="3"/>
  <c r="H1845" i="3"/>
  <c r="G1845" i="3"/>
  <c r="D1845" i="3"/>
  <c r="C1845" i="3"/>
  <c r="B1845" i="3"/>
  <c r="A1845" i="3"/>
  <c r="H1844" i="3"/>
  <c r="G1844" i="3"/>
  <c r="D1844" i="3"/>
  <c r="C1844" i="3"/>
  <c r="B1844" i="3"/>
  <c r="A1844" i="3"/>
  <c r="H1843" i="3"/>
  <c r="G1843" i="3"/>
  <c r="D1843" i="3"/>
  <c r="C1843" i="3"/>
  <c r="B1843" i="3"/>
  <c r="A1843" i="3"/>
  <c r="H1842" i="3"/>
  <c r="G1842" i="3"/>
  <c r="D1842" i="3"/>
  <c r="C1842" i="3"/>
  <c r="B1842" i="3"/>
  <c r="A1842" i="3"/>
  <c r="H1841" i="3"/>
  <c r="G1841" i="3"/>
  <c r="D1841" i="3"/>
  <c r="C1841" i="3"/>
  <c r="B1841" i="3"/>
  <c r="A1841" i="3"/>
  <c r="H1840" i="3"/>
  <c r="G1840" i="3"/>
  <c r="D1840" i="3"/>
  <c r="C1840" i="3"/>
  <c r="B1840" i="3"/>
  <c r="A1840" i="3"/>
  <c r="H1839" i="3"/>
  <c r="G1839" i="3"/>
  <c r="D1839" i="3"/>
  <c r="C1839" i="3"/>
  <c r="B1839" i="3"/>
  <c r="A1839" i="3"/>
  <c r="H1838" i="3"/>
  <c r="G1838" i="3"/>
  <c r="D1838" i="3"/>
  <c r="C1838" i="3"/>
  <c r="B1838" i="3"/>
  <c r="A1838" i="3"/>
  <c r="H1837" i="3"/>
  <c r="G1837" i="3"/>
  <c r="D1837" i="3"/>
  <c r="C1837" i="3"/>
  <c r="B1837" i="3"/>
  <c r="A1837" i="3"/>
  <c r="H1836" i="3"/>
  <c r="G1836" i="3"/>
  <c r="D1836" i="3"/>
  <c r="C1836" i="3"/>
  <c r="B1836" i="3"/>
  <c r="A1836" i="3"/>
  <c r="H1835" i="3"/>
  <c r="G1835" i="3"/>
  <c r="D1835" i="3"/>
  <c r="C1835" i="3"/>
  <c r="B1835" i="3"/>
  <c r="A1835" i="3"/>
  <c r="H1834" i="3"/>
  <c r="G1834" i="3"/>
  <c r="D1834" i="3"/>
  <c r="C1834" i="3"/>
  <c r="B1834" i="3"/>
  <c r="A1834" i="3"/>
  <c r="H1833" i="3"/>
  <c r="G1833" i="3"/>
  <c r="D1833" i="3"/>
  <c r="C1833" i="3"/>
  <c r="B1833" i="3"/>
  <c r="A1833" i="3"/>
  <c r="H1832" i="3"/>
  <c r="G1832" i="3"/>
  <c r="D1832" i="3"/>
  <c r="C1832" i="3"/>
  <c r="B1832" i="3"/>
  <c r="A1832" i="3"/>
  <c r="H1831" i="3"/>
  <c r="G1831" i="3"/>
  <c r="D1831" i="3"/>
  <c r="C1831" i="3"/>
  <c r="B1831" i="3"/>
  <c r="A1831" i="3"/>
  <c r="H1830" i="3"/>
  <c r="G1830" i="3"/>
  <c r="D1830" i="3"/>
  <c r="C1830" i="3"/>
  <c r="B1830" i="3"/>
  <c r="A1830" i="3"/>
  <c r="H1829" i="3"/>
  <c r="G1829" i="3"/>
  <c r="D1829" i="3"/>
  <c r="C1829" i="3"/>
  <c r="B1829" i="3"/>
  <c r="A1829" i="3"/>
  <c r="H1828" i="3"/>
  <c r="G1828" i="3"/>
  <c r="D1828" i="3"/>
  <c r="C1828" i="3"/>
  <c r="B1828" i="3"/>
  <c r="A1828" i="3"/>
  <c r="H1827" i="3"/>
  <c r="G1827" i="3"/>
  <c r="D1827" i="3"/>
  <c r="C1827" i="3"/>
  <c r="B1827" i="3"/>
  <c r="A1827" i="3"/>
  <c r="H1826" i="3"/>
  <c r="G1826" i="3"/>
  <c r="D1826" i="3"/>
  <c r="C1826" i="3"/>
  <c r="B1826" i="3"/>
  <c r="A1826" i="3"/>
  <c r="H1825" i="3"/>
  <c r="G1825" i="3"/>
  <c r="D1825" i="3"/>
  <c r="C1825" i="3"/>
  <c r="B1825" i="3"/>
  <c r="A1825" i="3"/>
  <c r="H1824" i="3"/>
  <c r="G1824" i="3"/>
  <c r="D1824" i="3"/>
  <c r="C1824" i="3"/>
  <c r="B1824" i="3"/>
  <c r="A1824" i="3"/>
  <c r="H1823" i="3"/>
  <c r="G1823" i="3"/>
  <c r="D1823" i="3"/>
  <c r="C1823" i="3"/>
  <c r="B1823" i="3"/>
  <c r="A1823" i="3"/>
  <c r="H1822" i="3"/>
  <c r="G1822" i="3"/>
  <c r="D1822" i="3"/>
  <c r="C1822" i="3"/>
  <c r="B1822" i="3"/>
  <c r="A1822" i="3"/>
  <c r="H1821" i="3"/>
  <c r="G1821" i="3"/>
  <c r="D1821" i="3"/>
  <c r="C1821" i="3"/>
  <c r="B1821" i="3"/>
  <c r="A1821" i="3"/>
  <c r="H1820" i="3"/>
  <c r="G1820" i="3"/>
  <c r="D1820" i="3"/>
  <c r="C1820" i="3"/>
  <c r="B1820" i="3"/>
  <c r="A1820" i="3"/>
  <c r="H1819" i="3"/>
  <c r="G1819" i="3"/>
  <c r="D1819" i="3"/>
  <c r="C1819" i="3"/>
  <c r="B1819" i="3"/>
  <c r="A1819" i="3"/>
  <c r="H1818" i="3"/>
  <c r="G1818" i="3"/>
  <c r="D1818" i="3"/>
  <c r="C1818" i="3"/>
  <c r="B1818" i="3"/>
  <c r="A1818" i="3"/>
  <c r="H1817" i="3"/>
  <c r="G1817" i="3"/>
  <c r="D1817" i="3"/>
  <c r="C1817" i="3"/>
  <c r="B1817" i="3"/>
  <c r="A1817" i="3"/>
  <c r="H1816" i="3"/>
  <c r="G1816" i="3"/>
  <c r="D1816" i="3"/>
  <c r="C1816" i="3"/>
  <c r="B1816" i="3"/>
  <c r="A1816" i="3"/>
  <c r="H1815" i="3"/>
  <c r="G1815" i="3"/>
  <c r="D1815" i="3"/>
  <c r="C1815" i="3"/>
  <c r="B1815" i="3"/>
  <c r="A1815" i="3"/>
  <c r="H1814" i="3"/>
  <c r="G1814" i="3"/>
  <c r="D1814" i="3"/>
  <c r="C1814" i="3"/>
  <c r="B1814" i="3"/>
  <c r="A1814" i="3"/>
  <c r="H1813" i="3"/>
  <c r="G1813" i="3"/>
  <c r="D1813" i="3"/>
  <c r="C1813" i="3"/>
  <c r="B1813" i="3"/>
  <c r="A1813" i="3"/>
  <c r="H1812" i="3"/>
  <c r="G1812" i="3"/>
  <c r="D1812" i="3"/>
  <c r="C1812" i="3"/>
  <c r="B1812" i="3"/>
  <c r="A1812" i="3"/>
  <c r="H1811" i="3"/>
  <c r="G1811" i="3"/>
  <c r="D1811" i="3"/>
  <c r="C1811" i="3"/>
  <c r="B1811" i="3"/>
  <c r="A1811" i="3"/>
  <c r="H1810" i="3"/>
  <c r="G1810" i="3"/>
  <c r="D1810" i="3"/>
  <c r="C1810" i="3"/>
  <c r="B1810" i="3"/>
  <c r="A1810" i="3"/>
  <c r="H1809" i="3"/>
  <c r="G1809" i="3"/>
  <c r="D1809" i="3"/>
  <c r="C1809" i="3"/>
  <c r="B1809" i="3"/>
  <c r="A1809" i="3"/>
  <c r="H1808" i="3"/>
  <c r="G1808" i="3"/>
  <c r="D1808" i="3"/>
  <c r="C1808" i="3"/>
  <c r="B1808" i="3"/>
  <c r="A1808" i="3"/>
  <c r="H1807" i="3"/>
  <c r="G1807" i="3"/>
  <c r="D1807" i="3"/>
  <c r="C1807" i="3"/>
  <c r="B1807" i="3"/>
  <c r="A1807" i="3"/>
  <c r="H1806" i="3"/>
  <c r="G1806" i="3"/>
  <c r="D1806" i="3"/>
  <c r="C1806" i="3"/>
  <c r="B1806" i="3"/>
  <c r="A1806" i="3"/>
  <c r="H1805" i="3"/>
  <c r="G1805" i="3"/>
  <c r="D1805" i="3"/>
  <c r="C1805" i="3"/>
  <c r="B1805" i="3"/>
  <c r="A1805" i="3"/>
  <c r="H1804" i="3"/>
  <c r="G1804" i="3"/>
  <c r="D1804" i="3"/>
  <c r="C1804" i="3"/>
  <c r="B1804" i="3"/>
  <c r="A1804" i="3"/>
  <c r="H1803" i="3"/>
  <c r="G1803" i="3"/>
  <c r="D1803" i="3"/>
  <c r="C1803" i="3"/>
  <c r="B1803" i="3"/>
  <c r="A1803" i="3"/>
  <c r="H1802" i="3"/>
  <c r="G1802" i="3"/>
  <c r="D1802" i="3"/>
  <c r="C1802" i="3"/>
  <c r="B1802" i="3"/>
  <c r="A1802" i="3"/>
  <c r="H1801" i="3"/>
  <c r="G1801" i="3"/>
  <c r="D1801" i="3"/>
  <c r="C1801" i="3"/>
  <c r="B1801" i="3"/>
  <c r="A1801" i="3"/>
  <c r="H1800" i="3"/>
  <c r="G1800" i="3"/>
  <c r="D1800" i="3"/>
  <c r="C1800" i="3"/>
  <c r="B1800" i="3"/>
  <c r="A1800" i="3"/>
  <c r="H1799" i="3"/>
  <c r="G1799" i="3"/>
  <c r="D1799" i="3"/>
  <c r="C1799" i="3"/>
  <c r="B1799" i="3"/>
  <c r="A1799" i="3"/>
  <c r="H1798" i="3"/>
  <c r="G1798" i="3"/>
  <c r="D1798" i="3"/>
  <c r="C1798" i="3"/>
  <c r="B1798" i="3"/>
  <c r="A1798" i="3"/>
  <c r="H1797" i="3"/>
  <c r="G1797" i="3"/>
  <c r="D1797" i="3"/>
  <c r="C1797" i="3"/>
  <c r="B1797" i="3"/>
  <c r="A1797" i="3"/>
  <c r="H1796" i="3"/>
  <c r="G1796" i="3"/>
  <c r="D1796" i="3"/>
  <c r="C1796" i="3"/>
  <c r="B1796" i="3"/>
  <c r="A1796" i="3"/>
  <c r="H1795" i="3"/>
  <c r="G1795" i="3"/>
  <c r="D1795" i="3"/>
  <c r="C1795" i="3"/>
  <c r="B1795" i="3"/>
  <c r="A1795" i="3"/>
  <c r="H1794" i="3"/>
  <c r="G1794" i="3"/>
  <c r="D1794" i="3"/>
  <c r="C1794" i="3"/>
  <c r="B1794" i="3"/>
  <c r="A1794" i="3"/>
  <c r="H1793" i="3"/>
  <c r="G1793" i="3"/>
  <c r="D1793" i="3"/>
  <c r="C1793" i="3"/>
  <c r="B1793" i="3"/>
  <c r="A1793" i="3"/>
  <c r="H1792" i="3"/>
  <c r="G1792" i="3"/>
  <c r="D1792" i="3"/>
  <c r="C1792" i="3"/>
  <c r="B1792" i="3"/>
  <c r="A1792" i="3"/>
  <c r="H1791" i="3"/>
  <c r="G1791" i="3"/>
  <c r="D1791" i="3"/>
  <c r="C1791" i="3"/>
  <c r="B1791" i="3"/>
  <c r="A1791" i="3"/>
  <c r="H1790" i="3"/>
  <c r="G1790" i="3"/>
  <c r="D1790" i="3"/>
  <c r="C1790" i="3"/>
  <c r="B1790" i="3"/>
  <c r="A1790" i="3"/>
  <c r="H1789" i="3"/>
  <c r="G1789" i="3"/>
  <c r="D1789" i="3"/>
  <c r="C1789" i="3"/>
  <c r="B1789" i="3"/>
  <c r="A1789" i="3"/>
  <c r="H1788" i="3"/>
  <c r="G1788" i="3"/>
  <c r="D1788" i="3"/>
  <c r="C1788" i="3"/>
  <c r="B1788" i="3"/>
  <c r="A1788" i="3"/>
  <c r="H1787" i="3"/>
  <c r="G1787" i="3"/>
  <c r="D1787" i="3"/>
  <c r="C1787" i="3"/>
  <c r="B1787" i="3"/>
  <c r="A1787" i="3"/>
  <c r="H1786" i="3"/>
  <c r="G1786" i="3"/>
  <c r="D1786" i="3"/>
  <c r="C1786" i="3"/>
  <c r="B1786" i="3"/>
  <c r="A1786" i="3"/>
  <c r="H1785" i="3"/>
  <c r="G1785" i="3"/>
  <c r="D1785" i="3"/>
  <c r="C1785" i="3"/>
  <c r="B1785" i="3"/>
  <c r="A1785" i="3"/>
  <c r="H1784" i="3"/>
  <c r="G1784" i="3"/>
  <c r="D1784" i="3"/>
  <c r="C1784" i="3"/>
  <c r="B1784" i="3"/>
  <c r="A1784" i="3"/>
  <c r="H1783" i="3"/>
  <c r="G1783" i="3"/>
  <c r="D1783" i="3"/>
  <c r="C1783" i="3"/>
  <c r="B1783" i="3"/>
  <c r="A1783" i="3"/>
  <c r="H1782" i="3"/>
  <c r="G1782" i="3"/>
  <c r="D1782" i="3"/>
  <c r="C1782" i="3"/>
  <c r="B1782" i="3"/>
  <c r="A1782" i="3"/>
  <c r="H1781" i="3"/>
  <c r="G1781" i="3"/>
  <c r="D1781" i="3"/>
  <c r="C1781" i="3"/>
  <c r="B1781" i="3"/>
  <c r="A1781" i="3"/>
  <c r="H1780" i="3"/>
  <c r="G1780" i="3"/>
  <c r="D1780" i="3"/>
  <c r="C1780" i="3"/>
  <c r="B1780" i="3"/>
  <c r="A1780" i="3"/>
  <c r="H1779" i="3"/>
  <c r="G1779" i="3"/>
  <c r="D1779" i="3"/>
  <c r="C1779" i="3"/>
  <c r="B1779" i="3"/>
  <c r="A1779" i="3"/>
  <c r="H1778" i="3"/>
  <c r="G1778" i="3"/>
  <c r="D1778" i="3"/>
  <c r="C1778" i="3"/>
  <c r="B1778" i="3"/>
  <c r="A1778" i="3"/>
  <c r="H1777" i="3"/>
  <c r="G1777" i="3"/>
  <c r="D1777" i="3"/>
  <c r="C1777" i="3"/>
  <c r="B1777" i="3"/>
  <c r="A1777" i="3"/>
  <c r="H1776" i="3"/>
  <c r="G1776" i="3"/>
  <c r="D1776" i="3"/>
  <c r="C1776" i="3"/>
  <c r="B1776" i="3"/>
  <c r="A1776" i="3"/>
  <c r="H1775" i="3"/>
  <c r="G1775" i="3"/>
  <c r="D1775" i="3"/>
  <c r="C1775" i="3"/>
  <c r="B1775" i="3"/>
  <c r="A1775" i="3"/>
  <c r="H1774" i="3"/>
  <c r="G1774" i="3"/>
  <c r="D1774" i="3"/>
  <c r="C1774" i="3"/>
  <c r="B1774" i="3"/>
  <c r="A1774" i="3"/>
  <c r="H1773" i="3"/>
  <c r="G1773" i="3"/>
  <c r="D1773" i="3"/>
  <c r="C1773" i="3"/>
  <c r="B1773" i="3"/>
  <c r="A1773" i="3"/>
  <c r="H1772" i="3"/>
  <c r="G1772" i="3"/>
  <c r="D1772" i="3"/>
  <c r="C1772" i="3"/>
  <c r="B1772" i="3"/>
  <c r="A1772" i="3"/>
  <c r="H1771" i="3"/>
  <c r="G1771" i="3"/>
  <c r="D1771" i="3"/>
  <c r="C1771" i="3"/>
  <c r="B1771" i="3"/>
  <c r="A1771" i="3"/>
  <c r="H1770" i="3"/>
  <c r="G1770" i="3"/>
  <c r="D1770" i="3"/>
  <c r="C1770" i="3"/>
  <c r="B1770" i="3"/>
  <c r="A1770" i="3"/>
  <c r="H1769" i="3"/>
  <c r="G1769" i="3"/>
  <c r="D1769" i="3"/>
  <c r="C1769" i="3"/>
  <c r="B1769" i="3"/>
  <c r="A1769" i="3"/>
  <c r="H1768" i="3"/>
  <c r="G1768" i="3"/>
  <c r="D1768" i="3"/>
  <c r="C1768" i="3"/>
  <c r="B1768" i="3"/>
  <c r="A1768" i="3"/>
  <c r="H1767" i="3"/>
  <c r="G1767" i="3"/>
  <c r="D1767" i="3"/>
  <c r="C1767" i="3"/>
  <c r="B1767" i="3"/>
  <c r="A1767" i="3"/>
  <c r="H1766" i="3"/>
  <c r="G1766" i="3"/>
  <c r="D1766" i="3"/>
  <c r="C1766" i="3"/>
  <c r="B1766" i="3"/>
  <c r="A1766" i="3"/>
  <c r="H1765" i="3"/>
  <c r="G1765" i="3"/>
  <c r="D1765" i="3"/>
  <c r="C1765" i="3"/>
  <c r="B1765" i="3"/>
  <c r="A1765" i="3"/>
  <c r="H1764" i="3"/>
  <c r="G1764" i="3"/>
  <c r="D1764" i="3"/>
  <c r="C1764" i="3"/>
  <c r="B1764" i="3"/>
  <c r="A1764" i="3"/>
  <c r="H1763" i="3"/>
  <c r="G1763" i="3"/>
  <c r="D1763" i="3"/>
  <c r="C1763" i="3"/>
  <c r="B1763" i="3"/>
  <c r="A1763" i="3"/>
  <c r="H1762" i="3"/>
  <c r="G1762" i="3"/>
  <c r="D1762" i="3"/>
  <c r="C1762" i="3"/>
  <c r="B1762" i="3"/>
  <c r="A1762" i="3"/>
  <c r="H1761" i="3"/>
  <c r="G1761" i="3"/>
  <c r="D1761" i="3"/>
  <c r="C1761" i="3"/>
  <c r="B1761" i="3"/>
  <c r="A1761" i="3"/>
  <c r="H1760" i="3"/>
  <c r="G1760" i="3"/>
  <c r="D1760" i="3"/>
  <c r="C1760" i="3"/>
  <c r="B1760" i="3"/>
  <c r="A1760" i="3"/>
  <c r="H1759" i="3"/>
  <c r="G1759" i="3"/>
  <c r="D1759" i="3"/>
  <c r="C1759" i="3"/>
  <c r="B1759" i="3"/>
  <c r="A1759" i="3"/>
  <c r="H1758" i="3"/>
  <c r="G1758" i="3"/>
  <c r="D1758" i="3"/>
  <c r="C1758" i="3"/>
  <c r="B1758" i="3"/>
  <c r="A1758" i="3"/>
  <c r="H1757" i="3"/>
  <c r="G1757" i="3"/>
  <c r="D1757" i="3"/>
  <c r="C1757" i="3"/>
  <c r="B1757" i="3"/>
  <c r="A1757" i="3"/>
  <c r="H1756" i="3"/>
  <c r="G1756" i="3"/>
  <c r="D1756" i="3"/>
  <c r="C1756" i="3"/>
  <c r="B1756" i="3"/>
  <c r="A1756" i="3"/>
  <c r="H1755" i="3"/>
  <c r="G1755" i="3"/>
  <c r="D1755" i="3"/>
  <c r="C1755" i="3"/>
  <c r="B1755" i="3"/>
  <c r="A1755" i="3"/>
  <c r="H1754" i="3"/>
  <c r="G1754" i="3"/>
  <c r="D1754" i="3"/>
  <c r="C1754" i="3"/>
  <c r="B1754" i="3"/>
  <c r="A1754" i="3"/>
  <c r="H1753" i="3"/>
  <c r="G1753" i="3"/>
  <c r="D1753" i="3"/>
  <c r="C1753" i="3"/>
  <c r="B1753" i="3"/>
  <c r="A1753" i="3"/>
  <c r="H1752" i="3"/>
  <c r="G1752" i="3"/>
  <c r="D1752" i="3"/>
  <c r="C1752" i="3"/>
  <c r="B1752" i="3"/>
  <c r="A1752" i="3"/>
  <c r="H1751" i="3"/>
  <c r="G1751" i="3"/>
  <c r="D1751" i="3"/>
  <c r="C1751" i="3"/>
  <c r="B1751" i="3"/>
  <c r="A1751" i="3"/>
  <c r="H1750" i="3"/>
  <c r="G1750" i="3"/>
  <c r="D1750" i="3"/>
  <c r="C1750" i="3"/>
  <c r="B1750" i="3"/>
  <c r="A1750" i="3"/>
  <c r="H1749" i="3"/>
  <c r="G1749" i="3"/>
  <c r="D1749" i="3"/>
  <c r="C1749" i="3"/>
  <c r="B1749" i="3"/>
  <c r="A1749" i="3"/>
  <c r="H1748" i="3"/>
  <c r="G1748" i="3"/>
  <c r="D1748" i="3"/>
  <c r="C1748" i="3"/>
  <c r="B1748" i="3"/>
  <c r="A1748" i="3"/>
  <c r="H1747" i="3"/>
  <c r="G1747" i="3"/>
  <c r="D1747" i="3"/>
  <c r="C1747" i="3"/>
  <c r="B1747" i="3"/>
  <c r="A1747" i="3"/>
  <c r="H1746" i="3"/>
  <c r="G1746" i="3"/>
  <c r="D1746" i="3"/>
  <c r="C1746" i="3"/>
  <c r="B1746" i="3"/>
  <c r="A1746" i="3"/>
  <c r="H1745" i="3"/>
  <c r="G1745" i="3"/>
  <c r="D1745" i="3"/>
  <c r="C1745" i="3"/>
  <c r="B1745" i="3"/>
  <c r="A1745" i="3"/>
  <c r="H1744" i="3"/>
  <c r="G1744" i="3"/>
  <c r="D1744" i="3"/>
  <c r="C1744" i="3"/>
  <c r="B1744" i="3"/>
  <c r="A1744" i="3"/>
  <c r="H1743" i="3"/>
  <c r="G1743" i="3"/>
  <c r="D1743" i="3"/>
  <c r="C1743" i="3"/>
  <c r="B1743" i="3"/>
  <c r="A1743" i="3"/>
  <c r="H1742" i="3"/>
  <c r="G1742" i="3"/>
  <c r="D1742" i="3"/>
  <c r="C1742" i="3"/>
  <c r="B1742" i="3"/>
  <c r="A1742" i="3"/>
  <c r="H1741" i="3"/>
  <c r="G1741" i="3"/>
  <c r="D1741" i="3"/>
  <c r="C1741" i="3"/>
  <c r="B1741" i="3"/>
  <c r="A1741" i="3"/>
  <c r="H1740" i="3"/>
  <c r="G1740" i="3"/>
  <c r="D1740" i="3"/>
  <c r="C1740" i="3"/>
  <c r="B1740" i="3"/>
  <c r="A1740" i="3"/>
  <c r="H1739" i="3"/>
  <c r="G1739" i="3"/>
  <c r="D1739" i="3"/>
  <c r="C1739" i="3"/>
  <c r="B1739" i="3"/>
  <c r="A1739" i="3"/>
  <c r="H1738" i="3"/>
  <c r="G1738" i="3"/>
  <c r="D1738" i="3"/>
  <c r="C1738" i="3"/>
  <c r="B1738" i="3"/>
  <c r="A1738" i="3"/>
  <c r="H1737" i="3"/>
  <c r="G1737" i="3"/>
  <c r="D1737" i="3"/>
  <c r="C1737" i="3"/>
  <c r="B1737" i="3"/>
  <c r="A1737" i="3"/>
  <c r="H127" i="3"/>
  <c r="G127" i="3"/>
  <c r="D127" i="3"/>
  <c r="C127" i="3"/>
  <c r="B127" i="3"/>
  <c r="A127" i="3"/>
  <c r="H126" i="3"/>
  <c r="G126" i="3"/>
  <c r="D126" i="3"/>
  <c r="C126" i="3"/>
  <c r="B126" i="3"/>
  <c r="A126" i="3"/>
  <c r="H125" i="3"/>
  <c r="G125" i="3"/>
  <c r="D125" i="3"/>
  <c r="C125" i="3"/>
  <c r="B125" i="3"/>
  <c r="A125" i="3"/>
  <c r="H124" i="3"/>
  <c r="G124" i="3"/>
  <c r="D124" i="3"/>
  <c r="C124" i="3"/>
  <c r="B124" i="3"/>
  <c r="A124" i="3"/>
  <c r="H123" i="3"/>
  <c r="G123" i="3"/>
  <c r="D123" i="3"/>
  <c r="C123" i="3"/>
  <c r="B123" i="3"/>
  <c r="A123" i="3"/>
  <c r="H122" i="3"/>
  <c r="G122" i="3"/>
  <c r="D122" i="3"/>
  <c r="C122" i="3"/>
  <c r="B122" i="3"/>
  <c r="A122" i="3"/>
  <c r="H121" i="3"/>
  <c r="G121" i="3"/>
  <c r="D121" i="3"/>
  <c r="C121" i="3"/>
  <c r="B121" i="3"/>
  <c r="A121" i="3"/>
  <c r="H120" i="3"/>
  <c r="G120" i="3"/>
  <c r="D120" i="3"/>
  <c r="C120" i="3"/>
  <c r="B120" i="3"/>
  <c r="A120" i="3"/>
  <c r="H119" i="3"/>
  <c r="G119" i="3"/>
  <c r="D119" i="3"/>
  <c r="C119" i="3"/>
  <c r="B119" i="3"/>
  <c r="A119" i="3"/>
  <c r="H118" i="3"/>
  <c r="G118" i="3"/>
  <c r="D118" i="3"/>
  <c r="C118" i="3"/>
  <c r="B118" i="3"/>
  <c r="A118" i="3"/>
  <c r="H117" i="3"/>
  <c r="G117" i="3"/>
  <c r="D117" i="3"/>
  <c r="C117" i="3"/>
  <c r="B117" i="3"/>
  <c r="A117" i="3"/>
  <c r="H116" i="3"/>
  <c r="G116" i="3"/>
  <c r="D116" i="3"/>
  <c r="C116" i="3"/>
  <c r="B116" i="3"/>
  <c r="A116" i="3"/>
  <c r="H115" i="3"/>
  <c r="G115" i="3"/>
  <c r="D115" i="3"/>
  <c r="C115" i="3"/>
  <c r="B115" i="3"/>
  <c r="A115" i="3"/>
  <c r="H114" i="3"/>
  <c r="G114" i="3"/>
  <c r="D114" i="3"/>
  <c r="C114" i="3"/>
  <c r="B114" i="3"/>
  <c r="A114" i="3"/>
  <c r="H113" i="3"/>
  <c r="G113" i="3"/>
  <c r="D113" i="3"/>
  <c r="C113" i="3"/>
  <c r="B113" i="3"/>
  <c r="A113" i="3"/>
  <c r="H112" i="3"/>
  <c r="G112" i="3"/>
  <c r="D112" i="3"/>
  <c r="C112" i="3"/>
  <c r="B112" i="3"/>
  <c r="A112" i="3"/>
  <c r="H111" i="3"/>
  <c r="G111" i="3"/>
  <c r="D111" i="3"/>
  <c r="C111" i="3"/>
  <c r="B111" i="3"/>
  <c r="A111" i="3"/>
  <c r="H110" i="3"/>
  <c r="G110" i="3"/>
  <c r="D110" i="3"/>
  <c r="C110" i="3"/>
  <c r="B110" i="3"/>
  <c r="A110" i="3"/>
  <c r="H109" i="3"/>
  <c r="G109" i="3"/>
  <c r="D109" i="3"/>
  <c r="C109" i="3"/>
  <c r="B109" i="3"/>
  <c r="A109" i="3"/>
  <c r="H108" i="3"/>
  <c r="G108" i="3"/>
  <c r="D108" i="3"/>
  <c r="C108" i="3"/>
  <c r="B108" i="3"/>
  <c r="A108" i="3"/>
  <c r="H107" i="3"/>
  <c r="G107" i="3"/>
  <c r="D107" i="3"/>
  <c r="C107" i="3"/>
  <c r="B107" i="3"/>
  <c r="A107" i="3"/>
  <c r="H106" i="3"/>
  <c r="G106" i="3"/>
  <c r="D106" i="3"/>
  <c r="C106" i="3"/>
  <c r="B106" i="3"/>
  <c r="A106" i="3"/>
  <c r="H105" i="3"/>
  <c r="G105" i="3"/>
  <c r="D105" i="3"/>
  <c r="C105" i="3"/>
  <c r="B105" i="3"/>
  <c r="A105" i="3"/>
  <c r="H104" i="3"/>
  <c r="G104" i="3"/>
  <c r="D104" i="3"/>
  <c r="C104" i="3"/>
  <c r="B104" i="3"/>
  <c r="A104" i="3"/>
  <c r="H103" i="3"/>
  <c r="G103" i="3"/>
  <c r="D103" i="3"/>
  <c r="C103" i="3"/>
  <c r="B103" i="3"/>
  <c r="A103" i="3"/>
  <c r="H102" i="3"/>
  <c r="G102" i="3"/>
  <c r="D102" i="3"/>
  <c r="C102" i="3"/>
  <c r="B102" i="3"/>
  <c r="A102" i="3"/>
  <c r="H101" i="3"/>
  <c r="G101" i="3"/>
  <c r="D101" i="3"/>
  <c r="C101" i="3"/>
  <c r="B101" i="3"/>
  <c r="A101" i="3"/>
  <c r="H100" i="3"/>
  <c r="G100" i="3"/>
  <c r="D100" i="3"/>
  <c r="C100" i="3"/>
  <c r="B100" i="3"/>
  <c r="A100" i="3"/>
  <c r="H99" i="3"/>
  <c r="G99" i="3"/>
  <c r="D99" i="3"/>
  <c r="C99" i="3"/>
  <c r="B99" i="3"/>
  <c r="A99" i="3"/>
  <c r="H98" i="3"/>
  <c r="G98" i="3"/>
  <c r="D98" i="3"/>
  <c r="C98" i="3"/>
  <c r="B98" i="3"/>
  <c r="A98" i="3"/>
  <c r="H97" i="3"/>
  <c r="G97" i="3"/>
  <c r="D97" i="3"/>
  <c r="C97" i="3"/>
  <c r="B97" i="3"/>
  <c r="A97" i="3"/>
  <c r="H96" i="3"/>
  <c r="G96" i="3"/>
  <c r="D96" i="3"/>
  <c r="C96" i="3"/>
  <c r="B96" i="3"/>
  <c r="A96" i="3"/>
  <c r="H95" i="3"/>
  <c r="G95" i="3"/>
  <c r="D95" i="3"/>
  <c r="C95" i="3"/>
  <c r="B95" i="3"/>
  <c r="A95" i="3"/>
  <c r="H94" i="3"/>
  <c r="G94" i="3"/>
  <c r="D94" i="3"/>
  <c r="C94" i="3"/>
  <c r="B94" i="3"/>
  <c r="A94" i="3"/>
  <c r="H93" i="3"/>
  <c r="G93" i="3"/>
  <c r="D93" i="3"/>
  <c r="C93" i="3"/>
  <c r="B93" i="3"/>
  <c r="A93" i="3"/>
  <c r="H92" i="3"/>
  <c r="G92" i="3"/>
  <c r="D92" i="3"/>
  <c r="C92" i="3"/>
  <c r="B92" i="3"/>
  <c r="A92" i="3"/>
  <c r="H91" i="3"/>
  <c r="G91" i="3"/>
  <c r="D91" i="3"/>
  <c r="C91" i="3"/>
  <c r="B91" i="3"/>
  <c r="A91" i="3"/>
  <c r="H90" i="3"/>
  <c r="G90" i="3"/>
  <c r="D90" i="3"/>
  <c r="C90" i="3"/>
  <c r="B90" i="3"/>
  <c r="A90" i="3"/>
  <c r="H89" i="3"/>
  <c r="G89" i="3"/>
  <c r="D89" i="3"/>
  <c r="C89" i="3"/>
  <c r="B89" i="3"/>
  <c r="A89" i="3"/>
  <c r="H88" i="3"/>
  <c r="G88" i="3"/>
  <c r="D88" i="3"/>
  <c r="C88" i="3"/>
  <c r="B88" i="3"/>
  <c r="A88" i="3"/>
  <c r="H87" i="3"/>
  <c r="G87" i="3"/>
  <c r="D87" i="3"/>
  <c r="C87" i="3"/>
  <c r="B87" i="3"/>
  <c r="A87" i="3"/>
  <c r="H86" i="3"/>
  <c r="G86" i="3"/>
  <c r="D86" i="3"/>
  <c r="C86" i="3"/>
  <c r="B86" i="3"/>
  <c r="A86" i="3"/>
  <c r="H85" i="3"/>
  <c r="G85" i="3"/>
  <c r="D85" i="3"/>
  <c r="C85" i="3"/>
  <c r="B85" i="3"/>
  <c r="A85" i="3"/>
  <c r="H84" i="3"/>
  <c r="G84" i="3"/>
  <c r="D84" i="3"/>
  <c r="C84" i="3"/>
  <c r="B84" i="3"/>
  <c r="A84" i="3"/>
  <c r="H83" i="3"/>
  <c r="G83" i="3"/>
  <c r="D83" i="3"/>
  <c r="C83" i="3"/>
  <c r="B83" i="3"/>
  <c r="A83" i="3"/>
  <c r="H82" i="3"/>
  <c r="G82" i="3"/>
  <c r="D82" i="3"/>
  <c r="C82" i="3"/>
  <c r="B82" i="3"/>
  <c r="A82" i="3"/>
  <c r="H81" i="3"/>
  <c r="G81" i="3"/>
  <c r="D81" i="3"/>
  <c r="C81" i="3"/>
  <c r="B81" i="3"/>
  <c r="A81" i="3"/>
  <c r="H80" i="3"/>
  <c r="G80" i="3"/>
  <c r="D80" i="3"/>
  <c r="C80" i="3"/>
  <c r="B80" i="3"/>
  <c r="A80" i="3"/>
  <c r="H79" i="3"/>
  <c r="G79" i="3"/>
  <c r="D79" i="3"/>
  <c r="C79" i="3"/>
  <c r="B79" i="3"/>
  <c r="A79" i="3"/>
  <c r="H78" i="3"/>
  <c r="G78" i="3"/>
  <c r="D78" i="3"/>
  <c r="C78" i="3"/>
  <c r="B78" i="3"/>
  <c r="A78" i="3"/>
  <c r="H77" i="3"/>
  <c r="G77" i="3"/>
  <c r="D77" i="3"/>
  <c r="C77" i="3"/>
  <c r="B77" i="3"/>
  <c r="A77" i="3"/>
  <c r="H76" i="3"/>
  <c r="G76" i="3"/>
  <c r="D76" i="3"/>
  <c r="C76" i="3"/>
  <c r="B76" i="3"/>
  <c r="A76" i="3"/>
  <c r="H75" i="3"/>
  <c r="G75" i="3"/>
  <c r="D75" i="3"/>
  <c r="C75" i="3"/>
  <c r="B75" i="3"/>
  <c r="A75" i="3"/>
  <c r="H74" i="3"/>
  <c r="G74" i="3"/>
  <c r="D74" i="3"/>
  <c r="C74" i="3"/>
  <c r="B74" i="3"/>
  <c r="A74" i="3"/>
  <c r="H73" i="3"/>
  <c r="G73" i="3"/>
  <c r="D73" i="3"/>
  <c r="C73" i="3"/>
  <c r="B73" i="3"/>
  <c r="A73" i="3"/>
  <c r="H283" i="3"/>
  <c r="G283" i="3"/>
  <c r="D283" i="3"/>
  <c r="C283" i="3"/>
  <c r="B283" i="3"/>
  <c r="A283" i="3"/>
  <c r="H282" i="3"/>
  <c r="G282" i="3"/>
  <c r="D282" i="3"/>
  <c r="C282" i="3"/>
  <c r="B282" i="3"/>
  <c r="A282" i="3"/>
  <c r="H281" i="3"/>
  <c r="G281" i="3"/>
  <c r="D281" i="3"/>
  <c r="C281" i="3"/>
  <c r="B281" i="3"/>
  <c r="A281" i="3"/>
  <c r="H280" i="3"/>
  <c r="G280" i="3"/>
  <c r="D280" i="3"/>
  <c r="C280" i="3"/>
  <c r="B280" i="3"/>
  <c r="A280" i="3"/>
  <c r="H279" i="3"/>
  <c r="G279" i="3"/>
  <c r="D279" i="3"/>
  <c r="C279" i="3"/>
  <c r="B279" i="3"/>
  <c r="A279" i="3"/>
  <c r="H278" i="3"/>
  <c r="G278" i="3"/>
  <c r="D278" i="3"/>
  <c r="C278" i="3"/>
  <c r="B278" i="3"/>
  <c r="A278" i="3"/>
  <c r="H277" i="3"/>
  <c r="G277" i="3"/>
  <c r="D277" i="3"/>
  <c r="C277" i="3"/>
  <c r="B277" i="3"/>
  <c r="A277" i="3"/>
  <c r="H276" i="3"/>
  <c r="G276" i="3"/>
  <c r="D276" i="3"/>
  <c r="C276" i="3"/>
  <c r="B276" i="3"/>
  <c r="A276" i="3"/>
  <c r="H275" i="3"/>
  <c r="G275" i="3"/>
  <c r="D275" i="3"/>
  <c r="C275" i="3"/>
  <c r="B275" i="3"/>
  <c r="A275" i="3"/>
  <c r="H274" i="3"/>
  <c r="G274" i="3"/>
  <c r="D274" i="3"/>
  <c r="C274" i="3"/>
  <c r="B274" i="3"/>
  <c r="A274" i="3"/>
  <c r="H273" i="3"/>
  <c r="G273" i="3"/>
  <c r="D273" i="3"/>
  <c r="C273" i="3"/>
  <c r="B273" i="3"/>
  <c r="A273" i="3"/>
  <c r="H72" i="3"/>
  <c r="G72" i="3"/>
  <c r="D72" i="3"/>
  <c r="C72" i="3"/>
  <c r="B72" i="3"/>
  <c r="A72" i="3"/>
  <c r="H71" i="3"/>
  <c r="G71" i="3"/>
  <c r="D71" i="3"/>
  <c r="C71" i="3"/>
  <c r="B71" i="3"/>
  <c r="A71" i="3"/>
  <c r="H70" i="3"/>
  <c r="G70" i="3"/>
  <c r="D70" i="3"/>
  <c r="C70" i="3"/>
  <c r="B70" i="3"/>
  <c r="A70" i="3"/>
  <c r="H69" i="3"/>
  <c r="G69" i="3"/>
  <c r="D69" i="3"/>
  <c r="C69" i="3"/>
  <c r="B69" i="3"/>
  <c r="A69" i="3"/>
  <c r="H68" i="3"/>
  <c r="G68" i="3"/>
  <c r="D68" i="3"/>
  <c r="C68" i="3"/>
  <c r="B68" i="3"/>
  <c r="A68" i="3"/>
  <c r="H67" i="3"/>
  <c r="G67" i="3"/>
  <c r="D67" i="3"/>
  <c r="C67" i="3"/>
  <c r="B67" i="3"/>
  <c r="A67" i="3"/>
  <c r="H66" i="3"/>
  <c r="G66" i="3"/>
  <c r="D66" i="3"/>
  <c r="C66" i="3"/>
  <c r="B66" i="3"/>
  <c r="A66" i="3"/>
  <c r="H65" i="3"/>
  <c r="G65" i="3"/>
  <c r="D65" i="3"/>
  <c r="C65" i="3"/>
  <c r="B65" i="3"/>
  <c r="A65" i="3"/>
  <c r="H64" i="3"/>
  <c r="G64" i="3"/>
  <c r="D64" i="3"/>
  <c r="C64" i="3"/>
  <c r="B64" i="3"/>
  <c r="A64" i="3"/>
  <c r="H63" i="3"/>
  <c r="G63" i="3"/>
  <c r="D63" i="3"/>
  <c r="C63" i="3"/>
  <c r="B63" i="3"/>
  <c r="A63" i="3"/>
  <c r="H62" i="3"/>
  <c r="G62" i="3"/>
  <c r="D62" i="3"/>
  <c r="C62" i="3"/>
  <c r="B62" i="3"/>
  <c r="A62" i="3"/>
  <c r="H61" i="3"/>
  <c r="G61" i="3"/>
  <c r="D61" i="3"/>
  <c r="C61" i="3"/>
  <c r="B61" i="3"/>
  <c r="A61" i="3"/>
  <c r="H60" i="3"/>
  <c r="G60" i="3"/>
  <c r="D60" i="3"/>
  <c r="C60" i="3"/>
  <c r="B60" i="3"/>
  <c r="A60" i="3"/>
  <c r="H59" i="3"/>
  <c r="G59" i="3"/>
  <c r="D59" i="3"/>
  <c r="C59" i="3"/>
  <c r="B59" i="3"/>
  <c r="A59" i="3"/>
  <c r="H58" i="3"/>
  <c r="G58" i="3"/>
  <c r="D58" i="3"/>
  <c r="C58" i="3"/>
  <c r="B58" i="3"/>
  <c r="A58" i="3"/>
  <c r="H57" i="3"/>
  <c r="G57" i="3"/>
  <c r="D57" i="3"/>
  <c r="C57" i="3"/>
  <c r="B57" i="3"/>
  <c r="A57" i="3"/>
  <c r="H56" i="3"/>
  <c r="G56" i="3"/>
  <c r="D56" i="3"/>
  <c r="C56" i="3"/>
  <c r="B56" i="3"/>
  <c r="A56" i="3"/>
  <c r="H55" i="3"/>
  <c r="G55" i="3"/>
  <c r="D55" i="3"/>
  <c r="C55" i="3"/>
  <c r="B55" i="3"/>
  <c r="A55" i="3"/>
  <c r="H54" i="3"/>
  <c r="G54" i="3"/>
  <c r="D54" i="3"/>
  <c r="C54" i="3"/>
  <c r="B54" i="3"/>
  <c r="A54" i="3"/>
  <c r="H53" i="3"/>
  <c r="G53" i="3"/>
  <c r="D53" i="3"/>
  <c r="C53" i="3"/>
  <c r="B53" i="3"/>
  <c r="A53" i="3"/>
  <c r="H52" i="3"/>
  <c r="G52" i="3"/>
  <c r="D52" i="3"/>
  <c r="C52" i="3"/>
  <c r="B52" i="3"/>
  <c r="A52" i="3"/>
  <c r="H51" i="3"/>
  <c r="G51" i="3"/>
  <c r="D51" i="3"/>
  <c r="C51" i="3"/>
  <c r="B51" i="3"/>
  <c r="A51" i="3"/>
  <c r="H50" i="3"/>
  <c r="G50" i="3"/>
  <c r="D50" i="3"/>
  <c r="C50" i="3"/>
  <c r="B50" i="3"/>
  <c r="A50" i="3"/>
  <c r="H49" i="3"/>
  <c r="G49" i="3"/>
  <c r="D49" i="3"/>
  <c r="C49" i="3"/>
  <c r="B49" i="3"/>
  <c r="A49" i="3"/>
  <c r="H48" i="3"/>
  <c r="G48" i="3"/>
  <c r="D48" i="3"/>
  <c r="C48" i="3"/>
  <c r="B48" i="3"/>
  <c r="A48" i="3"/>
  <c r="H47" i="3"/>
  <c r="G47" i="3"/>
  <c r="D47" i="3"/>
  <c r="C47" i="3"/>
  <c r="B47" i="3"/>
  <c r="A47" i="3"/>
  <c r="H46" i="3"/>
  <c r="G46" i="3"/>
  <c r="D46" i="3"/>
  <c r="C46" i="3"/>
  <c r="B46" i="3"/>
  <c r="A46" i="3"/>
  <c r="H45" i="3"/>
  <c r="G45" i="3"/>
  <c r="D45" i="3"/>
  <c r="C45" i="3"/>
  <c r="B45" i="3"/>
  <c r="A45" i="3"/>
  <c r="H44" i="3"/>
  <c r="G44" i="3"/>
  <c r="D44" i="3"/>
  <c r="C44" i="3"/>
  <c r="B44" i="3"/>
  <c r="A44" i="3"/>
  <c r="H43" i="3"/>
  <c r="G43" i="3"/>
  <c r="D43" i="3"/>
  <c r="C43" i="3"/>
  <c r="B43" i="3"/>
  <c r="A43" i="3"/>
  <c r="H42" i="3"/>
  <c r="G42" i="3"/>
  <c r="D42" i="3"/>
  <c r="C42" i="3"/>
  <c r="B42" i="3"/>
  <c r="A42" i="3"/>
  <c r="H41" i="3"/>
  <c r="G41" i="3"/>
  <c r="D41" i="3"/>
  <c r="C41" i="3"/>
  <c r="B41" i="3"/>
  <c r="A41" i="3"/>
  <c r="H40" i="3"/>
  <c r="G40" i="3"/>
  <c r="D40" i="3"/>
  <c r="C40" i="3"/>
  <c r="B40" i="3"/>
  <c r="A40" i="3"/>
  <c r="H39" i="3"/>
  <c r="G39" i="3"/>
  <c r="D39" i="3"/>
  <c r="C39" i="3"/>
  <c r="B39" i="3"/>
  <c r="A39" i="3"/>
  <c r="H38" i="3"/>
  <c r="G38" i="3"/>
  <c r="D38" i="3"/>
  <c r="C38" i="3"/>
  <c r="B38" i="3"/>
  <c r="A38" i="3"/>
  <c r="H37" i="3"/>
  <c r="G37" i="3"/>
  <c r="D37" i="3"/>
  <c r="C37" i="3"/>
  <c r="B37" i="3"/>
  <c r="A37" i="3"/>
  <c r="H36" i="3"/>
  <c r="G36" i="3"/>
  <c r="D36" i="3"/>
  <c r="C36" i="3"/>
  <c r="B36" i="3"/>
  <c r="A36" i="3"/>
  <c r="H35" i="3"/>
  <c r="G35" i="3"/>
  <c r="D35" i="3"/>
  <c r="C35" i="3"/>
  <c r="B35" i="3"/>
  <c r="A35" i="3"/>
  <c r="H34" i="3"/>
  <c r="G34" i="3"/>
  <c r="D34" i="3"/>
  <c r="C34" i="3"/>
  <c r="B34" i="3"/>
  <c r="A34" i="3"/>
  <c r="H272" i="3"/>
  <c r="G272" i="3"/>
  <c r="D272" i="3"/>
  <c r="C272" i="3"/>
  <c r="B272" i="3"/>
  <c r="A272" i="3"/>
  <c r="H271" i="3"/>
  <c r="G271" i="3"/>
  <c r="D271" i="3"/>
  <c r="C271" i="3"/>
  <c r="B271" i="3"/>
  <c r="A271" i="3"/>
  <c r="H270" i="3"/>
  <c r="G270" i="3"/>
  <c r="D270" i="3"/>
  <c r="C270" i="3"/>
  <c r="B270" i="3"/>
  <c r="A270" i="3"/>
  <c r="H269" i="3"/>
  <c r="G269" i="3"/>
  <c r="D269" i="3"/>
  <c r="C269" i="3"/>
  <c r="B269" i="3"/>
  <c r="A269" i="3"/>
  <c r="H268" i="3"/>
  <c r="G268" i="3"/>
  <c r="D268" i="3"/>
  <c r="C268" i="3"/>
  <c r="B268" i="3"/>
  <c r="A268" i="3"/>
  <c r="H267" i="3"/>
  <c r="G267" i="3"/>
  <c r="D267" i="3"/>
  <c r="C267" i="3"/>
  <c r="B267" i="3"/>
  <c r="A267" i="3"/>
  <c r="H266" i="3"/>
  <c r="G266" i="3"/>
  <c r="D266" i="3"/>
  <c r="C266" i="3"/>
  <c r="B266" i="3"/>
  <c r="A266" i="3"/>
  <c r="H265" i="3"/>
  <c r="G265" i="3"/>
  <c r="D265" i="3"/>
  <c r="C265" i="3"/>
  <c r="B265" i="3"/>
  <c r="A265" i="3"/>
  <c r="H264" i="3"/>
  <c r="G264" i="3"/>
  <c r="D264" i="3"/>
  <c r="C264" i="3"/>
  <c r="B264" i="3"/>
  <c r="A264" i="3"/>
  <c r="H263" i="3"/>
  <c r="G263" i="3"/>
  <c r="D263" i="3"/>
  <c r="C263" i="3"/>
  <c r="B263" i="3"/>
  <c r="A263" i="3"/>
  <c r="H1244" i="3"/>
  <c r="G1244" i="3"/>
  <c r="D1244" i="3"/>
  <c r="C1244" i="3"/>
  <c r="B1244" i="3"/>
  <c r="A1244" i="3"/>
  <c r="H1243" i="3"/>
  <c r="G1243" i="3"/>
  <c r="D1243" i="3"/>
  <c r="C1243" i="3"/>
  <c r="B1243" i="3"/>
  <c r="A1243" i="3"/>
  <c r="H1242" i="3"/>
  <c r="G1242" i="3"/>
  <c r="D1242" i="3"/>
  <c r="C1242" i="3"/>
  <c r="B1242" i="3"/>
  <c r="A1242" i="3"/>
  <c r="H1241" i="3"/>
  <c r="G1241" i="3"/>
  <c r="D1241" i="3"/>
  <c r="C1241" i="3"/>
  <c r="B1241" i="3"/>
  <c r="A1241" i="3"/>
  <c r="H1240" i="3"/>
  <c r="G1240" i="3"/>
  <c r="D1240" i="3"/>
  <c r="C1240" i="3"/>
  <c r="B1240" i="3"/>
  <c r="A1240" i="3"/>
  <c r="H1239" i="3"/>
  <c r="G1239" i="3"/>
  <c r="D1239" i="3"/>
  <c r="C1239" i="3"/>
  <c r="B1239" i="3"/>
  <c r="A1239" i="3"/>
  <c r="H1238" i="3"/>
  <c r="G1238" i="3"/>
  <c r="D1238" i="3"/>
  <c r="C1238" i="3"/>
  <c r="B1238" i="3"/>
  <c r="A1238" i="3"/>
  <c r="H1237" i="3"/>
  <c r="G1237" i="3"/>
  <c r="D1237" i="3"/>
  <c r="C1237" i="3"/>
  <c r="B1237" i="3"/>
  <c r="A1237" i="3"/>
  <c r="H1236" i="3"/>
  <c r="G1236" i="3"/>
  <c r="D1236" i="3"/>
  <c r="C1236" i="3"/>
  <c r="B1236" i="3"/>
  <c r="A1236" i="3"/>
  <c r="H1235" i="3"/>
  <c r="G1235" i="3"/>
  <c r="D1235" i="3"/>
  <c r="C1235" i="3"/>
  <c r="B1235" i="3"/>
  <c r="A1235" i="3"/>
  <c r="H1234" i="3"/>
  <c r="G1234" i="3"/>
  <c r="D1234" i="3"/>
  <c r="C1234" i="3"/>
  <c r="B1234" i="3"/>
  <c r="A1234" i="3"/>
  <c r="H1233" i="3"/>
  <c r="G1233" i="3"/>
  <c r="D1233" i="3"/>
  <c r="C1233" i="3"/>
  <c r="B1233" i="3"/>
  <c r="A1233" i="3"/>
  <c r="H1736" i="3"/>
  <c r="G1736" i="3"/>
  <c r="D1736" i="3"/>
  <c r="C1736" i="3"/>
  <c r="B1736" i="3"/>
  <c r="A1736" i="3"/>
  <c r="H1735" i="3"/>
  <c r="G1735" i="3"/>
  <c r="D1735" i="3"/>
  <c r="C1735" i="3"/>
  <c r="B1735" i="3"/>
  <c r="A1735" i="3"/>
  <c r="H1734" i="3"/>
  <c r="G1734" i="3"/>
  <c r="D1734" i="3"/>
  <c r="C1734" i="3"/>
  <c r="B1734" i="3"/>
  <c r="A1734" i="3"/>
  <c r="H1733" i="3"/>
  <c r="G1733" i="3"/>
  <c r="D1733" i="3"/>
  <c r="C1733" i="3"/>
  <c r="B1733" i="3"/>
  <c r="A1733" i="3"/>
  <c r="H1732" i="3"/>
  <c r="G1732" i="3"/>
  <c r="D1732" i="3"/>
  <c r="C1732" i="3"/>
  <c r="B1732" i="3"/>
  <c r="A1732" i="3"/>
  <c r="H1232" i="3"/>
  <c r="G1232" i="3"/>
  <c r="D1232" i="3"/>
  <c r="C1232" i="3"/>
  <c r="B1232" i="3"/>
  <c r="A1232" i="3"/>
  <c r="H1231" i="3"/>
  <c r="G1231" i="3"/>
  <c r="D1231" i="3"/>
  <c r="C1231" i="3"/>
  <c r="B1231" i="3"/>
  <c r="A1231" i="3"/>
  <c r="H1230" i="3"/>
  <c r="G1230" i="3"/>
  <c r="D1230" i="3"/>
  <c r="C1230" i="3"/>
  <c r="B1230" i="3"/>
  <c r="A1230" i="3"/>
  <c r="H1229" i="3"/>
  <c r="G1229" i="3"/>
  <c r="D1229" i="3"/>
  <c r="C1229" i="3"/>
  <c r="B1229" i="3"/>
  <c r="A1229" i="3"/>
  <c r="H1228" i="3"/>
  <c r="G1228" i="3"/>
  <c r="D1228" i="3"/>
  <c r="C1228" i="3"/>
  <c r="B1228" i="3"/>
  <c r="A1228" i="3"/>
  <c r="H1227" i="3"/>
  <c r="G1227" i="3"/>
  <c r="D1227" i="3"/>
  <c r="C1227" i="3"/>
  <c r="B1227" i="3"/>
  <c r="A1227" i="3"/>
  <c r="H1226" i="3"/>
  <c r="G1226" i="3"/>
  <c r="D1226" i="3"/>
  <c r="C1226" i="3"/>
  <c r="B1226" i="3"/>
  <c r="A1226" i="3"/>
  <c r="H1225" i="3"/>
  <c r="G1225" i="3"/>
  <c r="D1225" i="3"/>
  <c r="C1225" i="3"/>
  <c r="B1225" i="3"/>
  <c r="A1225" i="3"/>
  <c r="H1224" i="3"/>
  <c r="G1224" i="3"/>
  <c r="D1224" i="3"/>
  <c r="C1224" i="3"/>
  <c r="B1224" i="3"/>
  <c r="A1224" i="3"/>
  <c r="H1223" i="3"/>
  <c r="G1223" i="3"/>
  <c r="D1223" i="3"/>
  <c r="C1223" i="3"/>
  <c r="B1223" i="3"/>
  <c r="A1223" i="3"/>
  <c r="H1222" i="3"/>
  <c r="G1222" i="3"/>
  <c r="D1222" i="3"/>
  <c r="C1222" i="3"/>
  <c r="B1222" i="3"/>
  <c r="A1222" i="3"/>
  <c r="H1221" i="3"/>
  <c r="G1221" i="3"/>
  <c r="D1221" i="3"/>
  <c r="C1221" i="3"/>
  <c r="B1221" i="3"/>
  <c r="A1221" i="3"/>
  <c r="H1220" i="3"/>
  <c r="G1220" i="3"/>
  <c r="D1220" i="3"/>
  <c r="C1220" i="3"/>
  <c r="B1220" i="3"/>
  <c r="A1220" i="3"/>
  <c r="H1219" i="3"/>
  <c r="G1219" i="3"/>
  <c r="D1219" i="3"/>
  <c r="C1219" i="3"/>
  <c r="B1219" i="3"/>
  <c r="A1219" i="3"/>
  <c r="H1218" i="3"/>
  <c r="G1218" i="3"/>
  <c r="D1218" i="3"/>
  <c r="C1218" i="3"/>
  <c r="B1218" i="3"/>
  <c r="A1218" i="3"/>
  <c r="H1217" i="3"/>
  <c r="G1217" i="3"/>
  <c r="D1217" i="3"/>
  <c r="C1217" i="3"/>
  <c r="B1217" i="3"/>
  <c r="A1217" i="3"/>
  <c r="H1216" i="3"/>
  <c r="G1216" i="3"/>
  <c r="D1216" i="3"/>
  <c r="C1216" i="3"/>
  <c r="B1216" i="3"/>
  <c r="A1216" i="3"/>
  <c r="H1215" i="3"/>
  <c r="G1215" i="3"/>
  <c r="D1215" i="3"/>
  <c r="C1215" i="3"/>
  <c r="B1215" i="3"/>
  <c r="A1215" i="3"/>
  <c r="H1731" i="3"/>
  <c r="G1731" i="3"/>
  <c r="D1731" i="3"/>
  <c r="C1731" i="3"/>
  <c r="B1731" i="3"/>
  <c r="A1731" i="3"/>
  <c r="H1730" i="3"/>
  <c r="G1730" i="3"/>
  <c r="D1730" i="3"/>
  <c r="C1730" i="3"/>
  <c r="B1730" i="3"/>
  <c r="A1730" i="3"/>
  <c r="H1214" i="3"/>
  <c r="G1214" i="3"/>
  <c r="D1214" i="3"/>
  <c r="C1214" i="3"/>
  <c r="B1214" i="3"/>
  <c r="A1214" i="3"/>
  <c r="H1729" i="3"/>
  <c r="G1729" i="3"/>
  <c r="D1729" i="3"/>
  <c r="C1729" i="3"/>
  <c r="B1729" i="3"/>
  <c r="A1729" i="3"/>
  <c r="H1728" i="3"/>
  <c r="G1728" i="3"/>
  <c r="D1728" i="3"/>
  <c r="C1728" i="3"/>
  <c r="B1728" i="3"/>
  <c r="A1728" i="3"/>
  <c r="H1213" i="3"/>
  <c r="G1213" i="3"/>
  <c r="D1213" i="3"/>
  <c r="C1213" i="3"/>
  <c r="B1213" i="3"/>
  <c r="A1213" i="3"/>
  <c r="H1212" i="3"/>
  <c r="G1212" i="3"/>
  <c r="D1212" i="3"/>
  <c r="C1212" i="3"/>
  <c r="B1212" i="3"/>
  <c r="A1212" i="3"/>
  <c r="H1211" i="3"/>
  <c r="G1211" i="3"/>
  <c r="D1211" i="3"/>
  <c r="C1211" i="3"/>
  <c r="B1211" i="3"/>
  <c r="A1211" i="3"/>
  <c r="H1210" i="3"/>
  <c r="G1210" i="3"/>
  <c r="D1210" i="3"/>
  <c r="C1210" i="3"/>
  <c r="B1210" i="3"/>
  <c r="A1210" i="3"/>
  <c r="H1209" i="3"/>
  <c r="G1209" i="3"/>
  <c r="D1209" i="3"/>
  <c r="C1209" i="3"/>
  <c r="B1209" i="3"/>
  <c r="A1209" i="3"/>
  <c r="H1208" i="3"/>
  <c r="G1208" i="3"/>
  <c r="D1208" i="3"/>
  <c r="C1208" i="3"/>
  <c r="B1208" i="3"/>
  <c r="A1208" i="3"/>
  <c r="H1207" i="3"/>
  <c r="G1207" i="3"/>
  <c r="D1207" i="3"/>
  <c r="C1207" i="3"/>
  <c r="B1207" i="3"/>
  <c r="A1207" i="3"/>
  <c r="H1206" i="3"/>
  <c r="G1206" i="3"/>
  <c r="D1206" i="3"/>
  <c r="C1206" i="3"/>
  <c r="B1206" i="3"/>
  <c r="A1206" i="3"/>
  <c r="H1205" i="3"/>
  <c r="G1205" i="3"/>
  <c r="D1205" i="3"/>
  <c r="C1205" i="3"/>
  <c r="B1205" i="3"/>
  <c r="A1205" i="3"/>
  <c r="H1204" i="3"/>
  <c r="G1204" i="3"/>
  <c r="D1204" i="3"/>
  <c r="C1204" i="3"/>
  <c r="B1204" i="3"/>
  <c r="A1204" i="3"/>
  <c r="H1727" i="3"/>
  <c r="G1727" i="3"/>
  <c r="D1727" i="3"/>
  <c r="C1727" i="3"/>
  <c r="B1727" i="3"/>
  <c r="A1727" i="3"/>
  <c r="H1726" i="3"/>
  <c r="G1726" i="3"/>
  <c r="D1726" i="3"/>
  <c r="C1726" i="3"/>
  <c r="B1726" i="3"/>
  <c r="A1726" i="3"/>
  <c r="H1725" i="3"/>
  <c r="G1725" i="3"/>
  <c r="D1725" i="3"/>
  <c r="C1725" i="3"/>
  <c r="B1725" i="3"/>
  <c r="A1725" i="3"/>
  <c r="H1203" i="3"/>
  <c r="G1203" i="3"/>
  <c r="D1203" i="3"/>
  <c r="C1203" i="3"/>
  <c r="B1203" i="3"/>
  <c r="A1203" i="3"/>
  <c r="H1202" i="3"/>
  <c r="G1202" i="3"/>
  <c r="D1202" i="3"/>
  <c r="C1202" i="3"/>
  <c r="B1202" i="3"/>
  <c r="A1202" i="3"/>
  <c r="H1201" i="3"/>
  <c r="G1201" i="3"/>
  <c r="D1201" i="3"/>
  <c r="C1201" i="3"/>
  <c r="B1201" i="3"/>
  <c r="A1201" i="3"/>
  <c r="H1724" i="3"/>
  <c r="G1724" i="3"/>
  <c r="D1724" i="3"/>
  <c r="C1724" i="3"/>
  <c r="B1724" i="3"/>
  <c r="A1724" i="3"/>
  <c r="H1200" i="3"/>
  <c r="G1200" i="3"/>
  <c r="D1200" i="3"/>
  <c r="C1200" i="3"/>
  <c r="B1200" i="3"/>
  <c r="A1200" i="3"/>
  <c r="H1199" i="3"/>
  <c r="G1199" i="3"/>
  <c r="D1199" i="3"/>
  <c r="C1199" i="3"/>
  <c r="B1199" i="3"/>
  <c r="A1199" i="3"/>
  <c r="H1198" i="3"/>
  <c r="G1198" i="3"/>
  <c r="D1198" i="3"/>
  <c r="C1198" i="3"/>
  <c r="B1198" i="3"/>
  <c r="A1198" i="3"/>
  <c r="H262" i="3"/>
  <c r="G262" i="3"/>
  <c r="D262" i="3"/>
  <c r="C262" i="3"/>
  <c r="B262" i="3"/>
  <c r="A262" i="3"/>
  <c r="H261" i="3"/>
  <c r="G261" i="3"/>
  <c r="D261" i="3"/>
  <c r="C261" i="3"/>
  <c r="B261" i="3"/>
  <c r="A261" i="3"/>
  <c r="H1197" i="3"/>
  <c r="G1197" i="3"/>
  <c r="D1197" i="3"/>
  <c r="C1197" i="3"/>
  <c r="B1197" i="3"/>
  <c r="A1197" i="3"/>
  <c r="H1723" i="3"/>
  <c r="G1723" i="3"/>
  <c r="D1723" i="3"/>
  <c r="C1723" i="3"/>
  <c r="B1723" i="3"/>
  <c r="A1723" i="3"/>
  <c r="H1196" i="3"/>
  <c r="G1196" i="3"/>
  <c r="D1196" i="3"/>
  <c r="C1196" i="3"/>
  <c r="B1196" i="3"/>
  <c r="A1196" i="3"/>
  <c r="H260" i="3"/>
  <c r="G260" i="3"/>
  <c r="D260" i="3"/>
  <c r="C260" i="3"/>
  <c r="B260" i="3"/>
  <c r="A260" i="3"/>
  <c r="H259" i="3"/>
  <c r="G259" i="3"/>
  <c r="D259" i="3"/>
  <c r="C259" i="3"/>
  <c r="B259" i="3"/>
  <c r="A259" i="3"/>
  <c r="H1722" i="3"/>
  <c r="G1722" i="3"/>
  <c r="D1722" i="3"/>
  <c r="C1722" i="3"/>
  <c r="B1722" i="3"/>
  <c r="A1722" i="3"/>
  <c r="H1195" i="3"/>
  <c r="G1195" i="3"/>
  <c r="D1195" i="3"/>
  <c r="C1195" i="3"/>
  <c r="B1195" i="3"/>
  <c r="A1195" i="3"/>
  <c r="H258" i="3"/>
  <c r="G258" i="3"/>
  <c r="D258" i="3"/>
  <c r="C258" i="3"/>
  <c r="B258" i="3"/>
  <c r="A258" i="3"/>
  <c r="H33" i="3"/>
  <c r="G33" i="3"/>
  <c r="D33" i="3"/>
  <c r="C33" i="3"/>
  <c r="B33" i="3"/>
  <c r="A33" i="3"/>
  <c r="H32" i="3"/>
  <c r="G32" i="3"/>
  <c r="D32" i="3"/>
  <c r="C32" i="3"/>
  <c r="B32" i="3"/>
  <c r="A32" i="3"/>
  <c r="H31" i="3"/>
  <c r="G31" i="3"/>
  <c r="D31" i="3"/>
  <c r="C31" i="3"/>
  <c r="B31" i="3"/>
  <c r="A31" i="3"/>
  <c r="H30" i="3"/>
  <c r="G30" i="3"/>
  <c r="D30" i="3"/>
  <c r="C30" i="3"/>
  <c r="B30" i="3"/>
  <c r="A30" i="3"/>
  <c r="H29" i="3"/>
  <c r="G29" i="3"/>
  <c r="D29" i="3"/>
  <c r="C29" i="3"/>
  <c r="B29" i="3"/>
  <c r="A29" i="3"/>
  <c r="H28" i="3"/>
  <c r="G28" i="3"/>
  <c r="D28" i="3"/>
  <c r="C28" i="3"/>
  <c r="B28" i="3"/>
  <c r="A28" i="3"/>
  <c r="H27" i="3"/>
  <c r="G27" i="3"/>
  <c r="D27" i="3"/>
  <c r="C27" i="3"/>
  <c r="B27" i="3"/>
  <c r="A27" i="3"/>
  <c r="H26" i="3"/>
  <c r="G26" i="3"/>
  <c r="D26" i="3"/>
  <c r="C26" i="3"/>
  <c r="B26" i="3"/>
  <c r="A26" i="3"/>
  <c r="H25" i="3"/>
  <c r="G25" i="3"/>
  <c r="D25" i="3"/>
  <c r="C25" i="3"/>
  <c r="B25" i="3"/>
  <c r="A25" i="3"/>
  <c r="H24" i="3"/>
  <c r="G24" i="3"/>
  <c r="D24" i="3"/>
  <c r="C24" i="3"/>
  <c r="B24" i="3"/>
  <c r="A24" i="3"/>
  <c r="H23" i="3"/>
  <c r="G23" i="3"/>
  <c r="D23" i="3"/>
  <c r="C23" i="3"/>
  <c r="B23" i="3"/>
  <c r="A23" i="3"/>
  <c r="H22" i="3"/>
  <c r="G22" i="3"/>
  <c r="D22" i="3"/>
  <c r="C22" i="3"/>
  <c r="B22" i="3"/>
  <c r="A22" i="3"/>
  <c r="H21" i="3"/>
  <c r="G21" i="3"/>
  <c r="D21" i="3"/>
  <c r="C21" i="3"/>
  <c r="B21" i="3"/>
  <c r="A21" i="3"/>
  <c r="H20" i="3"/>
  <c r="G20" i="3"/>
  <c r="D20" i="3"/>
  <c r="C20" i="3"/>
  <c r="B20" i="3"/>
  <c r="A20" i="3"/>
  <c r="H19" i="3"/>
  <c r="G19" i="3"/>
  <c r="D19" i="3"/>
  <c r="C19" i="3"/>
  <c r="B19" i="3"/>
  <c r="A19" i="3"/>
  <c r="H18" i="3"/>
  <c r="G18" i="3"/>
  <c r="D18" i="3"/>
  <c r="C18" i="3"/>
  <c r="B18" i="3"/>
  <c r="A18" i="3"/>
  <c r="H17" i="3"/>
  <c r="G17" i="3"/>
  <c r="D17" i="3"/>
  <c r="C17" i="3"/>
  <c r="B17" i="3"/>
  <c r="A17" i="3"/>
  <c r="H16" i="3"/>
  <c r="G16" i="3"/>
  <c r="D16" i="3"/>
  <c r="C16" i="3"/>
  <c r="B16" i="3"/>
  <c r="A16" i="3"/>
  <c r="H15" i="3"/>
  <c r="G15" i="3"/>
  <c r="D15" i="3"/>
  <c r="C15" i="3"/>
  <c r="B15" i="3"/>
  <c r="A15" i="3"/>
  <c r="H14" i="3"/>
  <c r="G14" i="3"/>
  <c r="D14" i="3"/>
  <c r="C14" i="3"/>
  <c r="B14" i="3"/>
  <c r="A14" i="3"/>
  <c r="H13" i="3"/>
  <c r="G13" i="3"/>
  <c r="D13" i="3"/>
  <c r="C13" i="3"/>
  <c r="B13" i="3"/>
  <c r="A13" i="3"/>
  <c r="H12" i="3"/>
  <c r="G12" i="3"/>
  <c r="D12" i="3"/>
  <c r="C12" i="3"/>
  <c r="B12" i="3"/>
  <c r="A12" i="3"/>
  <c r="H11" i="3"/>
  <c r="G11" i="3"/>
  <c r="D11" i="3"/>
  <c r="C11" i="3"/>
  <c r="B11" i="3"/>
  <c r="A11" i="3"/>
  <c r="H10" i="3"/>
  <c r="G10" i="3"/>
  <c r="D10" i="3"/>
  <c r="C10" i="3"/>
  <c r="B10" i="3"/>
  <c r="A10" i="3"/>
  <c r="H9" i="3"/>
  <c r="G9" i="3"/>
  <c r="D9" i="3"/>
  <c r="C9" i="3"/>
  <c r="B9" i="3"/>
  <c r="A9" i="3"/>
  <c r="H8" i="3"/>
  <c r="G8" i="3"/>
  <c r="D8" i="3"/>
  <c r="C8" i="3"/>
  <c r="B8" i="3"/>
  <c r="A8" i="3"/>
  <c r="H7" i="3"/>
  <c r="G7" i="3"/>
  <c r="D7" i="3"/>
  <c r="C7" i="3"/>
  <c r="B7" i="3"/>
  <c r="A7" i="3"/>
  <c r="H6" i="3"/>
  <c r="G6" i="3"/>
  <c r="D6" i="3"/>
  <c r="C6" i="3"/>
  <c r="B6" i="3"/>
  <c r="A6" i="3"/>
  <c r="H5" i="3"/>
  <c r="G5" i="3"/>
  <c r="D5" i="3"/>
  <c r="C5" i="3"/>
  <c r="B5" i="3"/>
  <c r="A5" i="3"/>
  <c r="H4" i="3"/>
  <c r="G4" i="3"/>
  <c r="D4" i="3"/>
  <c r="C4" i="3"/>
  <c r="B4" i="3"/>
  <c r="A4" i="3"/>
  <c r="H3" i="3"/>
  <c r="G3" i="3"/>
  <c r="D3" i="3"/>
  <c r="C3" i="3"/>
  <c r="B3" i="3"/>
  <c r="A3" i="3"/>
  <c r="H1194" i="3"/>
  <c r="G1194" i="3"/>
  <c r="D1194" i="3"/>
  <c r="C1194" i="3"/>
  <c r="B1194" i="3"/>
  <c r="A1194" i="3"/>
  <c r="H1193" i="3"/>
  <c r="G1193" i="3"/>
  <c r="D1193" i="3"/>
  <c r="C1193" i="3"/>
  <c r="B1193" i="3"/>
  <c r="A1193" i="3"/>
  <c r="H1192" i="3"/>
  <c r="G1192" i="3"/>
  <c r="D1192" i="3"/>
  <c r="C1192" i="3"/>
  <c r="B1192" i="3"/>
  <c r="A1192" i="3"/>
  <c r="H1721" i="3"/>
  <c r="G1721" i="3"/>
  <c r="D1721" i="3"/>
  <c r="C1721" i="3"/>
  <c r="B1721" i="3"/>
  <c r="A1721" i="3"/>
  <c r="H1191" i="3"/>
  <c r="G1191" i="3"/>
  <c r="D1191" i="3"/>
  <c r="C1191" i="3"/>
  <c r="B1191" i="3"/>
  <c r="A1191" i="3"/>
  <c r="H872" i="3"/>
  <c r="G872" i="3"/>
  <c r="D872" i="3"/>
  <c r="C872" i="3"/>
  <c r="B872" i="3"/>
  <c r="A872" i="3"/>
  <c r="H1190" i="3"/>
  <c r="G1190" i="3"/>
  <c r="D1190" i="3"/>
  <c r="C1190" i="3"/>
  <c r="B1190" i="3"/>
  <c r="A1190" i="3"/>
  <c r="H1720" i="3"/>
  <c r="G1720" i="3"/>
  <c r="D1720" i="3"/>
  <c r="C1720" i="3"/>
  <c r="B1720" i="3"/>
  <c r="A1720" i="3"/>
  <c r="H1189" i="3"/>
  <c r="G1189" i="3"/>
  <c r="D1189" i="3"/>
  <c r="C1189" i="3"/>
  <c r="B1189" i="3"/>
  <c r="A1189" i="3"/>
  <c r="H1719" i="3"/>
  <c r="G1719" i="3"/>
  <c r="D1719" i="3"/>
  <c r="C1719" i="3"/>
  <c r="B1719" i="3"/>
  <c r="A1719" i="3"/>
  <c r="H1718" i="3"/>
  <c r="G1718" i="3"/>
  <c r="D1718" i="3"/>
  <c r="C1718" i="3"/>
  <c r="B1718" i="3"/>
  <c r="A1718" i="3"/>
  <c r="H1717" i="3"/>
  <c r="G1717" i="3"/>
  <c r="D1717" i="3"/>
  <c r="C1717" i="3"/>
  <c r="B1717" i="3"/>
  <c r="A1717" i="3"/>
  <c r="H1716" i="3"/>
  <c r="G1716" i="3"/>
  <c r="D1716" i="3"/>
  <c r="C1716" i="3"/>
  <c r="B1716" i="3"/>
  <c r="A1716" i="3"/>
  <c r="H1715" i="3"/>
  <c r="G1715" i="3"/>
  <c r="D1715" i="3"/>
  <c r="C1715" i="3"/>
  <c r="B1715" i="3"/>
  <c r="A1715" i="3"/>
  <c r="H871" i="3"/>
  <c r="G871" i="3"/>
  <c r="D871" i="3"/>
  <c r="C871" i="3"/>
  <c r="B871" i="3"/>
  <c r="A871" i="3"/>
  <c r="H1188" i="3"/>
  <c r="G1188" i="3"/>
  <c r="D1188" i="3"/>
  <c r="C1188" i="3"/>
  <c r="B1188" i="3"/>
  <c r="A1188" i="3"/>
  <c r="H1714" i="3"/>
  <c r="G1714" i="3"/>
  <c r="D1714" i="3"/>
  <c r="C1714" i="3"/>
  <c r="B1714" i="3"/>
  <c r="A1714" i="3"/>
  <c r="H1713" i="3"/>
  <c r="G1713" i="3"/>
  <c r="D1713" i="3"/>
  <c r="C1713" i="3"/>
  <c r="B1713" i="3"/>
  <c r="A1713" i="3"/>
  <c r="H1712" i="3"/>
  <c r="G1712" i="3"/>
  <c r="D1712" i="3"/>
  <c r="C1712" i="3"/>
  <c r="B1712" i="3"/>
  <c r="A1712" i="3"/>
  <c r="H1711" i="3"/>
  <c r="G1711" i="3"/>
  <c r="D1711" i="3"/>
  <c r="C1711" i="3"/>
  <c r="B1711" i="3"/>
  <c r="A1711" i="3"/>
  <c r="H1710" i="3"/>
  <c r="G1710" i="3"/>
  <c r="D1710" i="3"/>
  <c r="C1710" i="3"/>
  <c r="B1710" i="3"/>
  <c r="A1710" i="3"/>
  <c r="H1709" i="3"/>
  <c r="G1709" i="3"/>
  <c r="D1709" i="3"/>
  <c r="C1709" i="3"/>
  <c r="B1709" i="3"/>
  <c r="A1709" i="3"/>
  <c r="H1708" i="3"/>
  <c r="G1708" i="3"/>
  <c r="D1708" i="3"/>
  <c r="C1708" i="3"/>
  <c r="B1708" i="3"/>
  <c r="A1708" i="3"/>
  <c r="H1707" i="3"/>
  <c r="G1707" i="3"/>
  <c r="D1707" i="3"/>
  <c r="C1707" i="3"/>
  <c r="B1707" i="3"/>
  <c r="A1707" i="3"/>
  <c r="H1706" i="3"/>
  <c r="G1706" i="3"/>
  <c r="D1706" i="3"/>
  <c r="C1706" i="3"/>
  <c r="B1706" i="3"/>
  <c r="A1706" i="3"/>
  <c r="H1705" i="3"/>
  <c r="G1705" i="3"/>
  <c r="D1705" i="3"/>
  <c r="C1705" i="3"/>
  <c r="B1705" i="3"/>
  <c r="A1705" i="3"/>
  <c r="H1704" i="3"/>
  <c r="G1704" i="3"/>
  <c r="D1704" i="3"/>
  <c r="C1704" i="3"/>
  <c r="B1704" i="3"/>
  <c r="A1704" i="3"/>
  <c r="H1703" i="3"/>
  <c r="G1703" i="3"/>
  <c r="D1703" i="3"/>
  <c r="C1703" i="3"/>
  <c r="B1703" i="3"/>
  <c r="A1703" i="3"/>
  <c r="H1702" i="3"/>
  <c r="G1702" i="3"/>
  <c r="D1702" i="3"/>
  <c r="C1702" i="3"/>
  <c r="B1702" i="3"/>
  <c r="A1702" i="3"/>
  <c r="H1701" i="3"/>
  <c r="G1701" i="3"/>
  <c r="D1701" i="3"/>
  <c r="C1701" i="3"/>
  <c r="B1701" i="3"/>
  <c r="A1701" i="3"/>
  <c r="H1700" i="3"/>
  <c r="G1700" i="3"/>
  <c r="D1700" i="3"/>
  <c r="C1700" i="3"/>
  <c r="B1700" i="3"/>
  <c r="A1700" i="3"/>
  <c r="H1699" i="3"/>
  <c r="G1699" i="3"/>
  <c r="D1699" i="3"/>
  <c r="C1699" i="3"/>
  <c r="B1699" i="3"/>
  <c r="A1699" i="3"/>
  <c r="H1698" i="3"/>
  <c r="G1698" i="3"/>
  <c r="D1698" i="3"/>
  <c r="C1698" i="3"/>
  <c r="B1698" i="3"/>
  <c r="A1698" i="3"/>
  <c r="H1697" i="3"/>
  <c r="G1697" i="3"/>
  <c r="D1697" i="3"/>
  <c r="C1697" i="3"/>
  <c r="B1697" i="3"/>
  <c r="A1697" i="3"/>
  <c r="H1696" i="3"/>
  <c r="G1696" i="3"/>
  <c r="D1696" i="3"/>
  <c r="C1696" i="3"/>
  <c r="B1696" i="3"/>
  <c r="A1696" i="3"/>
  <c r="H1187" i="3"/>
  <c r="G1187" i="3"/>
  <c r="D1187" i="3"/>
  <c r="C1187" i="3"/>
  <c r="B1187" i="3"/>
  <c r="A1187" i="3"/>
  <c r="H1186" i="3"/>
  <c r="G1186" i="3"/>
  <c r="D1186" i="3"/>
  <c r="C1186" i="3"/>
  <c r="B1186" i="3"/>
  <c r="A1186" i="3"/>
  <c r="H1185" i="3"/>
  <c r="G1185" i="3"/>
  <c r="D1185" i="3"/>
  <c r="C1185" i="3"/>
  <c r="B1185" i="3"/>
  <c r="A1185" i="3"/>
  <c r="H1695" i="3"/>
  <c r="G1695" i="3"/>
  <c r="D1695" i="3"/>
  <c r="C1695" i="3"/>
  <c r="B1695" i="3"/>
  <c r="A1695" i="3"/>
  <c r="H1694" i="3"/>
  <c r="G1694" i="3"/>
  <c r="D1694" i="3"/>
  <c r="C1694" i="3"/>
  <c r="B1694" i="3"/>
  <c r="A1694" i="3"/>
  <c r="H1184" i="3"/>
  <c r="G1184" i="3"/>
  <c r="D1184" i="3"/>
  <c r="C1184" i="3"/>
  <c r="B1184" i="3"/>
  <c r="A1184" i="3"/>
  <c r="H1183" i="3"/>
  <c r="G1183" i="3"/>
  <c r="D1183" i="3"/>
  <c r="C1183" i="3"/>
  <c r="B1183" i="3"/>
  <c r="A1183" i="3"/>
  <c r="H870" i="3"/>
  <c r="G870" i="3"/>
  <c r="D870" i="3"/>
  <c r="C870" i="3"/>
  <c r="B870" i="3"/>
  <c r="A870" i="3"/>
  <c r="H1182" i="3"/>
  <c r="G1182" i="3"/>
  <c r="D1182" i="3"/>
  <c r="C1182" i="3"/>
  <c r="B1182" i="3"/>
  <c r="A1182" i="3"/>
  <c r="H1693" i="3"/>
  <c r="G1693" i="3"/>
  <c r="D1693" i="3"/>
  <c r="C1693" i="3"/>
  <c r="B1693" i="3"/>
  <c r="A1693" i="3"/>
  <c r="H1692" i="3"/>
  <c r="G1692" i="3"/>
  <c r="D1692" i="3"/>
  <c r="C1692" i="3"/>
  <c r="B1692" i="3"/>
  <c r="A1692" i="3"/>
  <c r="H1181" i="3"/>
  <c r="G1181" i="3"/>
  <c r="D1181" i="3"/>
  <c r="C1181" i="3"/>
  <c r="B1181" i="3"/>
  <c r="A1181" i="3"/>
  <c r="H1180" i="3"/>
  <c r="G1180" i="3"/>
  <c r="D1180" i="3"/>
  <c r="C1180" i="3"/>
  <c r="B1180" i="3"/>
  <c r="A1180" i="3"/>
  <c r="H1691" i="3"/>
  <c r="G1691" i="3"/>
  <c r="D1691" i="3"/>
  <c r="C1691" i="3"/>
  <c r="B1691" i="3"/>
  <c r="A1691" i="3"/>
  <c r="H1690" i="3"/>
  <c r="G1690" i="3"/>
  <c r="D1690" i="3"/>
  <c r="C1690" i="3"/>
  <c r="B1690" i="3"/>
  <c r="A1690" i="3"/>
  <c r="H1689" i="3"/>
  <c r="G1689" i="3"/>
  <c r="D1689" i="3"/>
  <c r="C1689" i="3"/>
  <c r="B1689" i="3"/>
  <c r="A1689" i="3"/>
  <c r="H1688" i="3"/>
  <c r="G1688" i="3"/>
  <c r="D1688" i="3"/>
  <c r="C1688" i="3"/>
  <c r="B1688" i="3"/>
  <c r="A1688" i="3"/>
  <c r="H1687" i="3"/>
  <c r="G1687" i="3"/>
  <c r="D1687" i="3"/>
  <c r="C1687" i="3"/>
  <c r="B1687" i="3"/>
  <c r="A1687" i="3"/>
  <c r="H1686" i="3"/>
  <c r="G1686" i="3"/>
  <c r="D1686" i="3"/>
  <c r="C1686" i="3"/>
  <c r="B1686" i="3"/>
  <c r="A1686" i="3"/>
  <c r="H1179" i="3"/>
  <c r="G1179" i="3"/>
  <c r="D1179" i="3"/>
  <c r="C1179" i="3"/>
  <c r="B1179" i="3"/>
  <c r="A1179" i="3"/>
  <c r="H1178" i="3"/>
  <c r="G1178" i="3"/>
  <c r="D1178" i="3"/>
  <c r="C1178" i="3"/>
  <c r="B1178" i="3"/>
  <c r="A1178" i="3"/>
  <c r="H1685" i="3"/>
  <c r="G1685" i="3"/>
  <c r="D1685" i="3"/>
  <c r="C1685" i="3"/>
  <c r="B1685" i="3"/>
  <c r="A1685" i="3"/>
  <c r="H1684" i="3"/>
  <c r="G1684" i="3"/>
  <c r="D1684" i="3"/>
  <c r="C1684" i="3"/>
  <c r="B1684" i="3"/>
  <c r="A1684" i="3"/>
  <c r="H1177" i="3"/>
  <c r="G1177" i="3"/>
  <c r="D1177" i="3"/>
  <c r="C1177" i="3"/>
  <c r="B1177" i="3"/>
  <c r="A1177" i="3"/>
  <c r="H1176" i="3"/>
  <c r="G1176" i="3"/>
  <c r="D1176" i="3"/>
  <c r="C1176" i="3"/>
  <c r="B1176" i="3"/>
  <c r="A1176" i="3"/>
  <c r="H1175" i="3"/>
  <c r="G1175" i="3"/>
  <c r="D1175" i="3"/>
  <c r="C1175" i="3"/>
  <c r="B1175" i="3"/>
  <c r="A1175" i="3"/>
  <c r="H1174" i="3"/>
  <c r="G1174" i="3"/>
  <c r="D1174" i="3"/>
  <c r="C1174" i="3"/>
  <c r="B1174" i="3"/>
  <c r="A1174" i="3"/>
  <c r="H1173" i="3"/>
  <c r="G1173" i="3"/>
  <c r="D1173" i="3"/>
  <c r="C1173" i="3"/>
  <c r="B1173" i="3"/>
  <c r="A1173" i="3"/>
  <c r="H1172" i="3"/>
  <c r="G1172" i="3"/>
  <c r="D1172" i="3"/>
  <c r="C1172" i="3"/>
  <c r="B1172" i="3"/>
  <c r="A1172" i="3"/>
  <c r="H1171" i="3"/>
  <c r="G1171" i="3"/>
  <c r="D1171" i="3"/>
  <c r="C1171" i="3"/>
  <c r="B1171" i="3"/>
  <c r="A1171" i="3"/>
  <c r="H1683" i="3"/>
  <c r="G1683" i="3"/>
  <c r="D1683" i="3"/>
  <c r="C1683" i="3"/>
  <c r="B1683" i="3"/>
  <c r="A1683" i="3"/>
  <c r="H1682" i="3"/>
  <c r="G1682" i="3"/>
  <c r="D1682" i="3"/>
  <c r="C1682" i="3"/>
  <c r="B1682" i="3"/>
  <c r="A1682" i="3"/>
  <c r="H1681" i="3"/>
  <c r="G1681" i="3"/>
  <c r="D1681" i="3"/>
  <c r="C1681" i="3"/>
  <c r="B1681" i="3"/>
  <c r="A1681" i="3"/>
  <c r="H1680" i="3"/>
  <c r="G1680" i="3"/>
  <c r="D1680" i="3"/>
  <c r="C1680" i="3"/>
  <c r="B1680" i="3"/>
  <c r="A1680" i="3"/>
  <c r="H1679" i="3"/>
  <c r="G1679" i="3"/>
  <c r="D1679" i="3"/>
  <c r="C1679" i="3"/>
  <c r="B1679" i="3"/>
  <c r="A1679" i="3"/>
  <c r="H1678" i="3"/>
  <c r="G1678" i="3"/>
  <c r="D1678" i="3"/>
  <c r="C1678" i="3"/>
  <c r="B1678" i="3"/>
  <c r="A1678" i="3"/>
  <c r="H1677" i="3"/>
  <c r="G1677" i="3"/>
  <c r="D1677" i="3"/>
  <c r="C1677" i="3"/>
  <c r="B1677" i="3"/>
  <c r="A1677" i="3"/>
  <c r="H1676" i="3"/>
  <c r="G1676" i="3"/>
  <c r="D1676" i="3"/>
  <c r="C1676" i="3"/>
  <c r="B1676" i="3"/>
  <c r="A1676" i="3"/>
  <c r="H1675" i="3"/>
  <c r="G1675" i="3"/>
  <c r="D1675" i="3"/>
  <c r="C1675" i="3"/>
  <c r="B1675" i="3"/>
  <c r="A1675" i="3"/>
  <c r="H1674" i="3"/>
  <c r="G1674" i="3"/>
  <c r="D1674" i="3"/>
  <c r="C1674" i="3"/>
  <c r="B1674" i="3"/>
  <c r="A1674" i="3"/>
  <c r="H1673" i="3"/>
  <c r="G1673" i="3"/>
  <c r="D1673" i="3"/>
  <c r="C1673" i="3"/>
  <c r="B1673" i="3"/>
  <c r="A1673" i="3"/>
  <c r="H1672" i="3"/>
  <c r="G1672" i="3"/>
  <c r="D1672" i="3"/>
  <c r="C1672" i="3"/>
  <c r="B1672" i="3"/>
  <c r="A1672" i="3"/>
  <c r="H1671" i="3"/>
  <c r="G1671" i="3"/>
  <c r="D1671" i="3"/>
  <c r="C1671" i="3"/>
  <c r="B1671" i="3"/>
  <c r="A1671" i="3"/>
  <c r="H1670" i="3"/>
  <c r="G1670" i="3"/>
  <c r="D1670" i="3"/>
  <c r="C1670" i="3"/>
  <c r="B1670" i="3"/>
  <c r="A1670" i="3"/>
  <c r="H1669" i="3"/>
  <c r="G1669" i="3"/>
  <c r="D1669" i="3"/>
  <c r="C1669" i="3"/>
  <c r="B1669" i="3"/>
  <c r="A1669" i="3"/>
  <c r="H1668" i="3"/>
  <c r="G1668" i="3"/>
  <c r="D1668" i="3"/>
  <c r="C1668" i="3"/>
  <c r="B1668" i="3"/>
  <c r="A1668" i="3"/>
  <c r="H1667" i="3"/>
  <c r="G1667" i="3"/>
  <c r="D1667" i="3"/>
  <c r="C1667" i="3"/>
  <c r="B1667" i="3"/>
  <c r="A1667" i="3"/>
  <c r="H1666" i="3"/>
  <c r="G1666" i="3"/>
  <c r="D1666" i="3"/>
  <c r="C1666" i="3"/>
  <c r="B1666" i="3"/>
  <c r="A1666" i="3"/>
  <c r="H1665" i="3"/>
  <c r="G1665" i="3"/>
  <c r="D1665" i="3"/>
  <c r="C1665" i="3"/>
  <c r="B1665" i="3"/>
  <c r="A1665" i="3"/>
  <c r="H1664" i="3"/>
  <c r="G1664" i="3"/>
  <c r="D1664" i="3"/>
  <c r="C1664" i="3"/>
  <c r="B1664" i="3"/>
  <c r="A1664" i="3"/>
  <c r="H1663" i="3"/>
  <c r="G1663" i="3"/>
  <c r="D1663" i="3"/>
  <c r="C1663" i="3"/>
  <c r="B1663" i="3"/>
  <c r="A1663" i="3"/>
  <c r="H1662" i="3"/>
  <c r="G1662" i="3"/>
  <c r="D1662" i="3"/>
  <c r="C1662" i="3"/>
  <c r="B1662" i="3"/>
  <c r="A1662" i="3"/>
  <c r="H1661" i="3"/>
  <c r="G1661" i="3"/>
  <c r="D1661" i="3"/>
  <c r="C1661" i="3"/>
  <c r="B1661" i="3"/>
  <c r="A1661" i="3"/>
  <c r="H1660" i="3"/>
  <c r="G1660" i="3"/>
  <c r="D1660" i="3"/>
  <c r="C1660" i="3"/>
  <c r="B1660" i="3"/>
  <c r="A1660" i="3"/>
  <c r="H1659" i="3"/>
  <c r="G1659" i="3"/>
  <c r="D1659" i="3"/>
  <c r="C1659" i="3"/>
  <c r="B1659" i="3"/>
  <c r="A1659" i="3"/>
  <c r="H1658" i="3"/>
  <c r="G1658" i="3"/>
  <c r="D1658" i="3"/>
  <c r="C1658" i="3"/>
  <c r="B1658" i="3"/>
  <c r="A1658" i="3"/>
  <c r="H1657" i="3"/>
  <c r="G1657" i="3"/>
  <c r="D1657" i="3"/>
  <c r="C1657" i="3"/>
  <c r="B1657" i="3"/>
  <c r="A1657" i="3"/>
  <c r="H1656" i="3"/>
  <c r="G1656" i="3"/>
  <c r="D1656" i="3"/>
  <c r="C1656" i="3"/>
  <c r="B1656" i="3"/>
  <c r="A1656" i="3"/>
  <c r="H1655" i="3"/>
  <c r="G1655" i="3"/>
  <c r="D1655" i="3"/>
  <c r="C1655" i="3"/>
  <c r="B1655" i="3"/>
  <c r="A1655" i="3"/>
  <c r="H1654" i="3"/>
  <c r="G1654" i="3"/>
  <c r="D1654" i="3"/>
  <c r="C1654" i="3"/>
  <c r="B1654" i="3"/>
  <c r="A1654" i="3"/>
  <c r="H1653" i="3"/>
  <c r="G1653" i="3"/>
  <c r="D1653" i="3"/>
  <c r="C1653" i="3"/>
  <c r="B1653" i="3"/>
  <c r="A1653" i="3"/>
  <c r="H1652" i="3"/>
  <c r="G1652" i="3"/>
  <c r="D1652" i="3"/>
  <c r="C1652" i="3"/>
  <c r="B1652" i="3"/>
  <c r="A1652" i="3"/>
  <c r="H1651" i="3"/>
  <c r="G1651" i="3"/>
  <c r="D1651" i="3"/>
  <c r="C1651" i="3"/>
  <c r="B1651" i="3"/>
  <c r="A1651" i="3"/>
  <c r="H1650" i="3"/>
  <c r="G1650" i="3"/>
  <c r="D1650" i="3"/>
  <c r="C1650" i="3"/>
  <c r="B1650" i="3"/>
  <c r="A1650" i="3"/>
  <c r="H1649" i="3"/>
  <c r="G1649" i="3"/>
  <c r="D1649" i="3"/>
  <c r="C1649" i="3"/>
  <c r="B1649" i="3"/>
  <c r="A1649" i="3"/>
  <c r="H1648" i="3"/>
  <c r="G1648" i="3"/>
  <c r="D1648" i="3"/>
  <c r="C1648" i="3"/>
  <c r="B1648" i="3"/>
  <c r="A1648" i="3"/>
  <c r="H1647" i="3"/>
  <c r="G1647" i="3"/>
  <c r="D1647" i="3"/>
  <c r="C1647" i="3"/>
  <c r="B1647" i="3"/>
  <c r="A1647" i="3"/>
  <c r="H1646" i="3"/>
  <c r="G1646" i="3"/>
  <c r="D1646" i="3"/>
  <c r="C1646" i="3"/>
  <c r="B1646" i="3"/>
  <c r="A1646" i="3"/>
  <c r="H1645" i="3"/>
  <c r="G1645" i="3"/>
  <c r="D1645" i="3"/>
  <c r="C1645" i="3"/>
  <c r="B1645" i="3"/>
  <c r="A1645" i="3"/>
  <c r="H1644" i="3"/>
  <c r="G1644" i="3"/>
  <c r="D1644" i="3"/>
  <c r="C1644" i="3"/>
  <c r="B1644" i="3"/>
  <c r="A1644" i="3"/>
  <c r="H1643" i="3"/>
  <c r="G1643" i="3"/>
  <c r="D1643" i="3"/>
  <c r="C1643" i="3"/>
  <c r="B1643" i="3"/>
  <c r="A1643" i="3"/>
  <c r="H1642" i="3"/>
  <c r="G1642" i="3"/>
  <c r="D1642" i="3"/>
  <c r="C1642" i="3"/>
  <c r="B1642" i="3"/>
  <c r="A1642" i="3"/>
  <c r="H1641" i="3"/>
  <c r="G1641" i="3"/>
  <c r="D1641" i="3"/>
  <c r="C1641" i="3"/>
  <c r="B1641" i="3"/>
  <c r="A1641" i="3"/>
  <c r="H1640" i="3"/>
  <c r="G1640" i="3"/>
  <c r="D1640" i="3"/>
  <c r="C1640" i="3"/>
  <c r="B1640" i="3"/>
  <c r="A1640" i="3"/>
  <c r="H1639" i="3"/>
  <c r="G1639" i="3"/>
  <c r="D1639" i="3"/>
  <c r="C1639" i="3"/>
  <c r="B1639" i="3"/>
  <c r="A1639" i="3"/>
  <c r="H1638" i="3"/>
  <c r="G1638" i="3"/>
  <c r="D1638" i="3"/>
  <c r="C1638" i="3"/>
  <c r="B1638" i="3"/>
  <c r="A1638" i="3"/>
  <c r="H1637" i="3"/>
  <c r="G1637" i="3"/>
  <c r="D1637" i="3"/>
  <c r="C1637" i="3"/>
  <c r="B1637" i="3"/>
  <c r="A1637" i="3"/>
  <c r="H1636" i="3"/>
  <c r="G1636" i="3"/>
  <c r="D1636" i="3"/>
  <c r="C1636" i="3"/>
  <c r="B1636" i="3"/>
  <c r="A1636" i="3"/>
  <c r="H1635" i="3"/>
  <c r="G1635" i="3"/>
  <c r="D1635" i="3"/>
  <c r="C1635" i="3"/>
  <c r="B1635" i="3"/>
  <c r="A1635" i="3"/>
  <c r="H1634" i="3"/>
  <c r="G1634" i="3"/>
  <c r="D1634" i="3"/>
  <c r="C1634" i="3"/>
  <c r="B1634" i="3"/>
  <c r="A1634" i="3"/>
  <c r="H1633" i="3"/>
  <c r="G1633" i="3"/>
  <c r="D1633" i="3"/>
  <c r="C1633" i="3"/>
  <c r="B1633" i="3"/>
  <c r="A1633" i="3"/>
  <c r="H1632" i="3"/>
  <c r="G1632" i="3"/>
  <c r="D1632" i="3"/>
  <c r="C1632" i="3"/>
  <c r="B1632" i="3"/>
  <c r="A1632" i="3"/>
  <c r="H1631" i="3"/>
  <c r="G1631" i="3"/>
  <c r="D1631" i="3"/>
  <c r="C1631" i="3"/>
  <c r="B1631" i="3"/>
  <c r="A1631" i="3"/>
  <c r="H1630" i="3"/>
  <c r="G1630" i="3"/>
  <c r="D1630" i="3"/>
  <c r="C1630" i="3"/>
  <c r="B1630" i="3"/>
  <c r="A1630" i="3"/>
  <c r="H1629" i="3"/>
  <c r="G1629" i="3"/>
  <c r="D1629" i="3"/>
  <c r="C1629" i="3"/>
  <c r="B1629" i="3"/>
  <c r="A1629" i="3"/>
  <c r="H1628" i="3"/>
  <c r="G1628" i="3"/>
  <c r="D1628" i="3"/>
  <c r="C1628" i="3"/>
  <c r="B1628" i="3"/>
  <c r="A1628" i="3"/>
  <c r="H1627" i="3"/>
  <c r="G1627" i="3"/>
  <c r="D1627" i="3"/>
  <c r="C1627" i="3"/>
  <c r="B1627" i="3"/>
  <c r="A1627" i="3"/>
  <c r="H1626" i="3"/>
  <c r="G1626" i="3"/>
  <c r="D1626" i="3"/>
  <c r="C1626" i="3"/>
  <c r="B1626" i="3"/>
  <c r="A1626" i="3"/>
  <c r="H1625" i="3"/>
  <c r="G1625" i="3"/>
  <c r="D1625" i="3"/>
  <c r="C1625" i="3"/>
  <c r="B1625" i="3"/>
  <c r="A1625" i="3"/>
  <c r="H1624" i="3"/>
  <c r="G1624" i="3"/>
  <c r="D1624" i="3"/>
  <c r="C1624" i="3"/>
  <c r="B1624" i="3"/>
  <c r="A1624" i="3"/>
  <c r="H1623" i="3"/>
  <c r="G1623" i="3"/>
  <c r="D1623" i="3"/>
  <c r="C1623" i="3"/>
  <c r="B1623" i="3"/>
  <c r="A1623" i="3"/>
  <c r="H1622" i="3"/>
  <c r="G1622" i="3"/>
  <c r="D1622" i="3"/>
  <c r="C1622" i="3"/>
  <c r="B1622" i="3"/>
  <c r="A1622" i="3"/>
  <c r="H1621" i="3"/>
  <c r="G1621" i="3"/>
  <c r="D1621" i="3"/>
  <c r="C1621" i="3"/>
  <c r="B1621" i="3"/>
  <c r="A1621" i="3"/>
  <c r="H1620" i="3"/>
  <c r="G1620" i="3"/>
  <c r="D1620" i="3"/>
  <c r="C1620" i="3"/>
  <c r="B1620" i="3"/>
  <c r="A1620" i="3"/>
  <c r="H1170" i="3"/>
  <c r="G1170" i="3"/>
  <c r="D1170" i="3"/>
  <c r="C1170" i="3"/>
  <c r="B1170" i="3"/>
  <c r="A1170" i="3"/>
  <c r="H1480" i="3"/>
  <c r="G1480" i="3"/>
  <c r="D1480" i="3"/>
  <c r="C1480" i="3"/>
  <c r="B1480" i="3"/>
  <c r="A1480" i="3"/>
  <c r="H1169" i="3"/>
  <c r="G1169" i="3"/>
  <c r="D1169" i="3"/>
  <c r="C1169" i="3"/>
  <c r="B1169" i="3"/>
  <c r="A1169" i="3"/>
  <c r="H1168" i="3"/>
  <c r="G1168" i="3"/>
  <c r="D1168" i="3"/>
  <c r="C1168" i="3"/>
  <c r="B1168" i="3"/>
  <c r="A1168" i="3"/>
  <c r="H1167" i="3"/>
  <c r="G1167" i="3"/>
  <c r="D1167" i="3"/>
  <c r="C1167" i="3"/>
  <c r="B1167" i="3"/>
  <c r="A1167" i="3"/>
  <c r="H1166" i="3"/>
  <c r="G1166" i="3"/>
  <c r="D1166" i="3"/>
  <c r="C1166" i="3"/>
  <c r="B1166" i="3"/>
  <c r="A1166" i="3"/>
  <c r="H1165" i="3"/>
  <c r="G1165" i="3"/>
  <c r="D1165" i="3"/>
  <c r="C1165" i="3"/>
  <c r="B1165" i="3"/>
  <c r="A1165" i="3"/>
  <c r="H1619" i="3"/>
  <c r="G1619" i="3"/>
  <c r="D1619" i="3"/>
  <c r="C1619" i="3"/>
  <c r="B1619" i="3"/>
  <c r="A1619" i="3"/>
  <c r="H1618" i="3"/>
  <c r="G1618" i="3"/>
  <c r="D1618" i="3"/>
  <c r="C1618" i="3"/>
  <c r="B1618" i="3"/>
  <c r="A1618" i="3"/>
  <c r="H1617" i="3"/>
  <c r="G1617" i="3"/>
  <c r="D1617" i="3"/>
  <c r="C1617" i="3"/>
  <c r="B1617" i="3"/>
  <c r="A1617" i="3"/>
  <c r="H1616" i="3"/>
  <c r="G1616" i="3"/>
  <c r="D1616" i="3"/>
  <c r="C1616" i="3"/>
  <c r="B1616" i="3"/>
  <c r="A1616" i="3"/>
  <c r="H1615" i="3"/>
  <c r="G1615" i="3"/>
  <c r="D1615" i="3"/>
  <c r="C1615" i="3"/>
  <c r="B1615" i="3"/>
  <c r="A1615" i="3"/>
  <c r="H1164" i="3"/>
  <c r="G1164" i="3"/>
  <c r="D1164" i="3"/>
  <c r="C1164" i="3"/>
  <c r="B1164" i="3"/>
  <c r="A1164" i="3"/>
  <c r="H1163" i="3"/>
  <c r="G1163" i="3"/>
  <c r="D1163" i="3"/>
  <c r="C1163" i="3"/>
  <c r="B1163" i="3"/>
  <c r="A1163" i="3"/>
  <c r="H1614" i="3"/>
  <c r="G1614" i="3"/>
  <c r="D1614" i="3"/>
  <c r="C1614" i="3"/>
  <c r="B1614" i="3"/>
  <c r="A1614" i="3"/>
  <c r="H1613" i="3"/>
  <c r="G1613" i="3"/>
  <c r="D1613" i="3"/>
  <c r="C1613" i="3"/>
  <c r="B1613" i="3"/>
  <c r="A1613" i="3"/>
  <c r="H1612" i="3"/>
  <c r="G1612" i="3"/>
  <c r="D1612" i="3"/>
  <c r="C1612" i="3"/>
  <c r="B1612" i="3"/>
  <c r="A1612" i="3"/>
  <c r="H1611" i="3"/>
  <c r="G1611" i="3"/>
  <c r="D1611" i="3"/>
  <c r="C1611" i="3"/>
  <c r="B1611" i="3"/>
  <c r="A1611" i="3"/>
  <c r="H1162" i="3"/>
  <c r="G1162" i="3"/>
  <c r="D1162" i="3"/>
  <c r="C1162" i="3"/>
  <c r="B1162" i="3"/>
  <c r="A1162" i="3"/>
  <c r="H1610" i="3"/>
  <c r="G1610" i="3"/>
  <c r="D1610" i="3"/>
  <c r="C1610" i="3"/>
  <c r="B1610" i="3"/>
  <c r="A1610" i="3"/>
  <c r="H1609" i="3"/>
  <c r="G1609" i="3"/>
  <c r="D1609" i="3"/>
  <c r="C1609" i="3"/>
  <c r="B1609" i="3"/>
  <c r="A1609" i="3"/>
  <c r="H1161" i="3"/>
  <c r="G1161" i="3"/>
  <c r="D1161" i="3"/>
  <c r="C1161" i="3"/>
  <c r="B1161" i="3"/>
  <c r="A1161" i="3"/>
  <c r="H1160" i="3"/>
  <c r="G1160" i="3"/>
  <c r="D1160" i="3"/>
  <c r="C1160" i="3"/>
  <c r="B1160" i="3"/>
  <c r="A1160" i="3"/>
  <c r="H1159" i="3"/>
  <c r="G1159" i="3"/>
  <c r="D1159" i="3"/>
  <c r="C1159" i="3"/>
  <c r="B1159" i="3"/>
  <c r="A1159" i="3"/>
  <c r="H1608" i="3"/>
  <c r="G1608" i="3"/>
  <c r="D1608" i="3"/>
  <c r="C1608" i="3"/>
  <c r="B1608" i="3"/>
  <c r="A1608" i="3"/>
  <c r="H1607" i="3"/>
  <c r="G1607" i="3"/>
  <c r="D1607" i="3"/>
  <c r="C1607" i="3"/>
  <c r="B1607" i="3"/>
  <c r="A1607" i="3"/>
  <c r="H1158" i="3"/>
  <c r="G1158" i="3"/>
  <c r="D1158" i="3"/>
  <c r="C1158" i="3"/>
  <c r="B1158" i="3"/>
  <c r="A1158" i="3"/>
  <c r="H1157" i="3"/>
  <c r="G1157" i="3"/>
  <c r="D1157" i="3"/>
  <c r="C1157" i="3"/>
  <c r="B1157" i="3"/>
  <c r="A1157" i="3"/>
  <c r="H1156" i="3"/>
  <c r="G1156" i="3"/>
  <c r="D1156" i="3"/>
  <c r="C1156" i="3"/>
  <c r="B1156" i="3"/>
  <c r="A1156" i="3"/>
  <c r="H1155" i="3"/>
  <c r="G1155" i="3"/>
  <c r="D1155" i="3"/>
  <c r="C1155" i="3"/>
  <c r="B1155" i="3"/>
  <c r="A1155" i="3"/>
  <c r="H1154" i="3"/>
  <c r="G1154" i="3"/>
  <c r="D1154" i="3"/>
  <c r="C1154" i="3"/>
  <c r="B1154" i="3"/>
  <c r="A1154" i="3"/>
  <c r="H1606" i="3"/>
  <c r="G1606" i="3"/>
  <c r="D1606" i="3"/>
  <c r="C1606" i="3"/>
  <c r="B1606" i="3"/>
  <c r="A1606" i="3"/>
  <c r="H1153" i="3"/>
  <c r="G1153" i="3"/>
  <c r="D1153" i="3"/>
  <c r="C1153" i="3"/>
  <c r="B1153" i="3"/>
  <c r="A1153" i="3"/>
  <c r="H1152" i="3"/>
  <c r="G1152" i="3"/>
  <c r="D1152" i="3"/>
  <c r="C1152" i="3"/>
  <c r="B1152" i="3"/>
  <c r="A1152" i="3"/>
  <c r="H1605" i="3"/>
  <c r="G1605" i="3"/>
  <c r="D1605" i="3"/>
  <c r="C1605" i="3"/>
  <c r="B1605" i="3"/>
  <c r="A1605" i="3"/>
  <c r="H1604" i="3"/>
  <c r="G1604" i="3"/>
  <c r="D1604" i="3"/>
  <c r="C1604" i="3"/>
  <c r="B1604" i="3"/>
  <c r="A1604" i="3"/>
  <c r="H1603" i="3"/>
  <c r="G1603" i="3"/>
  <c r="D1603" i="3"/>
  <c r="C1603" i="3"/>
  <c r="B1603" i="3"/>
  <c r="A1603" i="3"/>
  <c r="H1602" i="3"/>
  <c r="G1602" i="3"/>
  <c r="D1602" i="3"/>
  <c r="C1602" i="3"/>
  <c r="B1602" i="3"/>
  <c r="A1602" i="3"/>
  <c r="H1151" i="3"/>
  <c r="G1151" i="3"/>
  <c r="D1151" i="3"/>
  <c r="C1151" i="3"/>
  <c r="B1151" i="3"/>
  <c r="A1151" i="3"/>
  <c r="H1150" i="3"/>
  <c r="G1150" i="3"/>
  <c r="D1150" i="3"/>
  <c r="C1150" i="3"/>
  <c r="B1150" i="3"/>
  <c r="A1150" i="3"/>
  <c r="H1149" i="3"/>
  <c r="G1149" i="3"/>
  <c r="D1149" i="3"/>
  <c r="C1149" i="3"/>
  <c r="B1149" i="3"/>
  <c r="A1149" i="3"/>
  <c r="H1148" i="3"/>
  <c r="G1148" i="3"/>
  <c r="D1148" i="3"/>
  <c r="C1148" i="3"/>
  <c r="B1148" i="3"/>
  <c r="A1148" i="3"/>
  <c r="H1147" i="3"/>
  <c r="G1147" i="3"/>
  <c r="D1147" i="3"/>
  <c r="C1147" i="3"/>
  <c r="B1147" i="3"/>
  <c r="A1147" i="3"/>
  <c r="H1146" i="3"/>
  <c r="G1146" i="3"/>
  <c r="D1146" i="3"/>
  <c r="C1146" i="3"/>
  <c r="B1146" i="3"/>
  <c r="A1146" i="3"/>
  <c r="H1145" i="3"/>
  <c r="G1145" i="3"/>
  <c r="D1145" i="3"/>
  <c r="C1145" i="3"/>
  <c r="B1145" i="3"/>
  <c r="A1145" i="3"/>
  <c r="H1601" i="3"/>
  <c r="G1601" i="3"/>
  <c r="D1601" i="3"/>
  <c r="C1601" i="3"/>
  <c r="B1601" i="3"/>
  <c r="A1601" i="3"/>
  <c r="H1600" i="3"/>
  <c r="G1600" i="3"/>
  <c r="D1600" i="3"/>
  <c r="C1600" i="3"/>
  <c r="B1600" i="3"/>
  <c r="A1600" i="3"/>
  <c r="H1144" i="3"/>
  <c r="G1144" i="3"/>
  <c r="D1144" i="3"/>
  <c r="C1144" i="3"/>
  <c r="B1144" i="3"/>
  <c r="A1144" i="3"/>
  <c r="H1143" i="3"/>
  <c r="G1143" i="3"/>
  <c r="D1143" i="3"/>
  <c r="C1143" i="3"/>
  <c r="B1143" i="3"/>
  <c r="A1143" i="3"/>
  <c r="H1142" i="3"/>
  <c r="G1142" i="3"/>
  <c r="D1142" i="3"/>
  <c r="C1142" i="3"/>
  <c r="B1142" i="3"/>
  <c r="A1142" i="3"/>
  <c r="H1599" i="3"/>
  <c r="G1599" i="3"/>
  <c r="D1599" i="3"/>
  <c r="C1599" i="3"/>
  <c r="B1599" i="3"/>
  <c r="A1599" i="3"/>
  <c r="H1598" i="3"/>
  <c r="G1598" i="3"/>
  <c r="D1598" i="3"/>
  <c r="C1598" i="3"/>
  <c r="B1598" i="3"/>
  <c r="A1598" i="3"/>
  <c r="H1597" i="3"/>
  <c r="G1597" i="3"/>
  <c r="D1597" i="3"/>
  <c r="C1597" i="3"/>
  <c r="B1597" i="3"/>
  <c r="A1597" i="3"/>
  <c r="H1141" i="3"/>
  <c r="G1141" i="3"/>
  <c r="D1141" i="3"/>
  <c r="C1141" i="3"/>
  <c r="B1141" i="3"/>
  <c r="A1141" i="3"/>
  <c r="H1140" i="3"/>
  <c r="G1140" i="3"/>
  <c r="D1140" i="3"/>
  <c r="C1140" i="3"/>
  <c r="B1140" i="3"/>
  <c r="A1140" i="3"/>
  <c r="H1596" i="3"/>
  <c r="G1596" i="3"/>
  <c r="D1596" i="3"/>
  <c r="C1596" i="3"/>
  <c r="B1596" i="3"/>
  <c r="A1596" i="3"/>
  <c r="H1595" i="3"/>
  <c r="G1595" i="3"/>
  <c r="D1595" i="3"/>
  <c r="C1595" i="3"/>
  <c r="B1595" i="3"/>
  <c r="A1595" i="3"/>
  <c r="H1594" i="3"/>
  <c r="G1594" i="3"/>
  <c r="D1594" i="3"/>
  <c r="C1594" i="3"/>
  <c r="B1594" i="3"/>
  <c r="A1594" i="3"/>
  <c r="H1593" i="3"/>
  <c r="G1593" i="3"/>
  <c r="D1593" i="3"/>
  <c r="C1593" i="3"/>
  <c r="B1593" i="3"/>
  <c r="A1593" i="3"/>
  <c r="H1592" i="3"/>
  <c r="G1592" i="3"/>
  <c r="D1592" i="3"/>
  <c r="C1592" i="3"/>
  <c r="B1592" i="3"/>
  <c r="A1592" i="3"/>
  <c r="H1591" i="3"/>
  <c r="G1591" i="3"/>
  <c r="D1591" i="3"/>
  <c r="C1591" i="3"/>
  <c r="B1591" i="3"/>
  <c r="A1591" i="3"/>
  <c r="H1590" i="3"/>
  <c r="G1590" i="3"/>
  <c r="D1590" i="3"/>
  <c r="C1590" i="3"/>
  <c r="B1590" i="3"/>
  <c r="A1590" i="3"/>
  <c r="H1589" i="3"/>
  <c r="G1589" i="3"/>
  <c r="D1589" i="3"/>
  <c r="C1589" i="3"/>
  <c r="B1589" i="3"/>
  <c r="A1589" i="3"/>
  <c r="H1588" i="3"/>
  <c r="G1588" i="3"/>
  <c r="D1588" i="3"/>
  <c r="C1588" i="3"/>
  <c r="B1588" i="3"/>
  <c r="A1588" i="3"/>
  <c r="H1587" i="3"/>
  <c r="G1587" i="3"/>
  <c r="D1587" i="3"/>
  <c r="C1587" i="3"/>
  <c r="B1587" i="3"/>
  <c r="A1587" i="3"/>
  <c r="H1586" i="3"/>
  <c r="G1586" i="3"/>
  <c r="D1586" i="3"/>
  <c r="C1586" i="3"/>
  <c r="B1586" i="3"/>
  <c r="A1586" i="3"/>
  <c r="H1585" i="3"/>
  <c r="G1585" i="3"/>
  <c r="D1585" i="3"/>
  <c r="C1585" i="3"/>
  <c r="B1585" i="3"/>
  <c r="A1585" i="3"/>
  <c r="H1584" i="3"/>
  <c r="G1584" i="3"/>
  <c r="D1584" i="3"/>
  <c r="C1584" i="3"/>
  <c r="B1584" i="3"/>
  <c r="A1584" i="3"/>
  <c r="H1583" i="3"/>
  <c r="G1583" i="3"/>
  <c r="D1583" i="3"/>
  <c r="C1583" i="3"/>
  <c r="B1583" i="3"/>
  <c r="A1583" i="3"/>
  <c r="H1582" i="3"/>
  <c r="G1582" i="3"/>
  <c r="D1582" i="3"/>
  <c r="C1582" i="3"/>
  <c r="B1582" i="3"/>
  <c r="A1582" i="3"/>
  <c r="H1581" i="3"/>
  <c r="G1581" i="3"/>
  <c r="D1581" i="3"/>
  <c r="C1581" i="3"/>
  <c r="B1581" i="3"/>
  <c r="A1581" i="3"/>
  <c r="H1580" i="3"/>
  <c r="G1580" i="3"/>
  <c r="D1580" i="3"/>
  <c r="C1580" i="3"/>
  <c r="B1580" i="3"/>
  <c r="A1580" i="3"/>
  <c r="H1579" i="3"/>
  <c r="G1579" i="3"/>
  <c r="D1579" i="3"/>
  <c r="C1579" i="3"/>
  <c r="B1579" i="3"/>
  <c r="A1579" i="3"/>
  <c r="H1578" i="3"/>
  <c r="G1578" i="3"/>
  <c r="D1578" i="3"/>
  <c r="C1578" i="3"/>
  <c r="B1578" i="3"/>
  <c r="A1578" i="3"/>
  <c r="H1577" i="3"/>
  <c r="G1577" i="3"/>
  <c r="D1577" i="3"/>
  <c r="C1577" i="3"/>
  <c r="B1577" i="3"/>
  <c r="A1577" i="3"/>
  <c r="H1576" i="3"/>
  <c r="G1576" i="3"/>
  <c r="D1576" i="3"/>
  <c r="C1576" i="3"/>
  <c r="B1576" i="3"/>
  <c r="A1576" i="3"/>
  <c r="H1575" i="3"/>
  <c r="G1575" i="3"/>
  <c r="D1575" i="3"/>
  <c r="C1575" i="3"/>
  <c r="B1575" i="3"/>
  <c r="A1575" i="3"/>
  <c r="H1574" i="3"/>
  <c r="G1574" i="3"/>
  <c r="D1574" i="3"/>
  <c r="C1574" i="3"/>
  <c r="B1574" i="3"/>
  <c r="A1574" i="3"/>
  <c r="H1573" i="3"/>
  <c r="G1573" i="3"/>
  <c r="D1573" i="3"/>
  <c r="C1573" i="3"/>
  <c r="B1573" i="3"/>
  <c r="A1573" i="3"/>
  <c r="H1572" i="3"/>
  <c r="G1572" i="3"/>
  <c r="D1572" i="3"/>
  <c r="C1572" i="3"/>
  <c r="B1572" i="3"/>
  <c r="A1572" i="3"/>
  <c r="H1571" i="3"/>
  <c r="G1571" i="3"/>
  <c r="D1571" i="3"/>
  <c r="C1571" i="3"/>
  <c r="B1571" i="3"/>
  <c r="A1571" i="3"/>
  <c r="H1139" i="3"/>
  <c r="G1139" i="3"/>
  <c r="D1139" i="3"/>
  <c r="C1139" i="3"/>
  <c r="B1139" i="3"/>
  <c r="A1139" i="3"/>
  <c r="H1138" i="3"/>
  <c r="G1138" i="3"/>
  <c r="D1138" i="3"/>
  <c r="C1138" i="3"/>
  <c r="B1138" i="3"/>
  <c r="A1138" i="3"/>
  <c r="H1137" i="3"/>
  <c r="G1137" i="3"/>
  <c r="D1137" i="3"/>
  <c r="C1137" i="3"/>
  <c r="B1137" i="3"/>
  <c r="A1137" i="3"/>
  <c r="H1136" i="3"/>
  <c r="G1136" i="3"/>
  <c r="D1136" i="3"/>
  <c r="C1136" i="3"/>
  <c r="B1136" i="3"/>
  <c r="A1136" i="3"/>
  <c r="H1135" i="3"/>
  <c r="G1135" i="3"/>
  <c r="D1135" i="3"/>
  <c r="C1135" i="3"/>
  <c r="B1135" i="3"/>
  <c r="A1135" i="3"/>
  <c r="H1134" i="3"/>
  <c r="G1134" i="3"/>
  <c r="D1134" i="3"/>
  <c r="C1134" i="3"/>
  <c r="B1134" i="3"/>
  <c r="A1134" i="3"/>
  <c r="H1133" i="3"/>
  <c r="G1133" i="3"/>
  <c r="D1133" i="3"/>
  <c r="C1133" i="3"/>
  <c r="B1133" i="3"/>
  <c r="A1133" i="3"/>
  <c r="H1132" i="3"/>
  <c r="G1132" i="3"/>
  <c r="D1132" i="3"/>
  <c r="C1132" i="3"/>
  <c r="B1132" i="3"/>
  <c r="A1132" i="3"/>
  <c r="H1131" i="3"/>
  <c r="G1131" i="3"/>
  <c r="D1131" i="3"/>
  <c r="C1131" i="3"/>
  <c r="B1131" i="3"/>
  <c r="A1131" i="3"/>
  <c r="H1130" i="3"/>
  <c r="G1130" i="3"/>
  <c r="D1130" i="3"/>
  <c r="C1130" i="3"/>
  <c r="B1130" i="3"/>
  <c r="A1130" i="3"/>
  <c r="H1570" i="3"/>
  <c r="G1570" i="3"/>
  <c r="D1570" i="3"/>
  <c r="C1570" i="3"/>
  <c r="B1570" i="3"/>
  <c r="A1570" i="3"/>
  <c r="H1569" i="3"/>
  <c r="G1569" i="3"/>
  <c r="D1569" i="3"/>
  <c r="C1569" i="3"/>
  <c r="B1569" i="3"/>
  <c r="A1569" i="3"/>
  <c r="H1129" i="3"/>
  <c r="G1129" i="3"/>
  <c r="D1129" i="3"/>
  <c r="C1129" i="3"/>
  <c r="B1129" i="3"/>
  <c r="A1129" i="3"/>
  <c r="H1128" i="3"/>
  <c r="G1128" i="3"/>
  <c r="D1128" i="3"/>
  <c r="C1128" i="3"/>
  <c r="B1128" i="3"/>
  <c r="A1128" i="3"/>
  <c r="H1127" i="3"/>
  <c r="G1127" i="3"/>
  <c r="D1127" i="3"/>
  <c r="C1127" i="3"/>
  <c r="B1127" i="3"/>
  <c r="A1127" i="3"/>
  <c r="H257" i="3"/>
  <c r="G257" i="3"/>
  <c r="D257" i="3"/>
  <c r="C257" i="3"/>
  <c r="B257" i="3"/>
  <c r="A257" i="3"/>
  <c r="H256" i="3"/>
  <c r="G256" i="3"/>
  <c r="D256" i="3"/>
  <c r="C256" i="3"/>
  <c r="B256" i="3"/>
  <c r="A256" i="3"/>
  <c r="H255" i="3"/>
  <c r="G255" i="3"/>
  <c r="D255" i="3"/>
  <c r="C255" i="3"/>
  <c r="B255" i="3"/>
  <c r="A255" i="3"/>
  <c r="H254" i="3"/>
  <c r="G254" i="3"/>
  <c r="D254" i="3"/>
  <c r="C254" i="3"/>
  <c r="B254" i="3"/>
  <c r="A254" i="3"/>
  <c r="H253" i="3"/>
  <c r="G253" i="3"/>
  <c r="D253" i="3"/>
  <c r="C253" i="3"/>
  <c r="B253" i="3"/>
  <c r="A253" i="3"/>
  <c r="H252" i="3"/>
  <c r="G252" i="3"/>
  <c r="D252" i="3"/>
  <c r="C252" i="3"/>
  <c r="B252" i="3"/>
  <c r="A252" i="3"/>
  <c r="H251" i="3"/>
  <c r="G251" i="3"/>
  <c r="D251" i="3"/>
  <c r="C251" i="3"/>
  <c r="B251" i="3"/>
  <c r="A251" i="3"/>
  <c r="H250" i="3"/>
  <c r="G250" i="3"/>
  <c r="D250" i="3"/>
  <c r="C250" i="3"/>
  <c r="B250" i="3"/>
  <c r="A250" i="3"/>
  <c r="H249" i="3"/>
  <c r="G249" i="3"/>
  <c r="D249" i="3"/>
  <c r="C249" i="3"/>
  <c r="B249" i="3"/>
  <c r="A249" i="3"/>
  <c r="H248" i="3"/>
  <c r="G248" i="3"/>
  <c r="D248" i="3"/>
  <c r="C248" i="3"/>
  <c r="B248" i="3"/>
  <c r="A248" i="3"/>
  <c r="H247" i="3"/>
  <c r="G247" i="3"/>
  <c r="D247" i="3"/>
  <c r="C247" i="3"/>
  <c r="B247" i="3"/>
  <c r="A247" i="3"/>
  <c r="H246" i="3"/>
  <c r="G246" i="3"/>
  <c r="D246" i="3"/>
  <c r="C246" i="3"/>
  <c r="B246" i="3"/>
  <c r="A246" i="3"/>
  <c r="H245" i="3"/>
  <c r="G245" i="3"/>
  <c r="D245" i="3"/>
  <c r="C245" i="3"/>
  <c r="B245" i="3"/>
  <c r="A245" i="3"/>
  <c r="H244" i="3"/>
  <c r="G244" i="3"/>
  <c r="D244" i="3"/>
  <c r="C244" i="3"/>
  <c r="B244" i="3"/>
  <c r="A244" i="3"/>
  <c r="H243" i="3"/>
  <c r="G243" i="3"/>
  <c r="D243" i="3"/>
  <c r="C243" i="3"/>
  <c r="B243" i="3"/>
  <c r="A243" i="3"/>
  <c r="H242" i="3"/>
  <c r="G242" i="3"/>
  <c r="D242" i="3"/>
  <c r="C242" i="3"/>
  <c r="B242" i="3"/>
  <c r="A242" i="3"/>
  <c r="H241" i="3"/>
  <c r="G241" i="3"/>
  <c r="D241" i="3"/>
  <c r="C241" i="3"/>
  <c r="B241" i="3"/>
  <c r="A241" i="3"/>
  <c r="H240" i="3"/>
  <c r="G240" i="3"/>
  <c r="D240" i="3"/>
  <c r="C240" i="3"/>
  <c r="B240" i="3"/>
  <c r="A240" i="3"/>
  <c r="H239" i="3"/>
  <c r="G239" i="3"/>
  <c r="D239" i="3"/>
  <c r="C239" i="3"/>
  <c r="B239" i="3"/>
  <c r="A239" i="3"/>
  <c r="H238" i="3"/>
  <c r="G238" i="3"/>
  <c r="D238" i="3"/>
  <c r="C238" i="3"/>
  <c r="B238" i="3"/>
  <c r="A238" i="3"/>
  <c r="H237" i="3"/>
  <c r="G237" i="3"/>
  <c r="D237" i="3"/>
  <c r="C237" i="3"/>
  <c r="B237" i="3"/>
  <c r="A237" i="3"/>
  <c r="H236" i="3"/>
  <c r="G236" i="3"/>
  <c r="D236" i="3"/>
  <c r="C236" i="3"/>
  <c r="B236" i="3"/>
  <c r="A236" i="3"/>
  <c r="H235" i="3"/>
  <c r="G235" i="3"/>
  <c r="D235" i="3"/>
  <c r="C235" i="3"/>
  <c r="B235" i="3"/>
  <c r="A235" i="3"/>
  <c r="H234" i="3"/>
  <c r="G234" i="3"/>
  <c r="D234" i="3"/>
  <c r="C234" i="3"/>
  <c r="B234" i="3"/>
  <c r="A234" i="3"/>
  <c r="H233" i="3"/>
  <c r="G233" i="3"/>
  <c r="D233" i="3"/>
  <c r="C233" i="3"/>
  <c r="B233" i="3"/>
  <c r="A233" i="3"/>
  <c r="H232" i="3"/>
  <c r="G232" i="3"/>
  <c r="D232" i="3"/>
  <c r="C232" i="3"/>
  <c r="B232" i="3"/>
  <c r="A232" i="3"/>
  <c r="H231" i="3"/>
  <c r="G231" i="3"/>
  <c r="D231" i="3"/>
  <c r="C231" i="3"/>
  <c r="B231" i="3"/>
  <c r="A231" i="3"/>
  <c r="H230" i="3"/>
  <c r="G230" i="3"/>
  <c r="D230" i="3"/>
  <c r="C230" i="3"/>
  <c r="B230" i="3"/>
  <c r="A230" i="3"/>
  <c r="H229" i="3"/>
  <c r="G229" i="3"/>
  <c r="D229" i="3"/>
  <c r="C229" i="3"/>
  <c r="B229" i="3"/>
  <c r="A229" i="3"/>
  <c r="H228" i="3"/>
  <c r="G228" i="3"/>
  <c r="D228" i="3"/>
  <c r="C228" i="3"/>
  <c r="B228" i="3"/>
  <c r="A228" i="3"/>
  <c r="H227" i="3"/>
  <c r="G227" i="3"/>
  <c r="D227" i="3"/>
  <c r="C227" i="3"/>
  <c r="B227" i="3"/>
  <c r="A227" i="3"/>
  <c r="H226" i="3"/>
  <c r="G226" i="3"/>
  <c r="D226" i="3"/>
  <c r="C226" i="3"/>
  <c r="B226" i="3"/>
  <c r="A226" i="3"/>
  <c r="H225" i="3"/>
  <c r="G225" i="3"/>
  <c r="D225" i="3"/>
  <c r="C225" i="3"/>
  <c r="B225" i="3"/>
  <c r="A225" i="3"/>
  <c r="H1479" i="3"/>
  <c r="G1479" i="3"/>
  <c r="D1479" i="3"/>
  <c r="C1479" i="3"/>
  <c r="B1479" i="3"/>
  <c r="A1479" i="3"/>
  <c r="H1478" i="3"/>
  <c r="G1478" i="3"/>
  <c r="D1478" i="3"/>
  <c r="C1478" i="3"/>
  <c r="B1478" i="3"/>
  <c r="A1478" i="3"/>
  <c r="H1477" i="3"/>
  <c r="G1477" i="3"/>
  <c r="D1477" i="3"/>
  <c r="C1477" i="3"/>
  <c r="B1477" i="3"/>
  <c r="A1477" i="3"/>
  <c r="H863" i="3"/>
  <c r="G863" i="3"/>
  <c r="D863" i="3"/>
  <c r="C863" i="3"/>
  <c r="B863" i="3"/>
  <c r="A863" i="3"/>
  <c r="H862" i="3"/>
  <c r="G862" i="3"/>
  <c r="D862" i="3"/>
  <c r="C862" i="3"/>
  <c r="B862" i="3"/>
  <c r="A862" i="3"/>
  <c r="H861" i="3"/>
  <c r="G861" i="3"/>
  <c r="D861" i="3"/>
  <c r="C861" i="3"/>
  <c r="B861" i="3"/>
  <c r="A861" i="3"/>
  <c r="H860" i="3"/>
  <c r="G860" i="3"/>
  <c r="D860" i="3"/>
  <c r="C860" i="3"/>
  <c r="B860" i="3"/>
  <c r="A860" i="3"/>
  <c r="H1126" i="3"/>
  <c r="G1126" i="3"/>
  <c r="D1126" i="3"/>
  <c r="C1126" i="3"/>
  <c r="B1126" i="3"/>
  <c r="A1126" i="3"/>
  <c r="H859" i="3"/>
  <c r="G859" i="3"/>
  <c r="D859" i="3"/>
  <c r="C859" i="3"/>
  <c r="B859" i="3"/>
  <c r="A859" i="3"/>
  <c r="H858" i="3"/>
  <c r="G858" i="3"/>
  <c r="D858" i="3"/>
  <c r="C858" i="3"/>
  <c r="B858" i="3"/>
  <c r="A858" i="3"/>
  <c r="H857" i="3"/>
  <c r="G857" i="3"/>
  <c r="D857" i="3"/>
  <c r="C857" i="3"/>
  <c r="B857" i="3"/>
  <c r="A857" i="3"/>
  <c r="H856" i="3"/>
  <c r="G856" i="3"/>
  <c r="D856" i="3"/>
  <c r="C856" i="3"/>
  <c r="B856" i="3"/>
  <c r="A856" i="3"/>
  <c r="H855" i="3"/>
  <c r="G855" i="3"/>
  <c r="D855" i="3"/>
  <c r="C855" i="3"/>
  <c r="B855" i="3"/>
  <c r="A855" i="3"/>
  <c r="H854" i="3"/>
  <c r="G854" i="3"/>
  <c r="D854" i="3"/>
  <c r="C854" i="3"/>
  <c r="B854" i="3"/>
  <c r="A854" i="3"/>
  <c r="H853" i="3"/>
  <c r="G853" i="3"/>
  <c r="D853" i="3"/>
  <c r="C853" i="3"/>
  <c r="B853" i="3"/>
  <c r="A853" i="3"/>
  <c r="H852" i="3"/>
  <c r="G852" i="3"/>
  <c r="D852" i="3"/>
  <c r="C852" i="3"/>
  <c r="B852" i="3"/>
  <c r="A852" i="3"/>
  <c r="H851" i="3"/>
  <c r="G851" i="3"/>
  <c r="D851" i="3"/>
  <c r="C851" i="3"/>
  <c r="B851" i="3"/>
  <c r="A851" i="3"/>
  <c r="H850" i="3"/>
  <c r="G850" i="3"/>
  <c r="D850" i="3"/>
  <c r="C850" i="3"/>
  <c r="B850" i="3"/>
  <c r="A850" i="3"/>
  <c r="H849" i="3"/>
  <c r="G849" i="3"/>
  <c r="D849" i="3"/>
  <c r="C849" i="3"/>
  <c r="B849" i="3"/>
  <c r="A849" i="3"/>
  <c r="H848" i="3"/>
  <c r="G848" i="3"/>
  <c r="D848" i="3"/>
  <c r="C848" i="3"/>
  <c r="B848" i="3"/>
  <c r="A848" i="3"/>
  <c r="H847" i="3"/>
  <c r="G847" i="3"/>
  <c r="D847" i="3"/>
  <c r="C847" i="3"/>
  <c r="B847" i="3"/>
  <c r="A847" i="3"/>
  <c r="H846" i="3"/>
  <c r="G846" i="3"/>
  <c r="D846" i="3"/>
  <c r="C846" i="3"/>
  <c r="B846" i="3"/>
  <c r="A846" i="3"/>
  <c r="H1125" i="3"/>
  <c r="G1125" i="3"/>
  <c r="D1125" i="3"/>
  <c r="C1125" i="3"/>
  <c r="B1125" i="3"/>
  <c r="A1125" i="3"/>
  <c r="H845" i="3"/>
  <c r="G845" i="3"/>
  <c r="D845" i="3"/>
  <c r="C845" i="3"/>
  <c r="B845" i="3"/>
  <c r="A845" i="3"/>
  <c r="H844" i="3"/>
  <c r="G844" i="3"/>
  <c r="D844" i="3"/>
  <c r="C844" i="3"/>
  <c r="B844" i="3"/>
  <c r="A844" i="3"/>
  <c r="H843" i="3"/>
  <c r="G843" i="3"/>
  <c r="D843" i="3"/>
  <c r="C843" i="3"/>
  <c r="B843" i="3"/>
  <c r="A843" i="3"/>
  <c r="H842" i="3"/>
  <c r="G842" i="3"/>
  <c r="D842" i="3"/>
  <c r="C842" i="3"/>
  <c r="B842" i="3"/>
  <c r="A842" i="3"/>
  <c r="H1476" i="3"/>
  <c r="G1476" i="3"/>
  <c r="D1476" i="3"/>
  <c r="C1476" i="3"/>
  <c r="B1476" i="3"/>
  <c r="A1476" i="3"/>
  <c r="H841" i="3"/>
  <c r="G841" i="3"/>
  <c r="D841" i="3"/>
  <c r="C841" i="3"/>
  <c r="B841" i="3"/>
  <c r="A841" i="3"/>
  <c r="H840" i="3"/>
  <c r="G840" i="3"/>
  <c r="D840" i="3"/>
  <c r="C840" i="3"/>
  <c r="B840" i="3"/>
  <c r="A840" i="3"/>
  <c r="H839" i="3"/>
  <c r="G839" i="3"/>
  <c r="D839" i="3"/>
  <c r="C839" i="3"/>
  <c r="B839" i="3"/>
  <c r="A839" i="3"/>
  <c r="H838" i="3"/>
  <c r="G838" i="3"/>
  <c r="D838" i="3"/>
  <c r="C838" i="3"/>
  <c r="B838" i="3"/>
  <c r="A838" i="3"/>
  <c r="H837" i="3"/>
  <c r="G837" i="3"/>
  <c r="D837" i="3"/>
  <c r="C837" i="3"/>
  <c r="B837" i="3"/>
  <c r="A837" i="3"/>
  <c r="H836" i="3"/>
  <c r="G836" i="3"/>
  <c r="D836" i="3"/>
  <c r="C836" i="3"/>
  <c r="B836" i="3"/>
  <c r="A836" i="3"/>
  <c r="H1009" i="3"/>
  <c r="G1009" i="3"/>
  <c r="D1009" i="3"/>
  <c r="C1009" i="3"/>
  <c r="B1009" i="3"/>
  <c r="A1009" i="3"/>
  <c r="H835" i="3"/>
  <c r="G835" i="3"/>
  <c r="D835" i="3"/>
  <c r="C835" i="3"/>
  <c r="B835" i="3"/>
  <c r="A835" i="3"/>
  <c r="H834" i="3"/>
  <c r="G834" i="3"/>
  <c r="D834" i="3"/>
  <c r="C834" i="3"/>
  <c r="B834" i="3"/>
  <c r="A834" i="3"/>
  <c r="H833" i="3"/>
  <c r="G833" i="3"/>
  <c r="D833" i="3"/>
  <c r="C833" i="3"/>
  <c r="B833" i="3"/>
  <c r="A833" i="3"/>
  <c r="H832" i="3"/>
  <c r="G832" i="3"/>
  <c r="D832" i="3"/>
  <c r="C832" i="3"/>
  <c r="B832" i="3"/>
  <c r="A832" i="3"/>
  <c r="H831" i="3"/>
  <c r="G831" i="3"/>
  <c r="D831" i="3"/>
  <c r="C831" i="3"/>
  <c r="B831" i="3"/>
  <c r="A831" i="3"/>
  <c r="H830" i="3"/>
  <c r="G830" i="3"/>
  <c r="D830" i="3"/>
  <c r="C830" i="3"/>
  <c r="B830" i="3"/>
  <c r="A830" i="3"/>
  <c r="H829" i="3"/>
  <c r="G829" i="3"/>
  <c r="D829" i="3"/>
  <c r="C829" i="3"/>
  <c r="B829" i="3"/>
  <c r="A829" i="3"/>
  <c r="H828" i="3"/>
  <c r="G828" i="3"/>
  <c r="D828" i="3"/>
  <c r="C828" i="3"/>
  <c r="B828" i="3"/>
  <c r="A828" i="3"/>
  <c r="H1124" i="3"/>
  <c r="G1124" i="3"/>
  <c r="D1124" i="3"/>
  <c r="C1124" i="3"/>
  <c r="B1124" i="3"/>
  <c r="A1124" i="3"/>
  <c r="H1123" i="3"/>
  <c r="G1123" i="3"/>
  <c r="D1123" i="3"/>
  <c r="C1123" i="3"/>
  <c r="B1123" i="3"/>
  <c r="A1123" i="3"/>
  <c r="H827" i="3"/>
  <c r="G827" i="3"/>
  <c r="D827" i="3"/>
  <c r="C827" i="3"/>
  <c r="B827" i="3"/>
  <c r="A827" i="3"/>
  <c r="H1122" i="3"/>
  <c r="G1122" i="3"/>
  <c r="D1122" i="3"/>
  <c r="C1122" i="3"/>
  <c r="B1122" i="3"/>
  <c r="A1122" i="3"/>
  <c r="H1121" i="3"/>
  <c r="G1121" i="3"/>
  <c r="D1121" i="3"/>
  <c r="C1121" i="3"/>
  <c r="B1121" i="3"/>
  <c r="A1121" i="3"/>
  <c r="H826" i="3"/>
  <c r="G826" i="3"/>
  <c r="D826" i="3"/>
  <c r="C826" i="3"/>
  <c r="B826" i="3"/>
  <c r="A826" i="3"/>
  <c r="H825" i="3"/>
  <c r="G825" i="3"/>
  <c r="D825" i="3"/>
  <c r="C825" i="3"/>
  <c r="B825" i="3"/>
  <c r="A825" i="3"/>
  <c r="H824" i="3"/>
  <c r="G824" i="3"/>
  <c r="D824" i="3"/>
  <c r="C824" i="3"/>
  <c r="B824" i="3"/>
  <c r="A824" i="3"/>
  <c r="H823" i="3"/>
  <c r="G823" i="3"/>
  <c r="D823" i="3"/>
  <c r="C823" i="3"/>
  <c r="B823" i="3"/>
  <c r="A823" i="3"/>
  <c r="H1120" i="3"/>
  <c r="G1120" i="3"/>
  <c r="D1120" i="3"/>
  <c r="C1120" i="3"/>
  <c r="B1120" i="3"/>
  <c r="A1120" i="3"/>
  <c r="H1568" i="3"/>
  <c r="G1568" i="3"/>
  <c r="D1568" i="3"/>
  <c r="C1568" i="3"/>
  <c r="B1568" i="3"/>
  <c r="A1568" i="3"/>
  <c r="H1567" i="3"/>
  <c r="G1567" i="3"/>
  <c r="D1567" i="3"/>
  <c r="C1567" i="3"/>
  <c r="B1567" i="3"/>
  <c r="A1567" i="3"/>
  <c r="H1566" i="3"/>
  <c r="G1566" i="3"/>
  <c r="D1566" i="3"/>
  <c r="C1566" i="3"/>
  <c r="B1566" i="3"/>
  <c r="A1566" i="3"/>
  <c r="H1565" i="3"/>
  <c r="G1565" i="3"/>
  <c r="D1565" i="3"/>
  <c r="C1565" i="3"/>
  <c r="B1565" i="3"/>
  <c r="A1565" i="3"/>
  <c r="H1564" i="3"/>
  <c r="G1564" i="3"/>
  <c r="D1564" i="3"/>
  <c r="C1564" i="3"/>
  <c r="B1564" i="3"/>
  <c r="A1564" i="3"/>
  <c r="H1563" i="3"/>
  <c r="G1563" i="3"/>
  <c r="D1563" i="3"/>
  <c r="C1563" i="3"/>
  <c r="B1563" i="3"/>
  <c r="A1563" i="3"/>
  <c r="H1562" i="3"/>
  <c r="G1562" i="3"/>
  <c r="D1562" i="3"/>
  <c r="C1562" i="3"/>
  <c r="B1562" i="3"/>
  <c r="A1562" i="3"/>
  <c r="H1561" i="3"/>
  <c r="G1561" i="3"/>
  <c r="D1561" i="3"/>
  <c r="C1561" i="3"/>
  <c r="B1561" i="3"/>
  <c r="A1561" i="3"/>
  <c r="H1560" i="3"/>
  <c r="G1560" i="3"/>
  <c r="D1560" i="3"/>
  <c r="C1560" i="3"/>
  <c r="B1560" i="3"/>
  <c r="A1560" i="3"/>
  <c r="H1559" i="3"/>
  <c r="G1559" i="3"/>
  <c r="D1559" i="3"/>
  <c r="C1559" i="3"/>
  <c r="B1559" i="3"/>
  <c r="A1559" i="3"/>
  <c r="H1558" i="3"/>
  <c r="G1558" i="3"/>
  <c r="D1558" i="3"/>
  <c r="C1558" i="3"/>
  <c r="B1558" i="3"/>
  <c r="A1558" i="3"/>
  <c r="H1557" i="3"/>
  <c r="G1557" i="3"/>
  <c r="D1557" i="3"/>
  <c r="C1557" i="3"/>
  <c r="B1557" i="3"/>
  <c r="A1557" i="3"/>
  <c r="H1556" i="3"/>
  <c r="G1556" i="3"/>
  <c r="D1556" i="3"/>
  <c r="C1556" i="3"/>
  <c r="B1556" i="3"/>
  <c r="A1556" i="3"/>
  <c r="H1555" i="3"/>
  <c r="G1555" i="3"/>
  <c r="D1555" i="3"/>
  <c r="C1555" i="3"/>
  <c r="B1555" i="3"/>
  <c r="A1555" i="3"/>
  <c r="H1554" i="3"/>
  <c r="G1554" i="3"/>
  <c r="D1554" i="3"/>
  <c r="C1554" i="3"/>
  <c r="B1554" i="3"/>
  <c r="A1554" i="3"/>
  <c r="H1553" i="3"/>
  <c r="G1553" i="3"/>
  <c r="D1553" i="3"/>
  <c r="C1553" i="3"/>
  <c r="B1553" i="3"/>
  <c r="A1553" i="3"/>
  <c r="H1552" i="3"/>
  <c r="G1552" i="3"/>
  <c r="D1552" i="3"/>
  <c r="C1552" i="3"/>
  <c r="B1552" i="3"/>
  <c r="A1552" i="3"/>
  <c r="H1551" i="3"/>
  <c r="G1551" i="3"/>
  <c r="D1551" i="3"/>
  <c r="C1551" i="3"/>
  <c r="B1551" i="3"/>
  <c r="A1551" i="3"/>
  <c r="H1550" i="3"/>
  <c r="G1550" i="3"/>
  <c r="D1550" i="3"/>
  <c r="C1550" i="3"/>
  <c r="B1550" i="3"/>
  <c r="A1550" i="3"/>
  <c r="H1549" i="3"/>
  <c r="G1549" i="3"/>
  <c r="D1549" i="3"/>
  <c r="C1549" i="3"/>
  <c r="B1549" i="3"/>
  <c r="A1549" i="3"/>
  <c r="H1548" i="3"/>
  <c r="G1548" i="3"/>
  <c r="D1548" i="3"/>
  <c r="C1548" i="3"/>
  <c r="B1548" i="3"/>
  <c r="A1548" i="3"/>
  <c r="H1547" i="3"/>
  <c r="G1547" i="3"/>
  <c r="D1547" i="3"/>
  <c r="C1547" i="3"/>
  <c r="B1547" i="3"/>
  <c r="A1547" i="3"/>
  <c r="H1546" i="3"/>
  <c r="G1546" i="3"/>
  <c r="D1546" i="3"/>
  <c r="C1546" i="3"/>
  <c r="B1546" i="3"/>
  <c r="A1546" i="3"/>
  <c r="H1545" i="3"/>
  <c r="G1545" i="3"/>
  <c r="D1545" i="3"/>
  <c r="C1545" i="3"/>
  <c r="B1545" i="3"/>
  <c r="A1545" i="3"/>
  <c r="H1544" i="3"/>
  <c r="G1544" i="3"/>
  <c r="D1544" i="3"/>
  <c r="C1544" i="3"/>
  <c r="B1544" i="3"/>
  <c r="A1544" i="3"/>
  <c r="H1543" i="3"/>
  <c r="G1543" i="3"/>
  <c r="D1543" i="3"/>
  <c r="C1543" i="3"/>
  <c r="B1543" i="3"/>
  <c r="A1543" i="3"/>
  <c r="H1542" i="3"/>
  <c r="G1542" i="3"/>
  <c r="D1542" i="3"/>
  <c r="C1542" i="3"/>
  <c r="B1542" i="3"/>
  <c r="A1542" i="3"/>
  <c r="H1541" i="3"/>
  <c r="G1541" i="3"/>
  <c r="D1541" i="3"/>
  <c r="C1541" i="3"/>
  <c r="B1541" i="3"/>
  <c r="A1541" i="3"/>
  <c r="H1540" i="3"/>
  <c r="G1540" i="3"/>
  <c r="D1540" i="3"/>
  <c r="C1540" i="3"/>
  <c r="B1540" i="3"/>
  <c r="A1540" i="3"/>
  <c r="H1539" i="3"/>
  <c r="G1539" i="3"/>
  <c r="D1539" i="3"/>
  <c r="C1539" i="3"/>
  <c r="B1539" i="3"/>
  <c r="A1539" i="3"/>
  <c r="H1538" i="3"/>
  <c r="G1538" i="3"/>
  <c r="D1538" i="3"/>
  <c r="C1538" i="3"/>
  <c r="B1538" i="3"/>
  <c r="A1538" i="3"/>
  <c r="H1537" i="3"/>
  <c r="G1537" i="3"/>
  <c r="D1537" i="3"/>
  <c r="C1537" i="3"/>
  <c r="B1537" i="3"/>
  <c r="A1537" i="3"/>
  <c r="H1536" i="3"/>
  <c r="G1536" i="3"/>
  <c r="D1536" i="3"/>
  <c r="C1536" i="3"/>
  <c r="B1536" i="3"/>
  <c r="A1536" i="3"/>
  <c r="H1535" i="3"/>
  <c r="G1535" i="3"/>
  <c r="D1535" i="3"/>
  <c r="C1535" i="3"/>
  <c r="B1535" i="3"/>
  <c r="A1535" i="3"/>
  <c r="H1534" i="3"/>
  <c r="G1534" i="3"/>
  <c r="D1534" i="3"/>
  <c r="C1534" i="3"/>
  <c r="B1534" i="3"/>
  <c r="A1534" i="3"/>
  <c r="H1533" i="3"/>
  <c r="G1533" i="3"/>
  <c r="D1533" i="3"/>
  <c r="C1533" i="3"/>
  <c r="B1533" i="3"/>
  <c r="A1533" i="3"/>
  <c r="H1532" i="3"/>
  <c r="G1532" i="3"/>
  <c r="D1532" i="3"/>
  <c r="C1532" i="3"/>
  <c r="B1532" i="3"/>
  <c r="A1532" i="3"/>
  <c r="H1531" i="3"/>
  <c r="G1531" i="3"/>
  <c r="D1531" i="3"/>
  <c r="C1531" i="3"/>
  <c r="B1531" i="3"/>
  <c r="A1531" i="3"/>
  <c r="H1530" i="3"/>
  <c r="G1530" i="3"/>
  <c r="D1530" i="3"/>
  <c r="C1530" i="3"/>
  <c r="B1530" i="3"/>
  <c r="A1530" i="3"/>
  <c r="H1529" i="3"/>
  <c r="G1529" i="3"/>
  <c r="D1529" i="3"/>
  <c r="C1529" i="3"/>
  <c r="B1529" i="3"/>
  <c r="A1529" i="3"/>
  <c r="H1119" i="3"/>
  <c r="G1119" i="3"/>
  <c r="D1119" i="3"/>
  <c r="C1119" i="3"/>
  <c r="B1119" i="3"/>
  <c r="A1119" i="3"/>
  <c r="H1118" i="3"/>
  <c r="G1118" i="3"/>
  <c r="D1118" i="3"/>
  <c r="C1118" i="3"/>
  <c r="B1118" i="3"/>
  <c r="A1118" i="3"/>
  <c r="H1528" i="3"/>
  <c r="G1528" i="3"/>
  <c r="D1528" i="3"/>
  <c r="C1528" i="3"/>
  <c r="B1528" i="3"/>
  <c r="A1528" i="3"/>
  <c r="H1527" i="3"/>
  <c r="G1527" i="3"/>
  <c r="D1527" i="3"/>
  <c r="C1527" i="3"/>
  <c r="B1527" i="3"/>
  <c r="A1527" i="3"/>
  <c r="H1526" i="3"/>
  <c r="G1526" i="3"/>
  <c r="D1526" i="3"/>
  <c r="C1526" i="3"/>
  <c r="B1526" i="3"/>
  <c r="A1526" i="3"/>
  <c r="H1117" i="3"/>
  <c r="G1117" i="3"/>
  <c r="D1117" i="3"/>
  <c r="C1117" i="3"/>
  <c r="B1117" i="3"/>
  <c r="A1117" i="3"/>
  <c r="H1116" i="3"/>
  <c r="G1116" i="3"/>
  <c r="D1116" i="3"/>
  <c r="C1116" i="3"/>
  <c r="B1116" i="3"/>
  <c r="A1116" i="3"/>
  <c r="H1115" i="3"/>
  <c r="G1115" i="3"/>
  <c r="D1115" i="3"/>
  <c r="C1115" i="3"/>
  <c r="B1115" i="3"/>
  <c r="A1115" i="3"/>
  <c r="H1114" i="3"/>
  <c r="G1114" i="3"/>
  <c r="D1114" i="3"/>
  <c r="C1114" i="3"/>
  <c r="B1114" i="3"/>
  <c r="A1114" i="3"/>
  <c r="H1113" i="3"/>
  <c r="G1113" i="3"/>
  <c r="D1113" i="3"/>
  <c r="C1113" i="3"/>
  <c r="B1113" i="3"/>
  <c r="A1113" i="3"/>
  <c r="H1112" i="3"/>
  <c r="G1112" i="3"/>
  <c r="D1112" i="3"/>
  <c r="C1112" i="3"/>
  <c r="B1112" i="3"/>
  <c r="A1112" i="3"/>
  <c r="H1111" i="3"/>
  <c r="G1111" i="3"/>
  <c r="D1111" i="3"/>
  <c r="C1111" i="3"/>
  <c r="B1111" i="3"/>
  <c r="A1111" i="3"/>
  <c r="H1110" i="3"/>
  <c r="G1110" i="3"/>
  <c r="D1110" i="3"/>
  <c r="C1110" i="3"/>
  <c r="B1110" i="3"/>
  <c r="A1110" i="3"/>
  <c r="H1109" i="3"/>
  <c r="G1109" i="3"/>
  <c r="D1109" i="3"/>
  <c r="C1109" i="3"/>
  <c r="B1109" i="3"/>
  <c r="A1109" i="3"/>
  <c r="H1108" i="3"/>
  <c r="G1108" i="3"/>
  <c r="D1108" i="3"/>
  <c r="C1108" i="3"/>
  <c r="B1108" i="3"/>
  <c r="A1108" i="3"/>
  <c r="H1107" i="3"/>
  <c r="G1107" i="3"/>
  <c r="D1107" i="3"/>
  <c r="C1107" i="3"/>
  <c r="B1107" i="3"/>
  <c r="A1107" i="3"/>
  <c r="H1106" i="3"/>
  <c r="G1106" i="3"/>
  <c r="D1106" i="3"/>
  <c r="C1106" i="3"/>
  <c r="B1106" i="3"/>
  <c r="A1106" i="3"/>
  <c r="H1105" i="3"/>
  <c r="G1105" i="3"/>
  <c r="D1105" i="3"/>
  <c r="C1105" i="3"/>
  <c r="B1105" i="3"/>
  <c r="A1105" i="3"/>
  <c r="H1104" i="3"/>
  <c r="G1104" i="3"/>
  <c r="D1104" i="3"/>
  <c r="C1104" i="3"/>
  <c r="B1104" i="3"/>
  <c r="A1104" i="3"/>
  <c r="H1475" i="3"/>
  <c r="G1475" i="3"/>
  <c r="D1475" i="3"/>
  <c r="C1475" i="3"/>
  <c r="B1475" i="3"/>
  <c r="A1475" i="3"/>
  <c r="H1474" i="3"/>
  <c r="G1474" i="3"/>
  <c r="D1474" i="3"/>
  <c r="C1474" i="3"/>
  <c r="B1474" i="3"/>
  <c r="A1474" i="3"/>
  <c r="H1103" i="3"/>
  <c r="G1103" i="3"/>
  <c r="D1103" i="3"/>
  <c r="C1103" i="3"/>
  <c r="B1103" i="3"/>
  <c r="A1103" i="3"/>
  <c r="H1473" i="3"/>
  <c r="G1473" i="3"/>
  <c r="D1473" i="3"/>
  <c r="C1473" i="3"/>
  <c r="B1473" i="3"/>
  <c r="A1473" i="3"/>
  <c r="H1102" i="3"/>
  <c r="G1102" i="3"/>
  <c r="D1102" i="3"/>
  <c r="C1102" i="3"/>
  <c r="B1102" i="3"/>
  <c r="A1102" i="3"/>
  <c r="H224" i="3"/>
  <c r="G224" i="3"/>
  <c r="D224" i="3"/>
  <c r="C224" i="3"/>
  <c r="B224" i="3"/>
  <c r="A224" i="3"/>
  <c r="H223" i="3"/>
  <c r="G223" i="3"/>
  <c r="D223" i="3"/>
  <c r="C223" i="3"/>
  <c r="B223" i="3"/>
  <c r="A223" i="3"/>
  <c r="H222" i="3"/>
  <c r="G222" i="3"/>
  <c r="D222" i="3"/>
  <c r="C222" i="3"/>
  <c r="B222" i="3"/>
  <c r="A222" i="3"/>
  <c r="H221" i="3"/>
  <c r="G221" i="3"/>
  <c r="D221" i="3"/>
  <c r="C221" i="3"/>
  <c r="B221" i="3"/>
  <c r="A221" i="3"/>
  <c r="H220" i="3"/>
  <c r="G220" i="3"/>
  <c r="D220" i="3"/>
  <c r="C220" i="3"/>
  <c r="B220" i="3"/>
  <c r="A220" i="3"/>
  <c r="H219" i="3"/>
  <c r="G219" i="3"/>
  <c r="D219" i="3"/>
  <c r="C219" i="3"/>
  <c r="B219" i="3"/>
  <c r="A219" i="3"/>
  <c r="H218" i="3"/>
  <c r="G218" i="3"/>
  <c r="D218" i="3"/>
  <c r="C218" i="3"/>
  <c r="B218" i="3"/>
  <c r="A218" i="3"/>
  <c r="H217" i="3"/>
  <c r="G217" i="3"/>
  <c r="D217" i="3"/>
  <c r="C217" i="3"/>
  <c r="B217" i="3"/>
  <c r="A217" i="3"/>
  <c r="H216" i="3"/>
  <c r="G216" i="3"/>
  <c r="D216" i="3"/>
  <c r="C216" i="3"/>
  <c r="B216" i="3"/>
  <c r="A216" i="3"/>
  <c r="H215" i="3"/>
  <c r="G215" i="3"/>
  <c r="D215" i="3"/>
  <c r="C215" i="3"/>
  <c r="B215" i="3"/>
  <c r="A215" i="3"/>
  <c r="H214" i="3"/>
  <c r="G214" i="3"/>
  <c r="D214" i="3"/>
  <c r="C214" i="3"/>
  <c r="B214" i="3"/>
  <c r="A214" i="3"/>
  <c r="H213" i="3"/>
  <c r="G213" i="3"/>
  <c r="D213" i="3"/>
  <c r="C213" i="3"/>
  <c r="B213" i="3"/>
  <c r="A213" i="3"/>
  <c r="H212" i="3"/>
  <c r="G212" i="3"/>
  <c r="D212" i="3"/>
  <c r="C212" i="3"/>
  <c r="B212" i="3"/>
  <c r="A212" i="3"/>
  <c r="H211" i="3"/>
  <c r="G211" i="3"/>
  <c r="D211" i="3"/>
  <c r="C211" i="3"/>
  <c r="B211" i="3"/>
  <c r="A211" i="3"/>
  <c r="H210" i="3"/>
  <c r="G210" i="3"/>
  <c r="D210" i="3"/>
  <c r="C210" i="3"/>
  <c r="B210" i="3"/>
  <c r="A210" i="3"/>
  <c r="H209" i="3"/>
  <c r="G209" i="3"/>
  <c r="D209" i="3"/>
  <c r="C209" i="3"/>
  <c r="B209" i="3"/>
  <c r="A209" i="3"/>
  <c r="H208" i="3"/>
  <c r="G208" i="3"/>
  <c r="D208" i="3"/>
  <c r="C208" i="3"/>
  <c r="B208" i="3"/>
  <c r="A208" i="3"/>
  <c r="H207" i="3"/>
  <c r="G207" i="3"/>
  <c r="D207" i="3"/>
  <c r="C207" i="3"/>
  <c r="B207" i="3"/>
  <c r="A207" i="3"/>
  <c r="H206" i="3"/>
  <c r="G206" i="3"/>
  <c r="D206" i="3"/>
  <c r="C206" i="3"/>
  <c r="B206" i="3"/>
  <c r="A206" i="3"/>
  <c r="H205" i="3"/>
  <c r="G205" i="3"/>
  <c r="D205" i="3"/>
  <c r="C205" i="3"/>
  <c r="B205" i="3"/>
  <c r="A205" i="3"/>
  <c r="H204" i="3"/>
  <c r="G204" i="3"/>
  <c r="D204" i="3"/>
  <c r="C204" i="3"/>
  <c r="B204" i="3"/>
  <c r="A204" i="3"/>
  <c r="H203" i="3"/>
  <c r="G203" i="3"/>
  <c r="D203" i="3"/>
  <c r="C203" i="3"/>
  <c r="B203" i="3"/>
  <c r="A203" i="3"/>
  <c r="H202" i="3"/>
  <c r="G202" i="3"/>
  <c r="D202" i="3"/>
  <c r="C202" i="3"/>
  <c r="B202" i="3"/>
  <c r="A202" i="3"/>
  <c r="H201" i="3"/>
  <c r="G201" i="3"/>
  <c r="D201" i="3"/>
  <c r="C201" i="3"/>
  <c r="B201" i="3"/>
  <c r="A201" i="3"/>
  <c r="H200" i="3"/>
  <c r="G200" i="3"/>
  <c r="D200" i="3"/>
  <c r="C200" i="3"/>
  <c r="B200" i="3"/>
  <c r="A200" i="3"/>
  <c r="H199" i="3"/>
  <c r="G199" i="3"/>
  <c r="D199" i="3"/>
  <c r="C199" i="3"/>
  <c r="B199" i="3"/>
  <c r="A199" i="3"/>
  <c r="H198" i="3"/>
  <c r="G198" i="3"/>
  <c r="D198" i="3"/>
  <c r="C198" i="3"/>
  <c r="B198" i="3"/>
  <c r="A198" i="3"/>
  <c r="H197" i="3"/>
  <c r="G197" i="3"/>
  <c r="D197" i="3"/>
  <c r="C197" i="3"/>
  <c r="B197" i="3"/>
  <c r="A197" i="3"/>
  <c r="H196" i="3"/>
  <c r="G196" i="3"/>
  <c r="D196" i="3"/>
  <c r="C196" i="3"/>
  <c r="B196" i="3"/>
  <c r="A196" i="3"/>
  <c r="H195" i="3"/>
  <c r="G195" i="3"/>
  <c r="D195" i="3"/>
  <c r="C195" i="3"/>
  <c r="B195" i="3"/>
  <c r="A195" i="3"/>
  <c r="H194" i="3"/>
  <c r="G194" i="3"/>
  <c r="D194" i="3"/>
  <c r="C194" i="3"/>
  <c r="B194" i="3"/>
  <c r="A194" i="3"/>
  <c r="H193" i="3"/>
  <c r="G193" i="3"/>
  <c r="D193" i="3"/>
  <c r="C193" i="3"/>
  <c r="B193" i="3"/>
  <c r="A193" i="3"/>
  <c r="H192" i="3"/>
  <c r="G192" i="3"/>
  <c r="D192" i="3"/>
  <c r="C192" i="3"/>
  <c r="B192" i="3"/>
  <c r="A192" i="3"/>
  <c r="H191" i="3"/>
  <c r="G191" i="3"/>
  <c r="D191" i="3"/>
  <c r="C191" i="3"/>
  <c r="B191" i="3"/>
  <c r="A191" i="3"/>
  <c r="H190" i="3"/>
  <c r="G190" i="3"/>
  <c r="D190" i="3"/>
  <c r="C190" i="3"/>
  <c r="B190" i="3"/>
  <c r="A190" i="3"/>
  <c r="H189" i="3"/>
  <c r="G189" i="3"/>
  <c r="D189" i="3"/>
  <c r="C189" i="3"/>
  <c r="B189" i="3"/>
  <c r="A189" i="3"/>
  <c r="H188" i="3"/>
  <c r="G188" i="3"/>
  <c r="D188" i="3"/>
  <c r="C188" i="3"/>
  <c r="B188" i="3"/>
  <c r="A188" i="3"/>
  <c r="H187" i="3"/>
  <c r="G187" i="3"/>
  <c r="D187" i="3"/>
  <c r="C187" i="3"/>
  <c r="B187" i="3"/>
  <c r="A187" i="3"/>
  <c r="H186" i="3"/>
  <c r="G186" i="3"/>
  <c r="D186" i="3"/>
  <c r="C186" i="3"/>
  <c r="B186" i="3"/>
  <c r="A186" i="3"/>
  <c r="H185" i="3"/>
  <c r="G185" i="3"/>
  <c r="D185" i="3"/>
  <c r="C185" i="3"/>
  <c r="B185" i="3"/>
  <c r="A185" i="3"/>
  <c r="H184" i="3"/>
  <c r="G184" i="3"/>
  <c r="D184" i="3"/>
  <c r="C184" i="3"/>
  <c r="B184" i="3"/>
  <c r="A184" i="3"/>
  <c r="H1525" i="3"/>
  <c r="G1525" i="3"/>
  <c r="D1525" i="3"/>
  <c r="C1525" i="3"/>
  <c r="B1525" i="3"/>
  <c r="A1525" i="3"/>
  <c r="H183" i="3"/>
  <c r="G183" i="3"/>
  <c r="D183" i="3"/>
  <c r="C183" i="3"/>
  <c r="B183" i="3"/>
  <c r="A183" i="3"/>
  <c r="H182" i="3"/>
  <c r="G182" i="3"/>
  <c r="D182" i="3"/>
  <c r="C182" i="3"/>
  <c r="B182" i="3"/>
  <c r="A182" i="3"/>
  <c r="H181" i="3"/>
  <c r="G181" i="3"/>
  <c r="D181" i="3"/>
  <c r="C181" i="3"/>
  <c r="B181" i="3"/>
  <c r="A181" i="3"/>
  <c r="H180" i="3"/>
  <c r="G180" i="3"/>
  <c r="D180" i="3"/>
  <c r="C180" i="3"/>
  <c r="B180" i="3"/>
  <c r="A180" i="3"/>
  <c r="H179" i="3"/>
  <c r="G179" i="3"/>
  <c r="D179" i="3"/>
  <c r="C179" i="3"/>
  <c r="B179" i="3"/>
  <c r="A179" i="3"/>
  <c r="H178" i="3"/>
  <c r="G178" i="3"/>
  <c r="D178" i="3"/>
  <c r="C178" i="3"/>
  <c r="B178" i="3"/>
  <c r="A178" i="3"/>
  <c r="H1524" i="3"/>
  <c r="G1524" i="3"/>
  <c r="D1524" i="3"/>
  <c r="C1524" i="3"/>
  <c r="B1524" i="3"/>
  <c r="A1524" i="3"/>
  <c r="H1523" i="3"/>
  <c r="G1523" i="3"/>
  <c r="D1523" i="3"/>
  <c r="C1523" i="3"/>
  <c r="B1523" i="3"/>
  <c r="A1523" i="3"/>
  <c r="H869" i="3"/>
  <c r="G869" i="3"/>
  <c r="D869" i="3"/>
  <c r="C869" i="3"/>
  <c r="B869" i="3"/>
  <c r="A869" i="3"/>
  <c r="H1101" i="3"/>
  <c r="G1101" i="3"/>
  <c r="D1101" i="3"/>
  <c r="C1101" i="3"/>
  <c r="B1101" i="3"/>
  <c r="A1101" i="3"/>
  <c r="H177" i="3"/>
  <c r="G177" i="3"/>
  <c r="D177" i="3"/>
  <c r="C177" i="3"/>
  <c r="B177" i="3"/>
  <c r="A177" i="3"/>
  <c r="H176" i="3"/>
  <c r="G176" i="3"/>
  <c r="D176" i="3"/>
  <c r="C176" i="3"/>
  <c r="B176" i="3"/>
  <c r="A176" i="3"/>
  <c r="H175" i="3"/>
  <c r="G175" i="3"/>
  <c r="D175" i="3"/>
  <c r="C175" i="3"/>
  <c r="B175" i="3"/>
  <c r="A175" i="3"/>
  <c r="H174" i="3"/>
  <c r="G174" i="3"/>
  <c r="D174" i="3"/>
  <c r="C174" i="3"/>
  <c r="B174" i="3"/>
  <c r="A174" i="3"/>
  <c r="H173" i="3"/>
  <c r="G173" i="3"/>
  <c r="D173" i="3"/>
  <c r="C173" i="3"/>
  <c r="B173" i="3"/>
  <c r="A173" i="3"/>
  <c r="H172" i="3"/>
  <c r="G172" i="3"/>
  <c r="D172" i="3"/>
  <c r="C172" i="3"/>
  <c r="B172" i="3"/>
  <c r="A172" i="3"/>
  <c r="H171" i="3"/>
  <c r="G171" i="3"/>
  <c r="D171" i="3"/>
  <c r="C171" i="3"/>
  <c r="B171" i="3"/>
  <c r="A171" i="3"/>
  <c r="H170" i="3"/>
  <c r="G170" i="3"/>
  <c r="D170" i="3"/>
  <c r="C170" i="3"/>
  <c r="B170" i="3"/>
  <c r="A170" i="3"/>
  <c r="H169" i="3"/>
  <c r="G169" i="3"/>
  <c r="D169" i="3"/>
  <c r="C169" i="3"/>
  <c r="B169" i="3"/>
  <c r="A169" i="3"/>
  <c r="H168" i="3"/>
  <c r="G168" i="3"/>
  <c r="D168" i="3"/>
  <c r="C168" i="3"/>
  <c r="B168" i="3"/>
  <c r="A168" i="3"/>
  <c r="H167" i="3"/>
  <c r="G167" i="3"/>
  <c r="D167" i="3"/>
  <c r="C167" i="3"/>
  <c r="B167" i="3"/>
  <c r="A167" i="3"/>
  <c r="H166" i="3"/>
  <c r="G166" i="3"/>
  <c r="D166" i="3"/>
  <c r="C166" i="3"/>
  <c r="B166" i="3"/>
  <c r="A166" i="3"/>
  <c r="H165" i="3"/>
  <c r="G165" i="3"/>
  <c r="D165" i="3"/>
  <c r="C165" i="3"/>
  <c r="B165" i="3"/>
  <c r="A165" i="3"/>
  <c r="H164" i="3"/>
  <c r="G164" i="3"/>
  <c r="D164" i="3"/>
  <c r="C164" i="3"/>
  <c r="B164" i="3"/>
  <c r="A164" i="3"/>
  <c r="H163" i="3"/>
  <c r="G163" i="3"/>
  <c r="D163" i="3"/>
  <c r="C163" i="3"/>
  <c r="B163" i="3"/>
  <c r="A163" i="3"/>
  <c r="H162" i="3"/>
  <c r="G162" i="3"/>
  <c r="D162" i="3"/>
  <c r="C162" i="3"/>
  <c r="B162" i="3"/>
  <c r="A162" i="3"/>
  <c r="H161" i="3"/>
  <c r="G161" i="3"/>
  <c r="D161" i="3"/>
  <c r="C161" i="3"/>
  <c r="B161" i="3"/>
  <c r="A161" i="3"/>
  <c r="H160" i="3"/>
  <c r="G160" i="3"/>
  <c r="D160" i="3"/>
  <c r="C160" i="3"/>
  <c r="B160" i="3"/>
  <c r="A160" i="3"/>
  <c r="H159" i="3"/>
  <c r="G159" i="3"/>
  <c r="D159" i="3"/>
  <c r="C159" i="3"/>
  <c r="B159" i="3"/>
  <c r="A159" i="3"/>
  <c r="H158" i="3"/>
  <c r="G158" i="3"/>
  <c r="D158" i="3"/>
  <c r="C158" i="3"/>
  <c r="B158" i="3"/>
  <c r="A158" i="3"/>
  <c r="H157" i="3"/>
  <c r="G157" i="3"/>
  <c r="D157" i="3"/>
  <c r="C157" i="3"/>
  <c r="B157" i="3"/>
  <c r="A157" i="3"/>
  <c r="H156" i="3"/>
  <c r="G156" i="3"/>
  <c r="D156" i="3"/>
  <c r="C156" i="3"/>
  <c r="B156" i="3"/>
  <c r="A156" i="3"/>
  <c r="H155" i="3"/>
  <c r="G155" i="3"/>
  <c r="D155" i="3"/>
  <c r="C155" i="3"/>
  <c r="B155" i="3"/>
  <c r="A155" i="3"/>
  <c r="H154" i="3"/>
  <c r="G154" i="3"/>
  <c r="D154" i="3"/>
  <c r="C154" i="3"/>
  <c r="B154" i="3"/>
  <c r="A154" i="3"/>
  <c r="H153" i="3"/>
  <c r="G153" i="3"/>
  <c r="D153" i="3"/>
  <c r="C153" i="3"/>
  <c r="B153" i="3"/>
  <c r="A153" i="3"/>
  <c r="H152" i="3"/>
  <c r="G152" i="3"/>
  <c r="D152" i="3"/>
  <c r="C152" i="3"/>
  <c r="B152" i="3"/>
  <c r="A152" i="3"/>
  <c r="H151" i="3"/>
  <c r="G151" i="3"/>
  <c r="D151" i="3"/>
  <c r="C151" i="3"/>
  <c r="B151" i="3"/>
  <c r="A151" i="3"/>
  <c r="H150" i="3"/>
  <c r="G150" i="3"/>
  <c r="D150" i="3"/>
  <c r="C150" i="3"/>
  <c r="B150" i="3"/>
  <c r="A150" i="3"/>
  <c r="H149" i="3"/>
  <c r="G149" i="3"/>
  <c r="D149" i="3"/>
  <c r="C149" i="3"/>
  <c r="B149" i="3"/>
  <c r="A149" i="3"/>
  <c r="H148" i="3"/>
  <c r="G148" i="3"/>
  <c r="D148" i="3"/>
  <c r="C148" i="3"/>
  <c r="B148" i="3"/>
  <c r="A148" i="3"/>
  <c r="H147" i="3"/>
  <c r="G147" i="3"/>
  <c r="D147" i="3"/>
  <c r="C147" i="3"/>
  <c r="B147" i="3"/>
  <c r="A147" i="3"/>
  <c r="H146" i="3"/>
  <c r="G146" i="3"/>
  <c r="D146" i="3"/>
  <c r="C146" i="3"/>
  <c r="B146" i="3"/>
  <c r="A146" i="3"/>
  <c r="H145" i="3"/>
  <c r="G145" i="3"/>
  <c r="D145" i="3"/>
  <c r="C145" i="3"/>
  <c r="B145" i="3"/>
  <c r="A145" i="3"/>
  <c r="H144" i="3"/>
  <c r="G144" i="3"/>
  <c r="D144" i="3"/>
  <c r="C144" i="3"/>
  <c r="B144" i="3"/>
  <c r="A144" i="3"/>
  <c r="H143" i="3"/>
  <c r="G143" i="3"/>
  <c r="D143" i="3"/>
  <c r="C143" i="3"/>
  <c r="B143" i="3"/>
  <c r="A143" i="3"/>
  <c r="H142" i="3"/>
  <c r="G142" i="3"/>
  <c r="D142" i="3"/>
  <c r="C142" i="3"/>
  <c r="B142" i="3"/>
  <c r="A142" i="3"/>
  <c r="H141" i="3"/>
  <c r="G141" i="3"/>
  <c r="D141" i="3"/>
  <c r="C141" i="3"/>
  <c r="B141" i="3"/>
  <c r="A141" i="3"/>
  <c r="H140" i="3"/>
  <c r="G140" i="3"/>
  <c r="D140" i="3"/>
  <c r="C140" i="3"/>
  <c r="B140" i="3"/>
  <c r="A140" i="3"/>
  <c r="H139" i="3"/>
  <c r="G139" i="3"/>
  <c r="D139" i="3"/>
  <c r="C139" i="3"/>
  <c r="B139" i="3"/>
  <c r="A139" i="3"/>
  <c r="H138" i="3"/>
  <c r="G138" i="3"/>
  <c r="D138" i="3"/>
  <c r="C138" i="3"/>
  <c r="B138" i="3"/>
  <c r="A138" i="3"/>
  <c r="H137" i="3"/>
  <c r="G137" i="3"/>
  <c r="D137" i="3"/>
  <c r="C137" i="3"/>
  <c r="B137" i="3"/>
  <c r="A137" i="3"/>
  <c r="H136" i="3"/>
  <c r="G136" i="3"/>
  <c r="D136" i="3"/>
  <c r="C136" i="3"/>
  <c r="B136" i="3"/>
  <c r="A136" i="3"/>
  <c r="H135" i="3"/>
  <c r="G135" i="3"/>
  <c r="D135" i="3"/>
  <c r="C135" i="3"/>
  <c r="B135" i="3"/>
  <c r="A135" i="3"/>
  <c r="H134" i="3"/>
  <c r="G134" i="3"/>
  <c r="D134" i="3"/>
  <c r="C134" i="3"/>
  <c r="B134" i="3"/>
  <c r="A134" i="3"/>
  <c r="H133" i="3"/>
  <c r="G133" i="3"/>
  <c r="D133" i="3"/>
  <c r="C133" i="3"/>
  <c r="B133" i="3"/>
  <c r="A133" i="3"/>
  <c r="H132" i="3"/>
  <c r="G132" i="3"/>
  <c r="D132" i="3"/>
  <c r="C132" i="3"/>
  <c r="B132" i="3"/>
  <c r="A132" i="3"/>
  <c r="H131" i="3"/>
  <c r="G131" i="3"/>
  <c r="D131" i="3"/>
  <c r="C131" i="3"/>
  <c r="B131" i="3"/>
  <c r="A131" i="3"/>
  <c r="H130" i="3"/>
  <c r="G130" i="3"/>
  <c r="D130" i="3"/>
  <c r="C130" i="3"/>
  <c r="B130" i="3"/>
  <c r="A130" i="3"/>
  <c r="H129" i="3"/>
  <c r="G129" i="3"/>
  <c r="D129" i="3"/>
  <c r="C129" i="3"/>
  <c r="B129" i="3"/>
  <c r="A129" i="3"/>
  <c r="H128" i="3"/>
  <c r="G128" i="3"/>
  <c r="D128" i="3"/>
  <c r="C128" i="3"/>
  <c r="B128" i="3"/>
  <c r="A128" i="3"/>
  <c r="H1100" i="3"/>
  <c r="G1100" i="3"/>
  <c r="D1100" i="3"/>
  <c r="C1100" i="3"/>
  <c r="B1100" i="3"/>
  <c r="A1100" i="3"/>
  <c r="H1099" i="3"/>
  <c r="G1099" i="3"/>
  <c r="D1099" i="3"/>
  <c r="C1099" i="3"/>
  <c r="B1099" i="3"/>
  <c r="A1099" i="3"/>
  <c r="H1098" i="3"/>
  <c r="G1098" i="3"/>
  <c r="D1098" i="3"/>
  <c r="C1098" i="3"/>
  <c r="B1098" i="3"/>
  <c r="A1098" i="3"/>
  <c r="H868" i="3"/>
  <c r="G868" i="3"/>
  <c r="D868" i="3"/>
  <c r="C868" i="3"/>
  <c r="B868" i="3"/>
  <c r="A868" i="3"/>
  <c r="H867" i="3"/>
  <c r="G867" i="3"/>
  <c r="D867" i="3"/>
  <c r="C867" i="3"/>
  <c r="B867" i="3"/>
  <c r="A867" i="3"/>
  <c r="H866" i="3"/>
  <c r="G866" i="3"/>
  <c r="D866" i="3"/>
  <c r="C866" i="3"/>
  <c r="B866" i="3"/>
  <c r="A866" i="3"/>
  <c r="H1097" i="3"/>
  <c r="G1097" i="3"/>
  <c r="D1097" i="3"/>
  <c r="C1097" i="3"/>
  <c r="B1097" i="3"/>
  <c r="A1097" i="3"/>
  <c r="H1096" i="3"/>
  <c r="G1096" i="3"/>
  <c r="D1096" i="3"/>
  <c r="C1096" i="3"/>
  <c r="B1096" i="3"/>
  <c r="A1096" i="3"/>
  <c r="H1095" i="3"/>
  <c r="G1095" i="3"/>
  <c r="D1095" i="3"/>
  <c r="C1095" i="3"/>
  <c r="B1095" i="3"/>
  <c r="A1095" i="3"/>
  <c r="H865" i="3"/>
  <c r="G865" i="3"/>
  <c r="D865" i="3"/>
  <c r="C865" i="3"/>
  <c r="B865" i="3"/>
  <c r="A865" i="3"/>
  <c r="H1094" i="3"/>
  <c r="G1094" i="3"/>
  <c r="D1094" i="3"/>
  <c r="C1094" i="3"/>
  <c r="B1094" i="3"/>
  <c r="A1094" i="3"/>
  <c r="H1093" i="3"/>
  <c r="G1093" i="3"/>
  <c r="D1093" i="3"/>
  <c r="C1093" i="3"/>
  <c r="B1093" i="3"/>
  <c r="A1093" i="3"/>
  <c r="H1092" i="3"/>
  <c r="G1092" i="3"/>
  <c r="D1092" i="3"/>
  <c r="C1092" i="3"/>
  <c r="B1092" i="3"/>
  <c r="A1092" i="3"/>
  <c r="H1091" i="3"/>
  <c r="G1091" i="3"/>
  <c r="D1091" i="3"/>
  <c r="C1091" i="3"/>
  <c r="B1091" i="3"/>
  <c r="A1091" i="3"/>
  <c r="H1090" i="3"/>
  <c r="G1090" i="3"/>
  <c r="D1090" i="3"/>
  <c r="C1090" i="3"/>
  <c r="B1090" i="3"/>
  <c r="A1090" i="3"/>
  <c r="H1089" i="3"/>
  <c r="G1089" i="3"/>
  <c r="D1089" i="3"/>
  <c r="C1089" i="3"/>
  <c r="B1089" i="3"/>
  <c r="A1089" i="3"/>
  <c r="H1088" i="3"/>
  <c r="G1088" i="3"/>
  <c r="D1088" i="3"/>
  <c r="C1088" i="3"/>
  <c r="B1088" i="3"/>
  <c r="A1088" i="3"/>
  <c r="H1087" i="3"/>
  <c r="G1087" i="3"/>
  <c r="D1087" i="3"/>
  <c r="C1087" i="3"/>
  <c r="B1087" i="3"/>
  <c r="A1087" i="3"/>
  <c r="H1086" i="3"/>
  <c r="G1086" i="3"/>
  <c r="D1086" i="3"/>
  <c r="C1086" i="3"/>
  <c r="B1086" i="3"/>
  <c r="A1086" i="3"/>
  <c r="H1085" i="3"/>
  <c r="G1085" i="3"/>
  <c r="D1085" i="3"/>
  <c r="C1085" i="3"/>
  <c r="B1085" i="3"/>
  <c r="A1085" i="3"/>
  <c r="H1084" i="3"/>
  <c r="G1084" i="3"/>
  <c r="D1084" i="3"/>
  <c r="C1084" i="3"/>
  <c r="B1084" i="3"/>
  <c r="A1084" i="3"/>
  <c r="H1083" i="3"/>
  <c r="G1083" i="3"/>
  <c r="D1083" i="3"/>
  <c r="C1083" i="3"/>
  <c r="B1083" i="3"/>
  <c r="A1083" i="3"/>
  <c r="H1082" i="3"/>
  <c r="G1082" i="3"/>
  <c r="D1082" i="3"/>
  <c r="C1082" i="3"/>
  <c r="B1082" i="3"/>
  <c r="A1082" i="3"/>
  <c r="H1081" i="3"/>
  <c r="G1081" i="3"/>
  <c r="D1081" i="3"/>
  <c r="C1081" i="3"/>
  <c r="B1081" i="3"/>
  <c r="A1081" i="3"/>
  <c r="H1080" i="3"/>
  <c r="G1080" i="3"/>
  <c r="D1080" i="3"/>
  <c r="C1080" i="3"/>
  <c r="B1080" i="3"/>
  <c r="A1080" i="3"/>
  <c r="H1079" i="3"/>
  <c r="G1079" i="3"/>
  <c r="D1079" i="3"/>
  <c r="C1079" i="3"/>
  <c r="B1079" i="3"/>
  <c r="A1079" i="3"/>
  <c r="H1078" i="3"/>
  <c r="G1078" i="3"/>
  <c r="D1078" i="3"/>
  <c r="C1078" i="3"/>
  <c r="B1078" i="3"/>
  <c r="A1078" i="3"/>
  <c r="H1077" i="3"/>
  <c r="G1077" i="3"/>
  <c r="D1077" i="3"/>
  <c r="C1077" i="3"/>
  <c r="B1077" i="3"/>
  <c r="A1077" i="3"/>
  <c r="H1076" i="3"/>
  <c r="G1076" i="3"/>
  <c r="D1076" i="3"/>
  <c r="C1076" i="3"/>
  <c r="B1076" i="3"/>
  <c r="A1076" i="3"/>
  <c r="H1075" i="3"/>
  <c r="G1075" i="3"/>
  <c r="D1075" i="3"/>
  <c r="C1075" i="3"/>
  <c r="B1075" i="3"/>
  <c r="A1075" i="3"/>
  <c r="H1074" i="3"/>
  <c r="G1074" i="3"/>
  <c r="D1074" i="3"/>
  <c r="C1074" i="3"/>
  <c r="B1074" i="3"/>
  <c r="A1074" i="3"/>
  <c r="H1073" i="3"/>
  <c r="G1073" i="3"/>
  <c r="D1073" i="3"/>
  <c r="C1073" i="3"/>
  <c r="B1073" i="3"/>
  <c r="A1073" i="3"/>
  <c r="H1072" i="3"/>
  <c r="G1072" i="3"/>
  <c r="D1072" i="3"/>
  <c r="C1072" i="3"/>
  <c r="B1072" i="3"/>
  <c r="A1072" i="3"/>
  <c r="H1071" i="3"/>
  <c r="G1071" i="3"/>
  <c r="D1071" i="3"/>
  <c r="C1071" i="3"/>
  <c r="B1071" i="3"/>
  <c r="A1071" i="3"/>
  <c r="H1070" i="3"/>
  <c r="G1070" i="3"/>
  <c r="D1070" i="3"/>
  <c r="C1070" i="3"/>
  <c r="B1070" i="3"/>
  <c r="A1070" i="3"/>
  <c r="H1069" i="3"/>
  <c r="G1069" i="3"/>
  <c r="D1069" i="3"/>
  <c r="C1069" i="3"/>
  <c r="B1069" i="3"/>
  <c r="A1069" i="3"/>
  <c r="H1068" i="3"/>
  <c r="G1068" i="3"/>
  <c r="D1068" i="3"/>
  <c r="C1068" i="3"/>
  <c r="B1068" i="3"/>
  <c r="A1068" i="3"/>
  <c r="H1067" i="3"/>
  <c r="G1067" i="3"/>
  <c r="D1067" i="3"/>
  <c r="C1067" i="3"/>
  <c r="B1067" i="3"/>
  <c r="A1067" i="3"/>
  <c r="H1066" i="3"/>
  <c r="G1066" i="3"/>
  <c r="D1066" i="3"/>
  <c r="C1066" i="3"/>
  <c r="B1066" i="3"/>
  <c r="A1066" i="3"/>
  <c r="H1065" i="3"/>
  <c r="G1065" i="3"/>
  <c r="D1065" i="3"/>
  <c r="C1065" i="3"/>
  <c r="B1065" i="3"/>
  <c r="A1065" i="3"/>
  <c r="H1064" i="3"/>
  <c r="G1064" i="3"/>
  <c r="D1064" i="3"/>
  <c r="C1064" i="3"/>
  <c r="B1064" i="3"/>
  <c r="A1064" i="3"/>
  <c r="H1522" i="3"/>
  <c r="G1522" i="3"/>
  <c r="D1522" i="3"/>
  <c r="C1522" i="3"/>
  <c r="B1522" i="3"/>
  <c r="A1522" i="3"/>
  <c r="H1521" i="3"/>
  <c r="G1521" i="3"/>
  <c r="D1521" i="3"/>
  <c r="C1521" i="3"/>
  <c r="B1521" i="3"/>
  <c r="A1521" i="3"/>
  <c r="H1520" i="3"/>
  <c r="G1520" i="3"/>
  <c r="D1520" i="3"/>
  <c r="C1520" i="3"/>
  <c r="B1520" i="3"/>
  <c r="A1520" i="3"/>
  <c r="H1519" i="3"/>
  <c r="G1519" i="3"/>
  <c r="D1519" i="3"/>
  <c r="C1519" i="3"/>
  <c r="B1519" i="3"/>
  <c r="A1519" i="3"/>
  <c r="H1518" i="3"/>
  <c r="G1518" i="3"/>
  <c r="D1518" i="3"/>
  <c r="C1518" i="3"/>
  <c r="B1518" i="3"/>
  <c r="A1518" i="3"/>
  <c r="H1517" i="3"/>
  <c r="G1517" i="3"/>
  <c r="D1517" i="3"/>
  <c r="C1517" i="3"/>
  <c r="B1517" i="3"/>
  <c r="A1517" i="3"/>
  <c r="H1516" i="3"/>
  <c r="G1516" i="3"/>
  <c r="D1516" i="3"/>
  <c r="C1516" i="3"/>
  <c r="B1516" i="3"/>
  <c r="A1516" i="3"/>
  <c r="H1515" i="3"/>
  <c r="G1515" i="3"/>
  <c r="D1515" i="3"/>
  <c r="C1515" i="3"/>
  <c r="B1515" i="3"/>
  <c r="A1515" i="3"/>
  <c r="H1514" i="3"/>
  <c r="G1514" i="3"/>
  <c r="D1514" i="3"/>
  <c r="C1514" i="3"/>
  <c r="B1514" i="3"/>
  <c r="A1514" i="3"/>
  <c r="H1513" i="3"/>
  <c r="G1513" i="3"/>
  <c r="D1513" i="3"/>
  <c r="C1513" i="3"/>
  <c r="B1513" i="3"/>
  <c r="A1513" i="3"/>
  <c r="H1512" i="3"/>
  <c r="G1512" i="3"/>
  <c r="D1512" i="3"/>
  <c r="C1512" i="3"/>
  <c r="B1512" i="3"/>
  <c r="A1512" i="3"/>
  <c r="H1511" i="3"/>
  <c r="G1511" i="3"/>
  <c r="D1511" i="3"/>
  <c r="C1511" i="3"/>
  <c r="B1511" i="3"/>
  <c r="A1511" i="3"/>
  <c r="H1510" i="3"/>
  <c r="G1510" i="3"/>
  <c r="D1510" i="3"/>
  <c r="C1510" i="3"/>
  <c r="B1510" i="3"/>
  <c r="A1510" i="3"/>
  <c r="H1509" i="3"/>
  <c r="G1509" i="3"/>
  <c r="D1509" i="3"/>
  <c r="C1509" i="3"/>
  <c r="B1509" i="3"/>
  <c r="A1509" i="3"/>
  <c r="H1508" i="3"/>
  <c r="G1508" i="3"/>
  <c r="D1508" i="3"/>
  <c r="C1508" i="3"/>
  <c r="B1508" i="3"/>
  <c r="A1508" i="3"/>
  <c r="H1507" i="3"/>
  <c r="G1507" i="3"/>
  <c r="D1507" i="3"/>
  <c r="C1507" i="3"/>
  <c r="B1507" i="3"/>
  <c r="A1507" i="3"/>
  <c r="H1506" i="3"/>
  <c r="G1506" i="3"/>
  <c r="D1506" i="3"/>
  <c r="C1506" i="3"/>
  <c r="B1506" i="3"/>
  <c r="A1506" i="3"/>
  <c r="H1505" i="3"/>
  <c r="G1505" i="3"/>
  <c r="D1505" i="3"/>
  <c r="C1505" i="3"/>
  <c r="B1505" i="3"/>
  <c r="A1505" i="3"/>
  <c r="H1504" i="3"/>
  <c r="G1504" i="3"/>
  <c r="D1504" i="3"/>
  <c r="C1504" i="3"/>
  <c r="B1504" i="3"/>
  <c r="A1504" i="3"/>
  <c r="H1503" i="3"/>
  <c r="G1503" i="3"/>
  <c r="D1503" i="3"/>
  <c r="C1503" i="3"/>
  <c r="B1503" i="3"/>
  <c r="A1503" i="3"/>
  <c r="H1502" i="3"/>
  <c r="G1502" i="3"/>
  <c r="D1502" i="3"/>
  <c r="C1502" i="3"/>
  <c r="B1502" i="3"/>
  <c r="A1502" i="3"/>
  <c r="H1501" i="3"/>
  <c r="G1501" i="3"/>
  <c r="D1501" i="3"/>
  <c r="C1501" i="3"/>
  <c r="B1501" i="3"/>
  <c r="A1501" i="3"/>
  <c r="H1500" i="3"/>
  <c r="G1500" i="3"/>
  <c r="D1500" i="3"/>
  <c r="C1500" i="3"/>
  <c r="B1500" i="3"/>
  <c r="A1500" i="3"/>
  <c r="H1499" i="3"/>
  <c r="G1499" i="3"/>
  <c r="D1499" i="3"/>
  <c r="C1499" i="3"/>
  <c r="B1499" i="3"/>
  <c r="A1499" i="3"/>
  <c r="H1498" i="3"/>
  <c r="G1498" i="3"/>
  <c r="D1498" i="3"/>
  <c r="C1498" i="3"/>
  <c r="B1498" i="3"/>
  <c r="A1498" i="3"/>
  <c r="H1497" i="3"/>
  <c r="G1497" i="3"/>
  <c r="D1497" i="3"/>
  <c r="C1497" i="3"/>
  <c r="B1497" i="3"/>
  <c r="A1497" i="3"/>
  <c r="H1063" i="3"/>
  <c r="G1063" i="3"/>
  <c r="D1063" i="3"/>
  <c r="C1063" i="3"/>
  <c r="B1063" i="3"/>
  <c r="A1063" i="3"/>
  <c r="H1062" i="3"/>
  <c r="G1062" i="3"/>
  <c r="D1062" i="3"/>
  <c r="C1062" i="3"/>
  <c r="B1062" i="3"/>
  <c r="A1062" i="3"/>
  <c r="H1496" i="3"/>
  <c r="G1496" i="3"/>
  <c r="D1496" i="3"/>
  <c r="C1496" i="3"/>
  <c r="B1496" i="3"/>
  <c r="A1496" i="3"/>
  <c r="H1495" i="3"/>
  <c r="G1495" i="3"/>
  <c r="D1495" i="3"/>
  <c r="C1495" i="3"/>
  <c r="B1495" i="3"/>
  <c r="A1495" i="3"/>
  <c r="H1061" i="3"/>
  <c r="G1061" i="3"/>
  <c r="D1061" i="3"/>
  <c r="C1061" i="3"/>
  <c r="B1061" i="3"/>
  <c r="A1061" i="3"/>
  <c r="H1060" i="3"/>
  <c r="G1060" i="3"/>
  <c r="D1060" i="3"/>
  <c r="C1060" i="3"/>
  <c r="B1060" i="3"/>
  <c r="A1060" i="3"/>
  <c r="H1059" i="3"/>
  <c r="G1059" i="3"/>
  <c r="D1059" i="3"/>
  <c r="C1059" i="3"/>
  <c r="B1059" i="3"/>
  <c r="A1059" i="3"/>
  <c r="H1058" i="3"/>
  <c r="G1058" i="3"/>
  <c r="D1058" i="3"/>
  <c r="C1058" i="3"/>
  <c r="B1058" i="3"/>
  <c r="A1058" i="3"/>
  <c r="H1057" i="3"/>
  <c r="G1057" i="3"/>
  <c r="D1057" i="3"/>
  <c r="C1057" i="3"/>
  <c r="B1057" i="3"/>
  <c r="A1057" i="3"/>
  <c r="H1056" i="3"/>
  <c r="G1056" i="3"/>
  <c r="D1056" i="3"/>
  <c r="C1056" i="3"/>
  <c r="B1056" i="3"/>
  <c r="A1056" i="3"/>
  <c r="H1055" i="3"/>
  <c r="G1055" i="3"/>
  <c r="D1055" i="3"/>
  <c r="C1055" i="3"/>
  <c r="B1055" i="3"/>
  <c r="A1055" i="3"/>
  <c r="H1054" i="3"/>
  <c r="G1054" i="3"/>
  <c r="D1054" i="3"/>
  <c r="C1054" i="3"/>
  <c r="B1054" i="3"/>
  <c r="A1054" i="3"/>
  <c r="H1053" i="3"/>
  <c r="G1053" i="3"/>
  <c r="D1053" i="3"/>
  <c r="C1053" i="3"/>
  <c r="B1053" i="3"/>
  <c r="A1053" i="3"/>
  <c r="H1052" i="3"/>
  <c r="G1052" i="3"/>
  <c r="D1052" i="3"/>
  <c r="C1052" i="3"/>
  <c r="B1052" i="3"/>
  <c r="A1052" i="3"/>
  <c r="H1051" i="3"/>
  <c r="G1051" i="3"/>
  <c r="D1051" i="3"/>
  <c r="C1051" i="3"/>
  <c r="B1051" i="3"/>
  <c r="A1051" i="3"/>
  <c r="H1050" i="3"/>
  <c r="G1050" i="3"/>
  <c r="D1050" i="3"/>
  <c r="C1050" i="3"/>
  <c r="B1050" i="3"/>
  <c r="A1050" i="3"/>
  <c r="H1049" i="3"/>
  <c r="G1049" i="3"/>
  <c r="D1049" i="3"/>
  <c r="C1049" i="3"/>
  <c r="B1049" i="3"/>
  <c r="A1049" i="3"/>
  <c r="H1048" i="3"/>
  <c r="G1048" i="3"/>
  <c r="D1048" i="3"/>
  <c r="C1048" i="3"/>
  <c r="B1048" i="3"/>
  <c r="A1048" i="3"/>
  <c r="H1047" i="3"/>
  <c r="G1047" i="3"/>
  <c r="D1047" i="3"/>
  <c r="C1047" i="3"/>
  <c r="B1047" i="3"/>
  <c r="A1047" i="3"/>
  <c r="H1046" i="3"/>
  <c r="G1046" i="3"/>
  <c r="D1046" i="3"/>
  <c r="C1046" i="3"/>
  <c r="B1046" i="3"/>
  <c r="A1046" i="3"/>
  <c r="H1045" i="3"/>
  <c r="G1045" i="3"/>
  <c r="D1045" i="3"/>
  <c r="C1045" i="3"/>
  <c r="B1045" i="3"/>
  <c r="A1045" i="3"/>
  <c r="H1044" i="3"/>
  <c r="G1044" i="3"/>
  <c r="D1044" i="3"/>
  <c r="C1044" i="3"/>
  <c r="B1044" i="3"/>
  <c r="A1044" i="3"/>
  <c r="H1043" i="3"/>
  <c r="G1043" i="3"/>
  <c r="D1043" i="3"/>
  <c r="C1043" i="3"/>
  <c r="B1043" i="3"/>
  <c r="A1043" i="3"/>
  <c r="H1042" i="3"/>
  <c r="G1042" i="3"/>
  <c r="D1042" i="3"/>
  <c r="C1042" i="3"/>
  <c r="B1042" i="3"/>
  <c r="A1042" i="3"/>
  <c r="H1041" i="3"/>
  <c r="G1041" i="3"/>
  <c r="D1041" i="3"/>
  <c r="C1041" i="3"/>
  <c r="B1041" i="3"/>
  <c r="A1041" i="3"/>
  <c r="H1040" i="3"/>
  <c r="G1040" i="3"/>
  <c r="D1040" i="3"/>
  <c r="C1040" i="3"/>
  <c r="B1040" i="3"/>
  <c r="A1040" i="3"/>
  <c r="H1039" i="3"/>
  <c r="G1039" i="3"/>
  <c r="D1039" i="3"/>
  <c r="C1039" i="3"/>
  <c r="B1039" i="3"/>
  <c r="A1039" i="3"/>
  <c r="H1038" i="3"/>
  <c r="G1038" i="3"/>
  <c r="D1038" i="3"/>
  <c r="C1038" i="3"/>
  <c r="B1038" i="3"/>
  <c r="A1038" i="3"/>
  <c r="H1037" i="3"/>
  <c r="G1037" i="3"/>
  <c r="D1037" i="3"/>
  <c r="C1037" i="3"/>
  <c r="B1037" i="3"/>
  <c r="A1037" i="3"/>
  <c r="H1036" i="3"/>
  <c r="G1036" i="3"/>
  <c r="D1036" i="3"/>
  <c r="C1036" i="3"/>
  <c r="B1036" i="3"/>
  <c r="A1036" i="3"/>
  <c r="H1035" i="3"/>
  <c r="G1035" i="3"/>
  <c r="D1035" i="3"/>
  <c r="C1035" i="3"/>
  <c r="B1035" i="3"/>
  <c r="A1035" i="3"/>
  <c r="H1034" i="3"/>
  <c r="G1034" i="3"/>
  <c r="D1034" i="3"/>
  <c r="C1034" i="3"/>
  <c r="B1034" i="3"/>
  <c r="A1034" i="3"/>
  <c r="H1494" i="3"/>
  <c r="G1494" i="3"/>
  <c r="D1494" i="3"/>
  <c r="C1494" i="3"/>
  <c r="B1494" i="3"/>
  <c r="A1494" i="3"/>
  <c r="H1493" i="3"/>
  <c r="G1493" i="3"/>
  <c r="D1493" i="3"/>
  <c r="C1493" i="3"/>
  <c r="B1493" i="3"/>
  <c r="A1493" i="3"/>
  <c r="H1492" i="3"/>
  <c r="G1492" i="3"/>
  <c r="D1492" i="3"/>
  <c r="C1492" i="3"/>
  <c r="B1492" i="3"/>
  <c r="A1492" i="3"/>
  <c r="H1491" i="3"/>
  <c r="G1491" i="3"/>
  <c r="D1491" i="3"/>
  <c r="C1491" i="3"/>
  <c r="B1491" i="3"/>
  <c r="A1491" i="3"/>
  <c r="H1490" i="3"/>
  <c r="G1490" i="3"/>
  <c r="D1490" i="3"/>
  <c r="C1490" i="3"/>
  <c r="B1490" i="3"/>
  <c r="A1490" i="3"/>
  <c r="H1033" i="3"/>
  <c r="G1033" i="3"/>
  <c r="D1033" i="3"/>
  <c r="C1033" i="3"/>
  <c r="B1033" i="3"/>
  <c r="A1033" i="3"/>
  <c r="H1032" i="3"/>
  <c r="G1032" i="3"/>
  <c r="D1032" i="3"/>
  <c r="C1032" i="3"/>
  <c r="B1032" i="3"/>
  <c r="A1032" i="3"/>
  <c r="H1489" i="3"/>
  <c r="G1489" i="3"/>
  <c r="D1489" i="3"/>
  <c r="C1489" i="3"/>
  <c r="B1489" i="3"/>
  <c r="A1489" i="3"/>
  <c r="H1488" i="3"/>
  <c r="G1488" i="3"/>
  <c r="D1488" i="3"/>
  <c r="C1488" i="3"/>
  <c r="B1488" i="3"/>
  <c r="A1488" i="3"/>
  <c r="H1487" i="3"/>
  <c r="G1487" i="3"/>
  <c r="D1487" i="3"/>
  <c r="C1487" i="3"/>
  <c r="B1487" i="3"/>
  <c r="A1487" i="3"/>
  <c r="H1031" i="3"/>
  <c r="G1031" i="3"/>
  <c r="D1031" i="3"/>
  <c r="C1031" i="3"/>
  <c r="B1031" i="3"/>
  <c r="A1031" i="3"/>
  <c r="H1030" i="3"/>
  <c r="G1030" i="3"/>
  <c r="D1030" i="3"/>
  <c r="C1030" i="3"/>
  <c r="B1030" i="3"/>
  <c r="A1030" i="3"/>
  <c r="H1029" i="3"/>
  <c r="G1029" i="3"/>
  <c r="D1029" i="3"/>
  <c r="C1029" i="3"/>
  <c r="B1029" i="3"/>
  <c r="A1029" i="3"/>
  <c r="H1028" i="3"/>
  <c r="G1028" i="3"/>
  <c r="D1028" i="3"/>
  <c r="C1028" i="3"/>
  <c r="B1028" i="3"/>
  <c r="A1028" i="3"/>
  <c r="H1486" i="3"/>
  <c r="G1486" i="3"/>
  <c r="D1486" i="3"/>
  <c r="C1486" i="3"/>
  <c r="B1486" i="3"/>
  <c r="A1486" i="3"/>
  <c r="H1485" i="3"/>
  <c r="G1485" i="3"/>
  <c r="D1485" i="3"/>
  <c r="C1485" i="3"/>
  <c r="B1485" i="3"/>
  <c r="A1485" i="3"/>
  <c r="H1027" i="3"/>
  <c r="G1027" i="3"/>
  <c r="D1027" i="3"/>
  <c r="C1027" i="3"/>
  <c r="B1027" i="3"/>
  <c r="A1027" i="3"/>
  <c r="H1026" i="3"/>
  <c r="G1026" i="3"/>
  <c r="D1026" i="3"/>
  <c r="C1026" i="3"/>
  <c r="B1026" i="3"/>
  <c r="A1026" i="3"/>
  <c r="H1025" i="3"/>
  <c r="G1025" i="3"/>
  <c r="D1025" i="3"/>
  <c r="C1025" i="3"/>
  <c r="B1025" i="3"/>
  <c r="A1025" i="3"/>
  <c r="H1024" i="3"/>
  <c r="G1024" i="3"/>
  <c r="D1024" i="3"/>
  <c r="C1024" i="3"/>
  <c r="B1024" i="3"/>
  <c r="A1024" i="3"/>
  <c r="H1023" i="3"/>
  <c r="G1023" i="3"/>
  <c r="D1023" i="3"/>
  <c r="C1023" i="3"/>
  <c r="B1023" i="3"/>
  <c r="A1023" i="3"/>
  <c r="H1022" i="3"/>
  <c r="G1022" i="3"/>
  <c r="D1022" i="3"/>
  <c r="C1022" i="3"/>
  <c r="B1022" i="3"/>
  <c r="A1022" i="3"/>
  <c r="H1021" i="3"/>
  <c r="G1021" i="3"/>
  <c r="D1021" i="3"/>
  <c r="C1021" i="3"/>
  <c r="B1021" i="3"/>
  <c r="A1021" i="3"/>
  <c r="H1020" i="3"/>
  <c r="G1020" i="3"/>
  <c r="D1020" i="3"/>
  <c r="C1020" i="3"/>
  <c r="B1020" i="3"/>
  <c r="A1020" i="3"/>
  <c r="H1019" i="3"/>
  <c r="G1019" i="3"/>
  <c r="D1019" i="3"/>
  <c r="C1019" i="3"/>
  <c r="B1019" i="3"/>
  <c r="A1019" i="3"/>
  <c r="H1018" i="3"/>
  <c r="G1018" i="3"/>
  <c r="D1018" i="3"/>
  <c r="C1018" i="3"/>
  <c r="B1018" i="3"/>
  <c r="A1018" i="3"/>
  <c r="H1017" i="3"/>
  <c r="G1017" i="3"/>
  <c r="D1017" i="3"/>
  <c r="C1017" i="3"/>
  <c r="B1017" i="3"/>
  <c r="A1017" i="3"/>
  <c r="H1016" i="3"/>
  <c r="G1016" i="3"/>
  <c r="D1016" i="3"/>
  <c r="C1016" i="3"/>
  <c r="B1016" i="3"/>
  <c r="A1016" i="3"/>
  <c r="H1015" i="3"/>
  <c r="G1015" i="3"/>
  <c r="D1015" i="3"/>
  <c r="C1015" i="3"/>
  <c r="B1015" i="3"/>
  <c r="A1015" i="3"/>
  <c r="H1014" i="3"/>
  <c r="G1014" i="3"/>
  <c r="D1014" i="3"/>
  <c r="C1014" i="3"/>
  <c r="B1014" i="3"/>
  <c r="A1014" i="3"/>
  <c r="H1013" i="3"/>
  <c r="G1013" i="3"/>
  <c r="D1013" i="3"/>
  <c r="C1013" i="3"/>
  <c r="B1013" i="3"/>
  <c r="A1013" i="3"/>
  <c r="H1484" i="3"/>
  <c r="G1484" i="3"/>
  <c r="D1484" i="3"/>
  <c r="C1484" i="3"/>
  <c r="B1484" i="3"/>
  <c r="A1484" i="3"/>
  <c r="H1483" i="3"/>
  <c r="G1483" i="3"/>
  <c r="D1483" i="3"/>
  <c r="C1483" i="3"/>
  <c r="B1483" i="3"/>
  <c r="A1483" i="3"/>
  <c r="H1482" i="3"/>
  <c r="G1482" i="3"/>
  <c r="D1482" i="3"/>
  <c r="C1482" i="3"/>
  <c r="B1482" i="3"/>
  <c r="A1482" i="3"/>
  <c r="H1472" i="3"/>
  <c r="G1472" i="3"/>
  <c r="D1472" i="3"/>
  <c r="C1472" i="3"/>
  <c r="B1472" i="3"/>
  <c r="A1472" i="3"/>
  <c r="H1012" i="3"/>
  <c r="G1012" i="3"/>
  <c r="D1012" i="3"/>
  <c r="C1012" i="3"/>
  <c r="B1012" i="3"/>
  <c r="A1012" i="3"/>
  <c r="H1481" i="3"/>
  <c r="G1481" i="3"/>
  <c r="D1481" i="3"/>
  <c r="C1481" i="3"/>
  <c r="B1481" i="3"/>
  <c r="A1481" i="3"/>
  <c r="H1011" i="3"/>
  <c r="G1011" i="3"/>
  <c r="D1011" i="3"/>
  <c r="C1011" i="3"/>
  <c r="B1011" i="3"/>
  <c r="A1011" i="3"/>
  <c r="H1010" i="3"/>
  <c r="G1010" i="3"/>
  <c r="D1010" i="3"/>
  <c r="C1010" i="3"/>
  <c r="B1010" i="3"/>
  <c r="A1010" i="3"/>
  <c r="H1471" i="3"/>
  <c r="G1471" i="3"/>
  <c r="D1471" i="3"/>
  <c r="C1471" i="3"/>
  <c r="B1471" i="3"/>
  <c r="A1471" i="3"/>
  <c r="H1470" i="3"/>
  <c r="G1470" i="3"/>
  <c r="D1470" i="3"/>
  <c r="C1470" i="3"/>
  <c r="B1470" i="3"/>
  <c r="A1470" i="3"/>
  <c r="H1618" i="4"/>
  <c r="G1618" i="4"/>
  <c r="D1618" i="4"/>
  <c r="C1618" i="4"/>
  <c r="B1618" i="4"/>
  <c r="A1618" i="4"/>
  <c r="H1617" i="4"/>
  <c r="G1617" i="4"/>
  <c r="D1617" i="4"/>
  <c r="C1617" i="4"/>
  <c r="B1617" i="4"/>
  <c r="A1617" i="4"/>
  <c r="H1616" i="4"/>
  <c r="G1616" i="4"/>
  <c r="D1616" i="4"/>
  <c r="C1616" i="4"/>
  <c r="B1616" i="4"/>
  <c r="A1616" i="4"/>
  <c r="H1615" i="4"/>
  <c r="G1615" i="4"/>
  <c r="D1615" i="4"/>
  <c r="C1615" i="4"/>
  <c r="B1615" i="4"/>
  <c r="A1615" i="4"/>
  <c r="H1614" i="4"/>
  <c r="G1614" i="4"/>
  <c r="D1614" i="4"/>
  <c r="C1614" i="4"/>
  <c r="B1614" i="4"/>
  <c r="A1614" i="4"/>
  <c r="H1613" i="4"/>
  <c r="G1613" i="4"/>
  <c r="D1613" i="4"/>
  <c r="C1613" i="4"/>
  <c r="B1613" i="4"/>
  <c r="A1613" i="4"/>
  <c r="H1612" i="4"/>
  <c r="G1612" i="4"/>
  <c r="D1612" i="4"/>
  <c r="C1612" i="4"/>
  <c r="B1612" i="4"/>
  <c r="A1612" i="4"/>
  <c r="H1611" i="4"/>
  <c r="G1611" i="4"/>
  <c r="D1611" i="4"/>
  <c r="C1611" i="4"/>
  <c r="B1611" i="4"/>
  <c r="A1611" i="4"/>
  <c r="H1610" i="4"/>
  <c r="G1610" i="4"/>
  <c r="D1610" i="4"/>
  <c r="C1610" i="4"/>
  <c r="B1610" i="4"/>
  <c r="A1610" i="4"/>
  <c r="H1609" i="4"/>
  <c r="G1609" i="4"/>
  <c r="D1609" i="4"/>
  <c r="C1609" i="4"/>
  <c r="B1609" i="4"/>
  <c r="A1609" i="4"/>
  <c r="H1608" i="4"/>
  <c r="G1608" i="4"/>
  <c r="D1608" i="4"/>
  <c r="C1608" i="4"/>
  <c r="B1608" i="4"/>
  <c r="A1608" i="4"/>
  <c r="H1607" i="4"/>
  <c r="G1607" i="4"/>
  <c r="D1607" i="4"/>
  <c r="C1607" i="4"/>
  <c r="B1607" i="4"/>
  <c r="A1607" i="4"/>
  <c r="H1606" i="4"/>
  <c r="G1606" i="4"/>
  <c r="D1606" i="4"/>
  <c r="C1606" i="4"/>
  <c r="B1606" i="4"/>
  <c r="A1606" i="4"/>
  <c r="H1605" i="4"/>
  <c r="G1605" i="4"/>
  <c r="D1605" i="4"/>
  <c r="C1605" i="4"/>
  <c r="B1605" i="4"/>
  <c r="A1605" i="4"/>
  <c r="H1604" i="4"/>
  <c r="G1604" i="4"/>
  <c r="D1604" i="4"/>
  <c r="C1604" i="4"/>
  <c r="B1604" i="4"/>
  <c r="A1604" i="4"/>
  <c r="H1603" i="4"/>
  <c r="G1603" i="4"/>
  <c r="D1603" i="4"/>
  <c r="C1603" i="4"/>
  <c r="B1603" i="4"/>
  <c r="A1603" i="4"/>
  <c r="H1602" i="4"/>
  <c r="G1602" i="4"/>
  <c r="D1602" i="4"/>
  <c r="C1602" i="4"/>
  <c r="B1602" i="4"/>
  <c r="A1602" i="4"/>
  <c r="H1601" i="4"/>
  <c r="G1601" i="4"/>
  <c r="D1601" i="4"/>
  <c r="C1601" i="4"/>
  <c r="B1601" i="4"/>
  <c r="A1601" i="4"/>
  <c r="H1600" i="4"/>
  <c r="G1600" i="4"/>
  <c r="D1600" i="4"/>
  <c r="C1600" i="4"/>
  <c r="B1600" i="4"/>
  <c r="A1600" i="4"/>
  <c r="H1599" i="4"/>
  <c r="G1599" i="4"/>
  <c r="D1599" i="4"/>
  <c r="C1599" i="4"/>
  <c r="B1599" i="4"/>
  <c r="A1599" i="4"/>
  <c r="H1598" i="4"/>
  <c r="G1598" i="4"/>
  <c r="D1598" i="4"/>
  <c r="C1598" i="4"/>
  <c r="B1598" i="4"/>
  <c r="A1598" i="4"/>
  <c r="H1597" i="4"/>
  <c r="G1597" i="4"/>
  <c r="D1597" i="4"/>
  <c r="C1597" i="4"/>
  <c r="B1597" i="4"/>
  <c r="A1597" i="4"/>
  <c r="H1596" i="4"/>
  <c r="G1596" i="4"/>
  <c r="D1596" i="4"/>
  <c r="C1596" i="4"/>
  <c r="B1596" i="4"/>
  <c r="A1596" i="4"/>
  <c r="H1595" i="4"/>
  <c r="G1595" i="4"/>
  <c r="D1595" i="4"/>
  <c r="C1595" i="4"/>
  <c r="B1595" i="4"/>
  <c r="A1595" i="4"/>
  <c r="H1594" i="4"/>
  <c r="G1594" i="4"/>
  <c r="D1594" i="4"/>
  <c r="C1594" i="4"/>
  <c r="B1594" i="4"/>
  <c r="A1594" i="4"/>
  <c r="H1593" i="4"/>
  <c r="G1593" i="4"/>
  <c r="D1593" i="4"/>
  <c r="C1593" i="4"/>
  <c r="B1593" i="4"/>
  <c r="A1593" i="4"/>
  <c r="H1592" i="4"/>
  <c r="G1592" i="4"/>
  <c r="D1592" i="4"/>
  <c r="C1592" i="4"/>
  <c r="B1592" i="4"/>
  <c r="A1592" i="4"/>
  <c r="H1591" i="4"/>
  <c r="G1591" i="4"/>
  <c r="D1591" i="4"/>
  <c r="C1591" i="4"/>
  <c r="B1591" i="4"/>
  <c r="A1591" i="4"/>
  <c r="H1590" i="4"/>
  <c r="G1590" i="4"/>
  <c r="D1590" i="4"/>
  <c r="C1590" i="4"/>
  <c r="B1590" i="4"/>
  <c r="A1590" i="4"/>
  <c r="H1589" i="4"/>
  <c r="G1589" i="4"/>
  <c r="D1589" i="4"/>
  <c r="C1589" i="4"/>
  <c r="B1589" i="4"/>
  <c r="A1589" i="4"/>
  <c r="H1588" i="4"/>
  <c r="G1588" i="4"/>
  <c r="D1588" i="4"/>
  <c r="C1588" i="4"/>
  <c r="B1588" i="4"/>
  <c r="A1588" i="4"/>
  <c r="H1587" i="4"/>
  <c r="G1587" i="4"/>
  <c r="D1587" i="4"/>
  <c r="C1587" i="4"/>
  <c r="B1587" i="4"/>
  <c r="A1587" i="4"/>
  <c r="H1586" i="4"/>
  <c r="G1586" i="4"/>
  <c r="D1586" i="4"/>
  <c r="C1586" i="4"/>
  <c r="B1586" i="4"/>
  <c r="A1586" i="4"/>
  <c r="H1585" i="4"/>
  <c r="G1585" i="4"/>
  <c r="D1585" i="4"/>
  <c r="C1585" i="4"/>
  <c r="B1585" i="4"/>
  <c r="A1585" i="4"/>
  <c r="H1584" i="4"/>
  <c r="G1584" i="4"/>
  <c r="D1584" i="4"/>
  <c r="C1584" i="4"/>
  <c r="B1584" i="4"/>
  <c r="A1584" i="4"/>
  <c r="H1583" i="4"/>
  <c r="G1583" i="4"/>
  <c r="D1583" i="4"/>
  <c r="C1583" i="4"/>
  <c r="B1583" i="4"/>
  <c r="A1583" i="4"/>
  <c r="H1582" i="4"/>
  <c r="G1582" i="4"/>
  <c r="D1582" i="4"/>
  <c r="C1582" i="4"/>
  <c r="B1582" i="4"/>
  <c r="A1582" i="4"/>
  <c r="H1581" i="4"/>
  <c r="G1581" i="4"/>
  <c r="D1581" i="4"/>
  <c r="C1581" i="4"/>
  <c r="B1581" i="4"/>
  <c r="A1581" i="4"/>
  <c r="H1580" i="4"/>
  <c r="G1580" i="4"/>
  <c r="D1580" i="4"/>
  <c r="C1580" i="4"/>
  <c r="B1580" i="4"/>
  <c r="A1580" i="4"/>
  <c r="H1579" i="4"/>
  <c r="G1579" i="4"/>
  <c r="D1579" i="4"/>
  <c r="C1579" i="4"/>
  <c r="B1579" i="4"/>
  <c r="A1579" i="4"/>
  <c r="H1578" i="4"/>
  <c r="G1578" i="4"/>
  <c r="D1578" i="4"/>
  <c r="C1578" i="4"/>
  <c r="B1578" i="4"/>
  <c r="A1578" i="4"/>
  <c r="H1577" i="4"/>
  <c r="G1577" i="4"/>
  <c r="D1577" i="4"/>
  <c r="C1577" i="4"/>
  <c r="B1577" i="4"/>
  <c r="A1577" i="4"/>
  <c r="H1576" i="4"/>
  <c r="G1576" i="4"/>
  <c r="D1576" i="4"/>
  <c r="C1576" i="4"/>
  <c r="B1576" i="4"/>
  <c r="A1576" i="4"/>
  <c r="H1575" i="4"/>
  <c r="G1575" i="4"/>
  <c r="D1575" i="4"/>
  <c r="C1575" i="4"/>
  <c r="B1575" i="4"/>
  <c r="A1575" i="4"/>
  <c r="H1574" i="4"/>
  <c r="G1574" i="4"/>
  <c r="D1574" i="4"/>
  <c r="C1574" i="4"/>
  <c r="B1574" i="4"/>
  <c r="A1574" i="4"/>
  <c r="H1573" i="4"/>
  <c r="G1573" i="4"/>
  <c r="D1573" i="4"/>
  <c r="C1573" i="4"/>
  <c r="B1573" i="4"/>
  <c r="A1573" i="4"/>
  <c r="H1572" i="4"/>
  <c r="G1572" i="4"/>
  <c r="D1572" i="4"/>
  <c r="C1572" i="4"/>
  <c r="B1572" i="4"/>
  <c r="A1572" i="4"/>
  <c r="H1571" i="4"/>
  <c r="G1571" i="4"/>
  <c r="D1571" i="4"/>
  <c r="C1571" i="4"/>
  <c r="B1571" i="4"/>
  <c r="A1571" i="4"/>
  <c r="H1570" i="4"/>
  <c r="G1570" i="4"/>
  <c r="D1570" i="4"/>
  <c r="C1570" i="4"/>
  <c r="B1570" i="4"/>
  <c r="A1570" i="4"/>
  <c r="H1569" i="4"/>
  <c r="G1569" i="4"/>
  <c r="D1569" i="4"/>
  <c r="C1569" i="4"/>
  <c r="B1569" i="4"/>
  <c r="A1569" i="4"/>
  <c r="H1568" i="4"/>
  <c r="G1568" i="4"/>
  <c r="D1568" i="4"/>
  <c r="C1568" i="4"/>
  <c r="B1568" i="4"/>
  <c r="A1568" i="4"/>
  <c r="H1567" i="4"/>
  <c r="G1567" i="4"/>
  <c r="D1567" i="4"/>
  <c r="C1567" i="4"/>
  <c r="B1567" i="4"/>
  <c r="A1567" i="4"/>
  <c r="H1566" i="4"/>
  <c r="G1566" i="4"/>
  <c r="D1566" i="4"/>
  <c r="C1566" i="4"/>
  <c r="B1566" i="4"/>
  <c r="A1566" i="4"/>
  <c r="H1565" i="4"/>
  <c r="G1565" i="4"/>
  <c r="D1565" i="4"/>
  <c r="C1565" i="4"/>
  <c r="B1565" i="4"/>
  <c r="A1565" i="4"/>
  <c r="H1564" i="4"/>
  <c r="G1564" i="4"/>
  <c r="D1564" i="4"/>
  <c r="C1564" i="4"/>
  <c r="B1564" i="4"/>
  <c r="A1564" i="4"/>
  <c r="H1563" i="4"/>
  <c r="G1563" i="4"/>
  <c r="D1563" i="4"/>
  <c r="C1563" i="4"/>
  <c r="B1563" i="4"/>
  <c r="A1563" i="4"/>
  <c r="H1562" i="4"/>
  <c r="G1562" i="4"/>
  <c r="D1562" i="4"/>
  <c r="C1562" i="4"/>
  <c r="B1562" i="4"/>
  <c r="A1562" i="4"/>
  <c r="H1561" i="4"/>
  <c r="G1561" i="4"/>
  <c r="D1561" i="4"/>
  <c r="C1561" i="4"/>
  <c r="B1561" i="4"/>
  <c r="A1561" i="4"/>
  <c r="H1560" i="4"/>
  <c r="G1560" i="4"/>
  <c r="D1560" i="4"/>
  <c r="C1560" i="4"/>
  <c r="B1560" i="4"/>
  <c r="A1560" i="4"/>
  <c r="H1559" i="4"/>
  <c r="G1559" i="4"/>
  <c r="D1559" i="4"/>
  <c r="C1559" i="4"/>
  <c r="B1559" i="4"/>
  <c r="A1559" i="4"/>
  <c r="H1558" i="4"/>
  <c r="G1558" i="4"/>
  <c r="D1558" i="4"/>
  <c r="C1558" i="4"/>
  <c r="B1558" i="4"/>
  <c r="A1558" i="4"/>
  <c r="H1557" i="4"/>
  <c r="G1557" i="4"/>
  <c r="D1557" i="4"/>
  <c r="C1557" i="4"/>
  <c r="B1557" i="4"/>
  <c r="A1557" i="4"/>
  <c r="H1556" i="4"/>
  <c r="G1556" i="4"/>
  <c r="D1556" i="4"/>
  <c r="C1556" i="4"/>
  <c r="B1556" i="4"/>
  <c r="A1556" i="4"/>
  <c r="H1555" i="4"/>
  <c r="G1555" i="4"/>
  <c r="D1555" i="4"/>
  <c r="C1555" i="4"/>
  <c r="B1555" i="4"/>
  <c r="A1555" i="4"/>
  <c r="H1554" i="4"/>
  <c r="G1554" i="4"/>
  <c r="D1554" i="4"/>
  <c r="C1554" i="4"/>
  <c r="B1554" i="4"/>
  <c r="A1554" i="4"/>
  <c r="H1553" i="4"/>
  <c r="G1553" i="4"/>
  <c r="D1553" i="4"/>
  <c r="C1553" i="4"/>
  <c r="B1553" i="4"/>
  <c r="A1553" i="4"/>
  <c r="H1552" i="4"/>
  <c r="G1552" i="4"/>
  <c r="D1552" i="4"/>
  <c r="C1552" i="4"/>
  <c r="B1552" i="4"/>
  <c r="A1552" i="4"/>
  <c r="H1551" i="4"/>
  <c r="G1551" i="4"/>
  <c r="D1551" i="4"/>
  <c r="C1551" i="4"/>
  <c r="B1551" i="4"/>
  <c r="A1551" i="4"/>
  <c r="H1550" i="4"/>
  <c r="G1550" i="4"/>
  <c r="D1550" i="4"/>
  <c r="C1550" i="4"/>
  <c r="B1550" i="4"/>
  <c r="A1550" i="4"/>
  <c r="H1549" i="4"/>
  <c r="G1549" i="4"/>
  <c r="D1549" i="4"/>
  <c r="C1549" i="4"/>
  <c r="B1549" i="4"/>
  <c r="A1549" i="4"/>
  <c r="H1548" i="4"/>
  <c r="G1548" i="4"/>
  <c r="D1548" i="4"/>
  <c r="C1548" i="4"/>
  <c r="B1548" i="4"/>
  <c r="A1548" i="4"/>
  <c r="H1547" i="4"/>
  <c r="G1547" i="4"/>
  <c r="D1547" i="4"/>
  <c r="C1547" i="4"/>
  <c r="B1547" i="4"/>
  <c r="A1547" i="4"/>
  <c r="H1546" i="4"/>
  <c r="G1546" i="4"/>
  <c r="D1546" i="4"/>
  <c r="C1546" i="4"/>
  <c r="B1546" i="4"/>
  <c r="A1546" i="4"/>
  <c r="H1545" i="4"/>
  <c r="G1545" i="4"/>
  <c r="D1545" i="4"/>
  <c r="C1545" i="4"/>
  <c r="B1545" i="4"/>
  <c r="A1545" i="4"/>
  <c r="H1544" i="4"/>
  <c r="G1544" i="4"/>
  <c r="D1544" i="4"/>
  <c r="C1544" i="4"/>
  <c r="B1544" i="4"/>
  <c r="A1544" i="4"/>
  <c r="H1543" i="4"/>
  <c r="G1543" i="4"/>
  <c r="D1543" i="4"/>
  <c r="C1543" i="4"/>
  <c r="B1543" i="4"/>
  <c r="A1543" i="4"/>
  <c r="H1542" i="4"/>
  <c r="G1542" i="4"/>
  <c r="D1542" i="4"/>
  <c r="C1542" i="4"/>
  <c r="B1542" i="4"/>
  <c r="A1542" i="4"/>
  <c r="H1541" i="4"/>
  <c r="G1541" i="4"/>
  <c r="D1541" i="4"/>
  <c r="C1541" i="4"/>
  <c r="B1541" i="4"/>
  <c r="A1541" i="4"/>
  <c r="H1540" i="4"/>
  <c r="G1540" i="4"/>
  <c r="D1540" i="4"/>
  <c r="C1540" i="4"/>
  <c r="B1540" i="4"/>
  <c r="A1540" i="4"/>
  <c r="H1539" i="4"/>
  <c r="G1539" i="4"/>
  <c r="D1539" i="4"/>
  <c r="C1539" i="4"/>
  <c r="B1539" i="4"/>
  <c r="A1539" i="4"/>
  <c r="H1508" i="4"/>
  <c r="G1508" i="4"/>
  <c r="D1508" i="4"/>
  <c r="C1508" i="4"/>
  <c r="B1508" i="4"/>
  <c r="A1508" i="4"/>
  <c r="H1507" i="4"/>
  <c r="G1507" i="4"/>
  <c r="D1507" i="4"/>
  <c r="C1507" i="4"/>
  <c r="B1507" i="4"/>
  <c r="A1507" i="4"/>
  <c r="H1506" i="4"/>
  <c r="G1506" i="4"/>
  <c r="D1506" i="4"/>
  <c r="C1506" i="4"/>
  <c r="B1506" i="4"/>
  <c r="A1506" i="4"/>
  <c r="H1505" i="4"/>
  <c r="G1505" i="4"/>
  <c r="D1505" i="4"/>
  <c r="C1505" i="4"/>
  <c r="B1505" i="4"/>
  <c r="A1505" i="4"/>
  <c r="H1504" i="4"/>
  <c r="G1504" i="4"/>
  <c r="D1504" i="4"/>
  <c r="C1504" i="4"/>
  <c r="B1504" i="4"/>
  <c r="A1504" i="4"/>
  <c r="H1503" i="4"/>
  <c r="G1503" i="4"/>
  <c r="D1503" i="4"/>
  <c r="C1503" i="4"/>
  <c r="B1503" i="4"/>
  <c r="A1503" i="4"/>
  <c r="H1502" i="4"/>
  <c r="G1502" i="4"/>
  <c r="D1502" i="4"/>
  <c r="C1502" i="4"/>
  <c r="B1502" i="4"/>
  <c r="A1502" i="4"/>
  <c r="H1501" i="4"/>
  <c r="G1501" i="4"/>
  <c r="D1501" i="4"/>
  <c r="C1501" i="4"/>
  <c r="B1501" i="4"/>
  <c r="A1501" i="4"/>
  <c r="H1538" i="4"/>
  <c r="G1538" i="4"/>
  <c r="D1538" i="4"/>
  <c r="C1538" i="4"/>
  <c r="B1538" i="4"/>
  <c r="A1538" i="4"/>
  <c r="H1537" i="4"/>
  <c r="G1537" i="4"/>
  <c r="D1537" i="4"/>
  <c r="C1537" i="4"/>
  <c r="B1537" i="4"/>
  <c r="A1537" i="4"/>
  <c r="H1536" i="4"/>
  <c r="G1536" i="4"/>
  <c r="D1536" i="4"/>
  <c r="C1536" i="4"/>
  <c r="B1536" i="4"/>
  <c r="A1536" i="4"/>
  <c r="H1535" i="4"/>
  <c r="G1535" i="4"/>
  <c r="D1535" i="4"/>
  <c r="C1535" i="4"/>
  <c r="B1535" i="4"/>
  <c r="A1535" i="4"/>
  <c r="H1534" i="4"/>
  <c r="G1534" i="4"/>
  <c r="D1534" i="4"/>
  <c r="C1534" i="4"/>
  <c r="B1534" i="4"/>
  <c r="A1534" i="4"/>
  <c r="H1533" i="4"/>
  <c r="G1533" i="4"/>
  <c r="D1533" i="4"/>
  <c r="C1533" i="4"/>
  <c r="B1533" i="4"/>
  <c r="A1533" i="4"/>
  <c r="H1532" i="4"/>
  <c r="G1532" i="4"/>
  <c r="D1532" i="4"/>
  <c r="C1532" i="4"/>
  <c r="B1532" i="4"/>
  <c r="A1532" i="4"/>
  <c r="H1531" i="4"/>
  <c r="G1531" i="4"/>
  <c r="D1531" i="4"/>
  <c r="C1531" i="4"/>
  <c r="B1531" i="4"/>
  <c r="A1531" i="4"/>
  <c r="H1530" i="4"/>
  <c r="G1530" i="4"/>
  <c r="D1530" i="4"/>
  <c r="C1530" i="4"/>
  <c r="B1530" i="4"/>
  <c r="A1530" i="4"/>
  <c r="H1529" i="4"/>
  <c r="G1529" i="4"/>
  <c r="D1529" i="4"/>
  <c r="C1529" i="4"/>
  <c r="B1529" i="4"/>
  <c r="A1529" i="4"/>
  <c r="H1528" i="4"/>
  <c r="G1528" i="4"/>
  <c r="D1528" i="4"/>
  <c r="C1528" i="4"/>
  <c r="B1528" i="4"/>
  <c r="A1528" i="4"/>
  <c r="H1527" i="4"/>
  <c r="G1527" i="4"/>
  <c r="D1527" i="4"/>
  <c r="C1527" i="4"/>
  <c r="B1527" i="4"/>
  <c r="A1527" i="4"/>
  <c r="H1526" i="4"/>
  <c r="G1526" i="4"/>
  <c r="D1526" i="4"/>
  <c r="C1526" i="4"/>
  <c r="B1526" i="4"/>
  <c r="A1526" i="4"/>
  <c r="H1525" i="4"/>
  <c r="G1525" i="4"/>
  <c r="D1525" i="4"/>
  <c r="C1525" i="4"/>
  <c r="B1525" i="4"/>
  <c r="A1525" i="4"/>
  <c r="H1500" i="4"/>
  <c r="G1500" i="4"/>
  <c r="D1500" i="4"/>
  <c r="C1500" i="4"/>
  <c r="B1500" i="4"/>
  <c r="A1500" i="4"/>
  <c r="H1524" i="4"/>
  <c r="G1524" i="4"/>
  <c r="D1524" i="4"/>
  <c r="C1524" i="4"/>
  <c r="B1524" i="4"/>
  <c r="A1524" i="4"/>
  <c r="H1523" i="4"/>
  <c r="G1523" i="4"/>
  <c r="D1523" i="4"/>
  <c r="C1523" i="4"/>
  <c r="B1523" i="4"/>
  <c r="A1523" i="4"/>
  <c r="H1522" i="4"/>
  <c r="G1522" i="4"/>
  <c r="D1522" i="4"/>
  <c r="C1522" i="4"/>
  <c r="B1522" i="4"/>
  <c r="A1522" i="4"/>
  <c r="H1521" i="4"/>
  <c r="G1521" i="4"/>
  <c r="D1521" i="4"/>
  <c r="C1521" i="4"/>
  <c r="B1521" i="4"/>
  <c r="A1521" i="4"/>
  <c r="H1520" i="4"/>
  <c r="G1520" i="4"/>
  <c r="D1520" i="4"/>
  <c r="C1520" i="4"/>
  <c r="B1520" i="4"/>
  <c r="A1520" i="4"/>
  <c r="H1519" i="4"/>
  <c r="G1519" i="4"/>
  <c r="D1519" i="4"/>
  <c r="C1519" i="4"/>
  <c r="B1519" i="4"/>
  <c r="A1519" i="4"/>
  <c r="H1518" i="4"/>
  <c r="G1518" i="4"/>
  <c r="D1518" i="4"/>
  <c r="C1518" i="4"/>
  <c r="B1518" i="4"/>
  <c r="A1518" i="4"/>
  <c r="H1517" i="4"/>
  <c r="G1517" i="4"/>
  <c r="D1517" i="4"/>
  <c r="C1517" i="4"/>
  <c r="B1517" i="4"/>
  <c r="A1517" i="4"/>
  <c r="H1516" i="4"/>
  <c r="G1516" i="4"/>
  <c r="D1516" i="4"/>
  <c r="C1516" i="4"/>
  <c r="B1516" i="4"/>
  <c r="A1516" i="4"/>
  <c r="H1515" i="4"/>
  <c r="G1515" i="4"/>
  <c r="D1515" i="4"/>
  <c r="C1515" i="4"/>
  <c r="B1515" i="4"/>
  <c r="A1515" i="4"/>
  <c r="H1514" i="4"/>
  <c r="G1514" i="4"/>
  <c r="D1514" i="4"/>
  <c r="C1514" i="4"/>
  <c r="B1514" i="4"/>
  <c r="A1514" i="4"/>
  <c r="H1513" i="4"/>
  <c r="G1513" i="4"/>
  <c r="D1513" i="4"/>
  <c r="C1513" i="4"/>
  <c r="B1513" i="4"/>
  <c r="A1513" i="4"/>
  <c r="H1512" i="4"/>
  <c r="G1512" i="4"/>
  <c r="D1512" i="4"/>
  <c r="C1512" i="4"/>
  <c r="B1512" i="4"/>
  <c r="A1512" i="4"/>
  <c r="H1511" i="4"/>
  <c r="G1511" i="4"/>
  <c r="D1511" i="4"/>
  <c r="C1511" i="4"/>
  <c r="B1511" i="4"/>
  <c r="A1511" i="4"/>
  <c r="H1499" i="4"/>
  <c r="G1499" i="4"/>
  <c r="D1499" i="4"/>
  <c r="C1499" i="4"/>
  <c r="B1499" i="4"/>
  <c r="A1499" i="4"/>
  <c r="H1498" i="4"/>
  <c r="G1498" i="4"/>
  <c r="D1498" i="4"/>
  <c r="C1498" i="4"/>
  <c r="B1498" i="4"/>
  <c r="A1498" i="4"/>
  <c r="H1497" i="4"/>
  <c r="G1497" i="4"/>
  <c r="D1497" i="4"/>
  <c r="C1497" i="4"/>
  <c r="B1497" i="4"/>
  <c r="A1497" i="4"/>
  <c r="H1496" i="4"/>
  <c r="G1496" i="4"/>
  <c r="D1496" i="4"/>
  <c r="C1496" i="4"/>
  <c r="B1496" i="4"/>
  <c r="A1496" i="4"/>
  <c r="H1495" i="4"/>
  <c r="G1495" i="4"/>
  <c r="D1495" i="4"/>
  <c r="C1495" i="4"/>
  <c r="B1495" i="4"/>
  <c r="A1495" i="4"/>
  <c r="H1494" i="4"/>
  <c r="G1494" i="4"/>
  <c r="D1494" i="4"/>
  <c r="C1494" i="4"/>
  <c r="B1494" i="4"/>
  <c r="A1494" i="4"/>
  <c r="H1493" i="4"/>
  <c r="G1493" i="4"/>
  <c r="D1493" i="4"/>
  <c r="C1493" i="4"/>
  <c r="B1493" i="4"/>
  <c r="A1493" i="4"/>
  <c r="H1492" i="4"/>
  <c r="G1492" i="4"/>
  <c r="D1492" i="4"/>
  <c r="C1492" i="4"/>
  <c r="B1492" i="4"/>
  <c r="A1492" i="4"/>
  <c r="H1491" i="4"/>
  <c r="G1491" i="4"/>
  <c r="D1491" i="4"/>
  <c r="C1491" i="4"/>
  <c r="B1491" i="4"/>
  <c r="A1491" i="4"/>
  <c r="H1490" i="4"/>
  <c r="G1490" i="4"/>
  <c r="D1490" i="4"/>
  <c r="C1490" i="4"/>
  <c r="B1490" i="4"/>
  <c r="A1490" i="4"/>
  <c r="H1489" i="4"/>
  <c r="G1489" i="4"/>
  <c r="D1489" i="4"/>
  <c r="C1489" i="4"/>
  <c r="B1489" i="4"/>
  <c r="A1489" i="4"/>
  <c r="H1488" i="4"/>
  <c r="G1488" i="4"/>
  <c r="D1488" i="4"/>
  <c r="C1488" i="4"/>
  <c r="B1488" i="4"/>
  <c r="A1488" i="4"/>
  <c r="H1487" i="4"/>
  <c r="G1487" i="4"/>
  <c r="D1487" i="4"/>
  <c r="C1487" i="4"/>
  <c r="B1487" i="4"/>
  <c r="A1487" i="4"/>
  <c r="H1486" i="4"/>
  <c r="G1486" i="4"/>
  <c r="D1486" i="4"/>
  <c r="C1486" i="4"/>
  <c r="B1486" i="4"/>
  <c r="A1486" i="4"/>
  <c r="H1485" i="4"/>
  <c r="G1485" i="4"/>
  <c r="D1485" i="4"/>
  <c r="C1485" i="4"/>
  <c r="B1485" i="4"/>
  <c r="A1485" i="4"/>
  <c r="H1484" i="4"/>
  <c r="G1484" i="4"/>
  <c r="D1484" i="4"/>
  <c r="C1484" i="4"/>
  <c r="B1484" i="4"/>
  <c r="A1484" i="4"/>
  <c r="H1837" i="4"/>
  <c r="G1837" i="4"/>
  <c r="D1837" i="4"/>
  <c r="C1837" i="4"/>
  <c r="B1837" i="4"/>
  <c r="A1837" i="4"/>
  <c r="H1862" i="4"/>
  <c r="G1862" i="4"/>
  <c r="D1862" i="4"/>
  <c r="C1862" i="4"/>
  <c r="B1862" i="4"/>
  <c r="A1862" i="4"/>
  <c r="H1861" i="4"/>
  <c r="G1861" i="4"/>
  <c r="D1861" i="4"/>
  <c r="C1861" i="4"/>
  <c r="B1861" i="4"/>
  <c r="A1861" i="4"/>
  <c r="H652" i="4"/>
  <c r="G652" i="4"/>
  <c r="D652" i="4"/>
  <c r="C652" i="4"/>
  <c r="B652" i="4"/>
  <c r="A652" i="4"/>
  <c r="H1836" i="4"/>
  <c r="G1836" i="4"/>
  <c r="D1836" i="4"/>
  <c r="C1836" i="4"/>
  <c r="B1836" i="4"/>
  <c r="A1836" i="4"/>
  <c r="H1835" i="4"/>
  <c r="G1835" i="4"/>
  <c r="D1835" i="4"/>
  <c r="C1835" i="4"/>
  <c r="B1835" i="4"/>
  <c r="A1835" i="4"/>
  <c r="H1834" i="4"/>
  <c r="G1834" i="4"/>
  <c r="D1834" i="4"/>
  <c r="C1834" i="4"/>
  <c r="B1834" i="4"/>
  <c r="A1834" i="4"/>
  <c r="H1833" i="4"/>
  <c r="G1833" i="4"/>
  <c r="D1833" i="4"/>
  <c r="C1833" i="4"/>
  <c r="B1833" i="4"/>
  <c r="A1833" i="4"/>
  <c r="H1860" i="4"/>
  <c r="G1860" i="4"/>
  <c r="D1860" i="4"/>
  <c r="C1860" i="4"/>
  <c r="B1860" i="4"/>
  <c r="A1860" i="4"/>
  <c r="H1859" i="4"/>
  <c r="G1859" i="4"/>
  <c r="D1859" i="4"/>
  <c r="C1859" i="4"/>
  <c r="B1859" i="4"/>
  <c r="A1859" i="4"/>
  <c r="H1858" i="4"/>
  <c r="G1858" i="4"/>
  <c r="D1858" i="4"/>
  <c r="C1858" i="4"/>
  <c r="B1858" i="4"/>
  <c r="A1858" i="4"/>
  <c r="H1832" i="4"/>
  <c r="G1832" i="4"/>
  <c r="D1832" i="4"/>
  <c r="C1832" i="4"/>
  <c r="B1832" i="4"/>
  <c r="A1832" i="4"/>
  <c r="H1857" i="4"/>
  <c r="G1857" i="4"/>
  <c r="D1857" i="4"/>
  <c r="C1857" i="4"/>
  <c r="B1857" i="4"/>
  <c r="A1857" i="4"/>
  <c r="H1856" i="4"/>
  <c r="G1856" i="4"/>
  <c r="D1856" i="4"/>
  <c r="C1856" i="4"/>
  <c r="B1856" i="4"/>
  <c r="A1856" i="4"/>
  <c r="H1831" i="4"/>
  <c r="G1831" i="4"/>
  <c r="D1831" i="4"/>
  <c r="C1831" i="4"/>
  <c r="B1831" i="4"/>
  <c r="A1831" i="4"/>
  <c r="H1830" i="4"/>
  <c r="G1830" i="4"/>
  <c r="D1830" i="4"/>
  <c r="C1830" i="4"/>
  <c r="B1830" i="4"/>
  <c r="A1830" i="4"/>
  <c r="H1829" i="4"/>
  <c r="G1829" i="4"/>
  <c r="D1829" i="4"/>
  <c r="C1829" i="4"/>
  <c r="B1829" i="4"/>
  <c r="A1829" i="4"/>
  <c r="H1855" i="4"/>
  <c r="G1855" i="4"/>
  <c r="D1855" i="4"/>
  <c r="C1855" i="4"/>
  <c r="B1855" i="4"/>
  <c r="A1855" i="4"/>
  <c r="H1854" i="4"/>
  <c r="G1854" i="4"/>
  <c r="D1854" i="4"/>
  <c r="C1854" i="4"/>
  <c r="B1854" i="4"/>
  <c r="A1854" i="4"/>
  <c r="H1828" i="4"/>
  <c r="G1828" i="4"/>
  <c r="D1828" i="4"/>
  <c r="C1828" i="4"/>
  <c r="B1828" i="4"/>
  <c r="A1828" i="4"/>
  <c r="H1827" i="4"/>
  <c r="G1827" i="4"/>
  <c r="D1827" i="4"/>
  <c r="C1827" i="4"/>
  <c r="B1827" i="4"/>
  <c r="A1827" i="4"/>
  <c r="H1826" i="4"/>
  <c r="G1826" i="4"/>
  <c r="D1826" i="4"/>
  <c r="C1826" i="4"/>
  <c r="B1826" i="4"/>
  <c r="A1826" i="4"/>
  <c r="H1825" i="4"/>
  <c r="G1825" i="4"/>
  <c r="D1825" i="4"/>
  <c r="C1825" i="4"/>
  <c r="B1825" i="4"/>
  <c r="A1825" i="4"/>
  <c r="H1483" i="4"/>
  <c r="G1483" i="4"/>
  <c r="D1483" i="4"/>
  <c r="C1483" i="4"/>
  <c r="B1483" i="4"/>
  <c r="A1483" i="4"/>
  <c r="H1482" i="4"/>
  <c r="G1482" i="4"/>
  <c r="D1482" i="4"/>
  <c r="C1482" i="4"/>
  <c r="B1482" i="4"/>
  <c r="A1482" i="4"/>
  <c r="H1481" i="4"/>
  <c r="G1481" i="4"/>
  <c r="D1481" i="4"/>
  <c r="C1481" i="4"/>
  <c r="B1481" i="4"/>
  <c r="A1481" i="4"/>
  <c r="H1824" i="4"/>
  <c r="G1824" i="4"/>
  <c r="D1824" i="4"/>
  <c r="C1824" i="4"/>
  <c r="B1824" i="4"/>
  <c r="A1824" i="4"/>
  <c r="H1823" i="4"/>
  <c r="G1823" i="4"/>
  <c r="D1823" i="4"/>
  <c r="C1823" i="4"/>
  <c r="B1823" i="4"/>
  <c r="A1823" i="4"/>
  <c r="H1822" i="4"/>
  <c r="G1822" i="4"/>
  <c r="D1822" i="4"/>
  <c r="C1822" i="4"/>
  <c r="B1822" i="4"/>
  <c r="A1822" i="4"/>
  <c r="H1821" i="4"/>
  <c r="G1821" i="4"/>
  <c r="D1821" i="4"/>
  <c r="C1821" i="4"/>
  <c r="B1821" i="4"/>
  <c r="A1821" i="4"/>
  <c r="H1820" i="4"/>
  <c r="G1820" i="4"/>
  <c r="D1820" i="4"/>
  <c r="C1820" i="4"/>
  <c r="B1820" i="4"/>
  <c r="A1820" i="4"/>
  <c r="H1819" i="4"/>
  <c r="G1819" i="4"/>
  <c r="D1819" i="4"/>
  <c r="C1819" i="4"/>
  <c r="B1819" i="4"/>
  <c r="A1819" i="4"/>
  <c r="H1818" i="4"/>
  <c r="G1818" i="4"/>
  <c r="D1818" i="4"/>
  <c r="C1818" i="4"/>
  <c r="B1818" i="4"/>
  <c r="A1818" i="4"/>
  <c r="H1817" i="4"/>
  <c r="G1817" i="4"/>
  <c r="D1817" i="4"/>
  <c r="C1817" i="4"/>
  <c r="B1817" i="4"/>
  <c r="A1817" i="4"/>
  <c r="H1816" i="4"/>
  <c r="G1816" i="4"/>
  <c r="D1816" i="4"/>
  <c r="C1816" i="4"/>
  <c r="B1816" i="4"/>
  <c r="A1816" i="4"/>
  <c r="H1815" i="4"/>
  <c r="G1815" i="4"/>
  <c r="D1815" i="4"/>
  <c r="C1815" i="4"/>
  <c r="B1815" i="4"/>
  <c r="A1815" i="4"/>
  <c r="H1814" i="4"/>
  <c r="G1814" i="4"/>
  <c r="D1814" i="4"/>
  <c r="C1814" i="4"/>
  <c r="B1814" i="4"/>
  <c r="A1814" i="4"/>
  <c r="H1813" i="4"/>
  <c r="G1813" i="4"/>
  <c r="D1813" i="4"/>
  <c r="C1813" i="4"/>
  <c r="B1813" i="4"/>
  <c r="A1813" i="4"/>
  <c r="H1812" i="4"/>
  <c r="G1812" i="4"/>
  <c r="D1812" i="4"/>
  <c r="C1812" i="4"/>
  <c r="B1812" i="4"/>
  <c r="A1812" i="4"/>
  <c r="H1811" i="4"/>
  <c r="G1811" i="4"/>
  <c r="D1811" i="4"/>
  <c r="C1811" i="4"/>
  <c r="B1811" i="4"/>
  <c r="A1811" i="4"/>
  <c r="H1810" i="4"/>
  <c r="G1810" i="4"/>
  <c r="D1810" i="4"/>
  <c r="C1810" i="4"/>
  <c r="B1810" i="4"/>
  <c r="A1810" i="4"/>
  <c r="H1809" i="4"/>
  <c r="G1809" i="4"/>
  <c r="D1809" i="4"/>
  <c r="C1809" i="4"/>
  <c r="B1809" i="4"/>
  <c r="A1809" i="4"/>
  <c r="H1808" i="4"/>
  <c r="G1808" i="4"/>
  <c r="D1808" i="4"/>
  <c r="C1808" i="4"/>
  <c r="B1808" i="4"/>
  <c r="A1808" i="4"/>
  <c r="H1807" i="4"/>
  <c r="G1807" i="4"/>
  <c r="D1807" i="4"/>
  <c r="C1807" i="4"/>
  <c r="B1807" i="4"/>
  <c r="A1807" i="4"/>
  <c r="H1806" i="4"/>
  <c r="G1806" i="4"/>
  <c r="D1806" i="4"/>
  <c r="C1806" i="4"/>
  <c r="B1806" i="4"/>
  <c r="A1806" i="4"/>
  <c r="H1805" i="4"/>
  <c r="G1805" i="4"/>
  <c r="D1805" i="4"/>
  <c r="C1805" i="4"/>
  <c r="B1805" i="4"/>
  <c r="A1805" i="4"/>
  <c r="H1804" i="4"/>
  <c r="G1804" i="4"/>
  <c r="D1804" i="4"/>
  <c r="C1804" i="4"/>
  <c r="B1804" i="4"/>
  <c r="A1804" i="4"/>
  <c r="H1803" i="4"/>
  <c r="G1803" i="4"/>
  <c r="D1803" i="4"/>
  <c r="C1803" i="4"/>
  <c r="B1803" i="4"/>
  <c r="A1803" i="4"/>
  <c r="H1802" i="4"/>
  <c r="G1802" i="4"/>
  <c r="D1802" i="4"/>
  <c r="C1802" i="4"/>
  <c r="B1802" i="4"/>
  <c r="A1802" i="4"/>
  <c r="H1801" i="4"/>
  <c r="G1801" i="4"/>
  <c r="D1801" i="4"/>
  <c r="C1801" i="4"/>
  <c r="B1801" i="4"/>
  <c r="A1801" i="4"/>
  <c r="H1800" i="4"/>
  <c r="G1800" i="4"/>
  <c r="D1800" i="4"/>
  <c r="C1800" i="4"/>
  <c r="B1800" i="4"/>
  <c r="A1800" i="4"/>
  <c r="H1799" i="4"/>
  <c r="G1799" i="4"/>
  <c r="D1799" i="4"/>
  <c r="C1799" i="4"/>
  <c r="B1799" i="4"/>
  <c r="A1799" i="4"/>
  <c r="H1798" i="4"/>
  <c r="G1798" i="4"/>
  <c r="D1798" i="4"/>
  <c r="C1798" i="4"/>
  <c r="B1798" i="4"/>
  <c r="A1798" i="4"/>
  <c r="H1797" i="4"/>
  <c r="G1797" i="4"/>
  <c r="D1797" i="4"/>
  <c r="C1797" i="4"/>
  <c r="B1797" i="4"/>
  <c r="A1797" i="4"/>
  <c r="H1796" i="4"/>
  <c r="G1796" i="4"/>
  <c r="D1796" i="4"/>
  <c r="C1796" i="4"/>
  <c r="B1796" i="4"/>
  <c r="A1796" i="4"/>
  <c r="H1795" i="4"/>
  <c r="G1795" i="4"/>
  <c r="D1795" i="4"/>
  <c r="C1795" i="4"/>
  <c r="B1795" i="4"/>
  <c r="A1795" i="4"/>
  <c r="H1794" i="4"/>
  <c r="G1794" i="4"/>
  <c r="D1794" i="4"/>
  <c r="C1794" i="4"/>
  <c r="B1794" i="4"/>
  <c r="A1794" i="4"/>
  <c r="H1793" i="4"/>
  <c r="G1793" i="4"/>
  <c r="D1793" i="4"/>
  <c r="C1793" i="4"/>
  <c r="B1793" i="4"/>
  <c r="A1793" i="4"/>
  <c r="H1792" i="4"/>
  <c r="G1792" i="4"/>
  <c r="D1792" i="4"/>
  <c r="C1792" i="4"/>
  <c r="B1792" i="4"/>
  <c r="A1792" i="4"/>
  <c r="H1791" i="4"/>
  <c r="G1791" i="4"/>
  <c r="D1791" i="4"/>
  <c r="C1791" i="4"/>
  <c r="B1791" i="4"/>
  <c r="A1791" i="4"/>
  <c r="H1790" i="4"/>
  <c r="G1790" i="4"/>
  <c r="D1790" i="4"/>
  <c r="C1790" i="4"/>
  <c r="B1790" i="4"/>
  <c r="A1790" i="4"/>
  <c r="H1480" i="4"/>
  <c r="G1480" i="4"/>
  <c r="D1480" i="4"/>
  <c r="C1480" i="4"/>
  <c r="B1480" i="4"/>
  <c r="A1480" i="4"/>
  <c r="H1789" i="4"/>
  <c r="G1789" i="4"/>
  <c r="D1789" i="4"/>
  <c r="C1789" i="4"/>
  <c r="B1789" i="4"/>
  <c r="A1789" i="4"/>
  <c r="H1788" i="4"/>
  <c r="G1788" i="4"/>
  <c r="D1788" i="4"/>
  <c r="C1788" i="4"/>
  <c r="B1788" i="4"/>
  <c r="A1788" i="4"/>
  <c r="H1787" i="4"/>
  <c r="G1787" i="4"/>
  <c r="D1787" i="4"/>
  <c r="C1787" i="4"/>
  <c r="B1787" i="4"/>
  <c r="A1787" i="4"/>
  <c r="H1786" i="4"/>
  <c r="G1786" i="4"/>
  <c r="D1786" i="4"/>
  <c r="C1786" i="4"/>
  <c r="B1786" i="4"/>
  <c r="A1786" i="4"/>
  <c r="H1785" i="4"/>
  <c r="G1785" i="4"/>
  <c r="D1785" i="4"/>
  <c r="C1785" i="4"/>
  <c r="B1785" i="4"/>
  <c r="A1785" i="4"/>
  <c r="H1784" i="4"/>
  <c r="G1784" i="4"/>
  <c r="D1784" i="4"/>
  <c r="C1784" i="4"/>
  <c r="B1784" i="4"/>
  <c r="A1784" i="4"/>
  <c r="H1783" i="4"/>
  <c r="G1783" i="4"/>
  <c r="D1783" i="4"/>
  <c r="C1783" i="4"/>
  <c r="B1783" i="4"/>
  <c r="A1783" i="4"/>
  <c r="H1782" i="4"/>
  <c r="G1782" i="4"/>
  <c r="D1782" i="4"/>
  <c r="C1782" i="4"/>
  <c r="B1782" i="4"/>
  <c r="A1782" i="4"/>
  <c r="H1781" i="4"/>
  <c r="G1781" i="4"/>
  <c r="D1781" i="4"/>
  <c r="C1781" i="4"/>
  <c r="B1781" i="4"/>
  <c r="A1781" i="4"/>
  <c r="H1780" i="4"/>
  <c r="G1780" i="4"/>
  <c r="D1780" i="4"/>
  <c r="C1780" i="4"/>
  <c r="B1780" i="4"/>
  <c r="A1780" i="4"/>
  <c r="H1779" i="4"/>
  <c r="G1779" i="4"/>
  <c r="D1779" i="4"/>
  <c r="C1779" i="4"/>
  <c r="B1779" i="4"/>
  <c r="A1779" i="4"/>
  <c r="H1778" i="4"/>
  <c r="G1778" i="4"/>
  <c r="D1778" i="4"/>
  <c r="C1778" i="4"/>
  <c r="B1778" i="4"/>
  <c r="A1778" i="4"/>
  <c r="H1777" i="4"/>
  <c r="G1777" i="4"/>
  <c r="D1777" i="4"/>
  <c r="C1777" i="4"/>
  <c r="B1777" i="4"/>
  <c r="A1777" i="4"/>
  <c r="H1776" i="4"/>
  <c r="G1776" i="4"/>
  <c r="D1776" i="4"/>
  <c r="C1776" i="4"/>
  <c r="B1776" i="4"/>
  <c r="A1776" i="4"/>
  <c r="H1775" i="4"/>
  <c r="G1775" i="4"/>
  <c r="D1775" i="4"/>
  <c r="C1775" i="4"/>
  <c r="B1775" i="4"/>
  <c r="A1775" i="4"/>
  <c r="H1774" i="4"/>
  <c r="G1774" i="4"/>
  <c r="D1774" i="4"/>
  <c r="C1774" i="4"/>
  <c r="B1774" i="4"/>
  <c r="A1774" i="4"/>
  <c r="H1773" i="4"/>
  <c r="G1773" i="4"/>
  <c r="D1773" i="4"/>
  <c r="C1773" i="4"/>
  <c r="B1773" i="4"/>
  <c r="A1773" i="4"/>
  <c r="H1772" i="4"/>
  <c r="G1772" i="4"/>
  <c r="D1772" i="4"/>
  <c r="C1772" i="4"/>
  <c r="B1772" i="4"/>
  <c r="A1772" i="4"/>
  <c r="H1771" i="4"/>
  <c r="G1771" i="4"/>
  <c r="D1771" i="4"/>
  <c r="C1771" i="4"/>
  <c r="B1771" i="4"/>
  <c r="A1771" i="4"/>
  <c r="H1770" i="4"/>
  <c r="G1770" i="4"/>
  <c r="D1770" i="4"/>
  <c r="C1770" i="4"/>
  <c r="B1770" i="4"/>
  <c r="A1770" i="4"/>
  <c r="H1769" i="4"/>
  <c r="G1769" i="4"/>
  <c r="D1769" i="4"/>
  <c r="C1769" i="4"/>
  <c r="B1769" i="4"/>
  <c r="A1769" i="4"/>
  <c r="H1768" i="4"/>
  <c r="G1768" i="4"/>
  <c r="D1768" i="4"/>
  <c r="C1768" i="4"/>
  <c r="B1768" i="4"/>
  <c r="A1768" i="4"/>
  <c r="H1767" i="4"/>
  <c r="G1767" i="4"/>
  <c r="D1767" i="4"/>
  <c r="C1767" i="4"/>
  <c r="B1767" i="4"/>
  <c r="A1767" i="4"/>
  <c r="H1766" i="4"/>
  <c r="G1766" i="4"/>
  <c r="D1766" i="4"/>
  <c r="C1766" i="4"/>
  <c r="B1766" i="4"/>
  <c r="A1766" i="4"/>
  <c r="H1765" i="4"/>
  <c r="G1765" i="4"/>
  <c r="D1765" i="4"/>
  <c r="C1765" i="4"/>
  <c r="B1765" i="4"/>
  <c r="A1765" i="4"/>
  <c r="H1764" i="4"/>
  <c r="G1764" i="4"/>
  <c r="D1764" i="4"/>
  <c r="C1764" i="4"/>
  <c r="B1764" i="4"/>
  <c r="A1764" i="4"/>
  <c r="H1763" i="4"/>
  <c r="G1763" i="4"/>
  <c r="D1763" i="4"/>
  <c r="C1763" i="4"/>
  <c r="B1763" i="4"/>
  <c r="A1763" i="4"/>
  <c r="H1762" i="4"/>
  <c r="G1762" i="4"/>
  <c r="D1762" i="4"/>
  <c r="C1762" i="4"/>
  <c r="B1762" i="4"/>
  <c r="A1762" i="4"/>
  <c r="H1761" i="4"/>
  <c r="G1761" i="4"/>
  <c r="D1761" i="4"/>
  <c r="C1761" i="4"/>
  <c r="B1761" i="4"/>
  <c r="A1761" i="4"/>
  <c r="H1760" i="4"/>
  <c r="G1760" i="4"/>
  <c r="D1760" i="4"/>
  <c r="C1760" i="4"/>
  <c r="B1760" i="4"/>
  <c r="A1760" i="4"/>
  <c r="H1759" i="4"/>
  <c r="G1759" i="4"/>
  <c r="D1759" i="4"/>
  <c r="C1759" i="4"/>
  <c r="B1759" i="4"/>
  <c r="A1759" i="4"/>
  <c r="H1758" i="4"/>
  <c r="G1758" i="4"/>
  <c r="D1758" i="4"/>
  <c r="C1758" i="4"/>
  <c r="B1758" i="4"/>
  <c r="A1758" i="4"/>
  <c r="H1757" i="4"/>
  <c r="G1757" i="4"/>
  <c r="D1757" i="4"/>
  <c r="C1757" i="4"/>
  <c r="B1757" i="4"/>
  <c r="A1757" i="4"/>
  <c r="H1756" i="4"/>
  <c r="G1756" i="4"/>
  <c r="D1756" i="4"/>
  <c r="C1756" i="4"/>
  <c r="B1756" i="4"/>
  <c r="A1756" i="4"/>
  <c r="H1755" i="4"/>
  <c r="G1755" i="4"/>
  <c r="D1755" i="4"/>
  <c r="C1755" i="4"/>
  <c r="B1755" i="4"/>
  <c r="A1755" i="4"/>
  <c r="H1754" i="4"/>
  <c r="G1754" i="4"/>
  <c r="D1754" i="4"/>
  <c r="C1754" i="4"/>
  <c r="B1754" i="4"/>
  <c r="A1754" i="4"/>
  <c r="H1753" i="4"/>
  <c r="G1753" i="4"/>
  <c r="D1753" i="4"/>
  <c r="C1753" i="4"/>
  <c r="B1753" i="4"/>
  <c r="A1753" i="4"/>
  <c r="H1752" i="4"/>
  <c r="G1752" i="4"/>
  <c r="D1752" i="4"/>
  <c r="C1752" i="4"/>
  <c r="B1752" i="4"/>
  <c r="A1752" i="4"/>
  <c r="H1751" i="4"/>
  <c r="G1751" i="4"/>
  <c r="D1751" i="4"/>
  <c r="C1751" i="4"/>
  <c r="B1751" i="4"/>
  <c r="A1751" i="4"/>
  <c r="H1750" i="4"/>
  <c r="G1750" i="4"/>
  <c r="D1750" i="4"/>
  <c r="C1750" i="4"/>
  <c r="B1750" i="4"/>
  <c r="A1750" i="4"/>
  <c r="H1749" i="4"/>
  <c r="G1749" i="4"/>
  <c r="D1749" i="4"/>
  <c r="C1749" i="4"/>
  <c r="B1749" i="4"/>
  <c r="A1749" i="4"/>
  <c r="H1748" i="4"/>
  <c r="G1748" i="4"/>
  <c r="D1748" i="4"/>
  <c r="C1748" i="4"/>
  <c r="B1748" i="4"/>
  <c r="A1748" i="4"/>
  <c r="H1747" i="4"/>
  <c r="G1747" i="4"/>
  <c r="D1747" i="4"/>
  <c r="C1747" i="4"/>
  <c r="B1747" i="4"/>
  <c r="A1747" i="4"/>
  <c r="H1746" i="4"/>
  <c r="G1746" i="4"/>
  <c r="D1746" i="4"/>
  <c r="C1746" i="4"/>
  <c r="B1746" i="4"/>
  <c r="A1746" i="4"/>
  <c r="H1745" i="4"/>
  <c r="G1745" i="4"/>
  <c r="D1745" i="4"/>
  <c r="C1745" i="4"/>
  <c r="B1745" i="4"/>
  <c r="A1745" i="4"/>
  <c r="H1744" i="4"/>
  <c r="G1744" i="4"/>
  <c r="D1744" i="4"/>
  <c r="C1744" i="4"/>
  <c r="B1744" i="4"/>
  <c r="A1744" i="4"/>
  <c r="H1743" i="4"/>
  <c r="G1743" i="4"/>
  <c r="D1743" i="4"/>
  <c r="C1743" i="4"/>
  <c r="B1743" i="4"/>
  <c r="A1743" i="4"/>
  <c r="H1742" i="4"/>
  <c r="G1742" i="4"/>
  <c r="D1742" i="4"/>
  <c r="C1742" i="4"/>
  <c r="B1742" i="4"/>
  <c r="A1742" i="4"/>
  <c r="H1741" i="4"/>
  <c r="G1741" i="4"/>
  <c r="D1741" i="4"/>
  <c r="C1741" i="4"/>
  <c r="B1741" i="4"/>
  <c r="A1741" i="4"/>
  <c r="H1740" i="4"/>
  <c r="G1740" i="4"/>
  <c r="D1740" i="4"/>
  <c r="C1740" i="4"/>
  <c r="B1740" i="4"/>
  <c r="A1740" i="4"/>
  <c r="H1739" i="4"/>
  <c r="G1739" i="4"/>
  <c r="D1739" i="4"/>
  <c r="C1739" i="4"/>
  <c r="B1739" i="4"/>
  <c r="A1739" i="4"/>
  <c r="H1738" i="4"/>
  <c r="G1738" i="4"/>
  <c r="D1738" i="4"/>
  <c r="C1738" i="4"/>
  <c r="B1738" i="4"/>
  <c r="A1738" i="4"/>
  <c r="H1737" i="4"/>
  <c r="G1737" i="4"/>
  <c r="D1737" i="4"/>
  <c r="C1737" i="4"/>
  <c r="B1737" i="4"/>
  <c r="A1737" i="4"/>
  <c r="H1736" i="4"/>
  <c r="G1736" i="4"/>
  <c r="D1736" i="4"/>
  <c r="C1736" i="4"/>
  <c r="B1736" i="4"/>
  <c r="A1736" i="4"/>
  <c r="H1735" i="4"/>
  <c r="G1735" i="4"/>
  <c r="D1735" i="4"/>
  <c r="C1735" i="4"/>
  <c r="B1735" i="4"/>
  <c r="A1735" i="4"/>
  <c r="H1734" i="4"/>
  <c r="G1734" i="4"/>
  <c r="D1734" i="4"/>
  <c r="C1734" i="4"/>
  <c r="B1734" i="4"/>
  <c r="A1734" i="4"/>
  <c r="H1733" i="4"/>
  <c r="G1733" i="4"/>
  <c r="D1733" i="4"/>
  <c r="C1733" i="4"/>
  <c r="B1733" i="4"/>
  <c r="A1733" i="4"/>
  <c r="H1732" i="4"/>
  <c r="G1732" i="4"/>
  <c r="D1732" i="4"/>
  <c r="C1732" i="4"/>
  <c r="B1732" i="4"/>
  <c r="A1732" i="4"/>
  <c r="H1731" i="4"/>
  <c r="G1731" i="4"/>
  <c r="D1731" i="4"/>
  <c r="C1731" i="4"/>
  <c r="B1731" i="4"/>
  <c r="A1731" i="4"/>
  <c r="H1730" i="4"/>
  <c r="G1730" i="4"/>
  <c r="D1730" i="4"/>
  <c r="C1730" i="4"/>
  <c r="B1730" i="4"/>
  <c r="A1730" i="4"/>
  <c r="H1729" i="4"/>
  <c r="G1729" i="4"/>
  <c r="D1729" i="4"/>
  <c r="C1729" i="4"/>
  <c r="B1729" i="4"/>
  <c r="A1729" i="4"/>
  <c r="H1728" i="4"/>
  <c r="G1728" i="4"/>
  <c r="D1728" i="4"/>
  <c r="C1728" i="4"/>
  <c r="B1728" i="4"/>
  <c r="A1728" i="4"/>
  <c r="H1727" i="4"/>
  <c r="G1727" i="4"/>
  <c r="D1727" i="4"/>
  <c r="C1727" i="4"/>
  <c r="B1727" i="4"/>
  <c r="A1727" i="4"/>
  <c r="H1726" i="4"/>
  <c r="G1726" i="4"/>
  <c r="D1726" i="4"/>
  <c r="C1726" i="4"/>
  <c r="B1726" i="4"/>
  <c r="A1726" i="4"/>
  <c r="H1725" i="4"/>
  <c r="G1725" i="4"/>
  <c r="D1725" i="4"/>
  <c r="C1725" i="4"/>
  <c r="B1725" i="4"/>
  <c r="A1725" i="4"/>
  <c r="H1724" i="4"/>
  <c r="G1724" i="4"/>
  <c r="D1724" i="4"/>
  <c r="C1724" i="4"/>
  <c r="B1724" i="4"/>
  <c r="A1724" i="4"/>
  <c r="H1723" i="4"/>
  <c r="G1723" i="4"/>
  <c r="D1723" i="4"/>
  <c r="C1723" i="4"/>
  <c r="B1723" i="4"/>
  <c r="A1723" i="4"/>
  <c r="H1722" i="4"/>
  <c r="G1722" i="4"/>
  <c r="D1722" i="4"/>
  <c r="C1722" i="4"/>
  <c r="B1722" i="4"/>
  <c r="A1722" i="4"/>
  <c r="H1721" i="4"/>
  <c r="G1721" i="4"/>
  <c r="D1721" i="4"/>
  <c r="C1721" i="4"/>
  <c r="B1721" i="4"/>
  <c r="A1721" i="4"/>
  <c r="H1720" i="4"/>
  <c r="G1720" i="4"/>
  <c r="D1720" i="4"/>
  <c r="C1720" i="4"/>
  <c r="B1720" i="4"/>
  <c r="A1720" i="4"/>
  <c r="H1719" i="4"/>
  <c r="G1719" i="4"/>
  <c r="D1719" i="4"/>
  <c r="C1719" i="4"/>
  <c r="B1719" i="4"/>
  <c r="A1719" i="4"/>
  <c r="H1718" i="4"/>
  <c r="G1718" i="4"/>
  <c r="D1718" i="4"/>
  <c r="C1718" i="4"/>
  <c r="B1718" i="4"/>
  <c r="A1718" i="4"/>
  <c r="H1717" i="4"/>
  <c r="G1717" i="4"/>
  <c r="D1717" i="4"/>
  <c r="C1717" i="4"/>
  <c r="B1717" i="4"/>
  <c r="A1717" i="4"/>
  <c r="H1716" i="4"/>
  <c r="G1716" i="4"/>
  <c r="D1716" i="4"/>
  <c r="C1716" i="4"/>
  <c r="B1716" i="4"/>
  <c r="A1716" i="4"/>
  <c r="H1715" i="4"/>
  <c r="G1715" i="4"/>
  <c r="D1715" i="4"/>
  <c r="C1715" i="4"/>
  <c r="B1715" i="4"/>
  <c r="A1715" i="4"/>
  <c r="H1714" i="4"/>
  <c r="G1714" i="4"/>
  <c r="D1714" i="4"/>
  <c r="C1714" i="4"/>
  <c r="B1714" i="4"/>
  <c r="A1714" i="4"/>
  <c r="H1713" i="4"/>
  <c r="G1713" i="4"/>
  <c r="D1713" i="4"/>
  <c r="C1713" i="4"/>
  <c r="B1713" i="4"/>
  <c r="A1713" i="4"/>
  <c r="H1712" i="4"/>
  <c r="G1712" i="4"/>
  <c r="D1712" i="4"/>
  <c r="C1712" i="4"/>
  <c r="B1712" i="4"/>
  <c r="A1712" i="4"/>
  <c r="H1711" i="4"/>
  <c r="G1711" i="4"/>
  <c r="D1711" i="4"/>
  <c r="C1711" i="4"/>
  <c r="B1711" i="4"/>
  <c r="A1711" i="4"/>
  <c r="H1710" i="4"/>
  <c r="G1710" i="4"/>
  <c r="D1710" i="4"/>
  <c r="C1710" i="4"/>
  <c r="B1710" i="4"/>
  <c r="A1710" i="4"/>
  <c r="H1709" i="4"/>
  <c r="G1709" i="4"/>
  <c r="D1709" i="4"/>
  <c r="C1709" i="4"/>
  <c r="B1709" i="4"/>
  <c r="A1709" i="4"/>
  <c r="H1708" i="4"/>
  <c r="G1708" i="4"/>
  <c r="D1708" i="4"/>
  <c r="C1708" i="4"/>
  <c r="B1708" i="4"/>
  <c r="A1708" i="4"/>
  <c r="H1707" i="4"/>
  <c r="G1707" i="4"/>
  <c r="D1707" i="4"/>
  <c r="C1707" i="4"/>
  <c r="B1707" i="4"/>
  <c r="A1707" i="4"/>
  <c r="H1706" i="4"/>
  <c r="G1706" i="4"/>
  <c r="D1706" i="4"/>
  <c r="C1706" i="4"/>
  <c r="B1706" i="4"/>
  <c r="A1706" i="4"/>
  <c r="H1705" i="4"/>
  <c r="G1705" i="4"/>
  <c r="D1705" i="4"/>
  <c r="C1705" i="4"/>
  <c r="B1705" i="4"/>
  <c r="A1705" i="4"/>
  <c r="H1704" i="4"/>
  <c r="G1704" i="4"/>
  <c r="D1704" i="4"/>
  <c r="C1704" i="4"/>
  <c r="B1704" i="4"/>
  <c r="A1704" i="4"/>
  <c r="H1703" i="4"/>
  <c r="G1703" i="4"/>
  <c r="D1703" i="4"/>
  <c r="C1703" i="4"/>
  <c r="B1703" i="4"/>
  <c r="A1703" i="4"/>
  <c r="H1702" i="4"/>
  <c r="G1702" i="4"/>
  <c r="D1702" i="4"/>
  <c r="C1702" i="4"/>
  <c r="B1702" i="4"/>
  <c r="A1702" i="4"/>
  <c r="H1701" i="4"/>
  <c r="G1701" i="4"/>
  <c r="D1701" i="4"/>
  <c r="C1701" i="4"/>
  <c r="B1701" i="4"/>
  <c r="A1701" i="4"/>
  <c r="H1700" i="4"/>
  <c r="G1700" i="4"/>
  <c r="D1700" i="4"/>
  <c r="C1700" i="4"/>
  <c r="B1700" i="4"/>
  <c r="A1700" i="4"/>
  <c r="H1699" i="4"/>
  <c r="G1699" i="4"/>
  <c r="D1699" i="4"/>
  <c r="C1699" i="4"/>
  <c r="B1699" i="4"/>
  <c r="A1699" i="4"/>
  <c r="H1698" i="4"/>
  <c r="G1698" i="4"/>
  <c r="D1698" i="4"/>
  <c r="C1698" i="4"/>
  <c r="B1698" i="4"/>
  <c r="A1698" i="4"/>
  <c r="H1697" i="4"/>
  <c r="G1697" i="4"/>
  <c r="D1697" i="4"/>
  <c r="C1697" i="4"/>
  <c r="B1697" i="4"/>
  <c r="A1697" i="4"/>
  <c r="H1696" i="4"/>
  <c r="G1696" i="4"/>
  <c r="D1696" i="4"/>
  <c r="C1696" i="4"/>
  <c r="B1696" i="4"/>
  <c r="A1696" i="4"/>
  <c r="H1695" i="4"/>
  <c r="G1695" i="4"/>
  <c r="D1695" i="4"/>
  <c r="C1695" i="4"/>
  <c r="B1695" i="4"/>
  <c r="A1695" i="4"/>
  <c r="H1694" i="4"/>
  <c r="G1694" i="4"/>
  <c r="D1694" i="4"/>
  <c r="C1694" i="4"/>
  <c r="B1694" i="4"/>
  <c r="A1694" i="4"/>
  <c r="H1693" i="4"/>
  <c r="G1693" i="4"/>
  <c r="D1693" i="4"/>
  <c r="C1693" i="4"/>
  <c r="B1693" i="4"/>
  <c r="A1693" i="4"/>
  <c r="H1692" i="4"/>
  <c r="G1692" i="4"/>
  <c r="D1692" i="4"/>
  <c r="C1692" i="4"/>
  <c r="B1692" i="4"/>
  <c r="A1692" i="4"/>
  <c r="H1691" i="4"/>
  <c r="G1691" i="4"/>
  <c r="D1691" i="4"/>
  <c r="C1691" i="4"/>
  <c r="B1691" i="4"/>
  <c r="A1691" i="4"/>
  <c r="H1690" i="4"/>
  <c r="G1690" i="4"/>
  <c r="D1690" i="4"/>
  <c r="C1690" i="4"/>
  <c r="B1690" i="4"/>
  <c r="A1690" i="4"/>
  <c r="H1689" i="4"/>
  <c r="G1689" i="4"/>
  <c r="D1689" i="4"/>
  <c r="C1689" i="4"/>
  <c r="B1689" i="4"/>
  <c r="A1689" i="4"/>
  <c r="H1688" i="4"/>
  <c r="G1688" i="4"/>
  <c r="D1688" i="4"/>
  <c r="C1688" i="4"/>
  <c r="B1688" i="4"/>
  <c r="A1688" i="4"/>
  <c r="H1687" i="4"/>
  <c r="G1687" i="4"/>
  <c r="D1687" i="4"/>
  <c r="C1687" i="4"/>
  <c r="B1687" i="4"/>
  <c r="A1687" i="4"/>
  <c r="H1479" i="4"/>
  <c r="G1479" i="4"/>
  <c r="D1479" i="4"/>
  <c r="C1479" i="4"/>
  <c r="B1479" i="4"/>
  <c r="A1479" i="4"/>
  <c r="H1686" i="4"/>
  <c r="G1686" i="4"/>
  <c r="D1686" i="4"/>
  <c r="C1686" i="4"/>
  <c r="B1686" i="4"/>
  <c r="A1686" i="4"/>
  <c r="H1685" i="4"/>
  <c r="G1685" i="4"/>
  <c r="D1685" i="4"/>
  <c r="C1685" i="4"/>
  <c r="B1685" i="4"/>
  <c r="A1685" i="4"/>
  <c r="H1684" i="4"/>
  <c r="G1684" i="4"/>
  <c r="D1684" i="4"/>
  <c r="C1684" i="4"/>
  <c r="B1684" i="4"/>
  <c r="A1684" i="4"/>
  <c r="H1683" i="4"/>
  <c r="G1683" i="4"/>
  <c r="D1683" i="4"/>
  <c r="C1683" i="4"/>
  <c r="B1683" i="4"/>
  <c r="A1683" i="4"/>
  <c r="H1682" i="4"/>
  <c r="G1682" i="4"/>
  <c r="D1682" i="4"/>
  <c r="C1682" i="4"/>
  <c r="B1682" i="4"/>
  <c r="A1682" i="4"/>
  <c r="H1681" i="4"/>
  <c r="G1681" i="4"/>
  <c r="D1681" i="4"/>
  <c r="C1681" i="4"/>
  <c r="B1681" i="4"/>
  <c r="A1681" i="4"/>
  <c r="H1680" i="4"/>
  <c r="G1680" i="4"/>
  <c r="D1680" i="4"/>
  <c r="C1680" i="4"/>
  <c r="B1680" i="4"/>
  <c r="A1680" i="4"/>
  <c r="H1679" i="4"/>
  <c r="G1679" i="4"/>
  <c r="D1679" i="4"/>
  <c r="C1679" i="4"/>
  <c r="B1679" i="4"/>
  <c r="A1679" i="4"/>
  <c r="H1678" i="4"/>
  <c r="G1678" i="4"/>
  <c r="D1678" i="4"/>
  <c r="C1678" i="4"/>
  <c r="B1678" i="4"/>
  <c r="A1678" i="4"/>
  <c r="H1677" i="4"/>
  <c r="G1677" i="4"/>
  <c r="D1677" i="4"/>
  <c r="C1677" i="4"/>
  <c r="B1677" i="4"/>
  <c r="A1677" i="4"/>
  <c r="H1676" i="4"/>
  <c r="G1676" i="4"/>
  <c r="D1676" i="4"/>
  <c r="C1676" i="4"/>
  <c r="B1676" i="4"/>
  <c r="A1676" i="4"/>
  <c r="H1675" i="4"/>
  <c r="G1675" i="4"/>
  <c r="D1675" i="4"/>
  <c r="C1675" i="4"/>
  <c r="B1675" i="4"/>
  <c r="A1675" i="4"/>
  <c r="H1674" i="4"/>
  <c r="G1674" i="4"/>
  <c r="D1674" i="4"/>
  <c r="C1674" i="4"/>
  <c r="B1674" i="4"/>
  <c r="A1674" i="4"/>
  <c r="H1673" i="4"/>
  <c r="G1673" i="4"/>
  <c r="D1673" i="4"/>
  <c r="C1673" i="4"/>
  <c r="B1673" i="4"/>
  <c r="A1673" i="4"/>
  <c r="H1672" i="4"/>
  <c r="G1672" i="4"/>
  <c r="D1672" i="4"/>
  <c r="C1672" i="4"/>
  <c r="B1672" i="4"/>
  <c r="A1672" i="4"/>
  <c r="H1671" i="4"/>
  <c r="G1671" i="4"/>
  <c r="D1671" i="4"/>
  <c r="C1671" i="4"/>
  <c r="B1671" i="4"/>
  <c r="A1671" i="4"/>
  <c r="H1670" i="4"/>
  <c r="G1670" i="4"/>
  <c r="D1670" i="4"/>
  <c r="C1670" i="4"/>
  <c r="B1670" i="4"/>
  <c r="A1670" i="4"/>
  <c r="H1669" i="4"/>
  <c r="G1669" i="4"/>
  <c r="D1669" i="4"/>
  <c r="C1669" i="4"/>
  <c r="B1669" i="4"/>
  <c r="A1669" i="4"/>
  <c r="H1668" i="4"/>
  <c r="G1668" i="4"/>
  <c r="D1668" i="4"/>
  <c r="C1668" i="4"/>
  <c r="B1668" i="4"/>
  <c r="A1668" i="4"/>
  <c r="H1667" i="4"/>
  <c r="G1667" i="4"/>
  <c r="D1667" i="4"/>
  <c r="C1667" i="4"/>
  <c r="B1667" i="4"/>
  <c r="A1667" i="4"/>
  <c r="H651" i="4"/>
  <c r="G651" i="4"/>
  <c r="D651" i="4"/>
  <c r="C651" i="4"/>
  <c r="B651" i="4"/>
  <c r="A651" i="4"/>
  <c r="H650" i="4"/>
  <c r="G650" i="4"/>
  <c r="D650" i="4"/>
  <c r="C650" i="4"/>
  <c r="B650" i="4"/>
  <c r="A650" i="4"/>
  <c r="H649" i="4"/>
  <c r="G649" i="4"/>
  <c r="D649" i="4"/>
  <c r="C649" i="4"/>
  <c r="B649" i="4"/>
  <c r="A649" i="4"/>
  <c r="H648" i="4"/>
  <c r="G648" i="4"/>
  <c r="D648" i="4"/>
  <c r="C648" i="4"/>
  <c r="B648" i="4"/>
  <c r="A648" i="4"/>
  <c r="H647" i="4"/>
  <c r="G647" i="4"/>
  <c r="D647" i="4"/>
  <c r="C647" i="4"/>
  <c r="B647" i="4"/>
  <c r="A647" i="4"/>
  <c r="H646" i="4"/>
  <c r="G646" i="4"/>
  <c r="D646" i="4"/>
  <c r="C646" i="4"/>
  <c r="B646" i="4"/>
  <c r="A646" i="4"/>
  <c r="H645" i="4"/>
  <c r="G645" i="4"/>
  <c r="D645" i="4"/>
  <c r="C645" i="4"/>
  <c r="B645" i="4"/>
  <c r="A645" i="4"/>
  <c r="H644" i="4"/>
  <c r="G644" i="4"/>
  <c r="D644" i="4"/>
  <c r="C644" i="4"/>
  <c r="B644" i="4"/>
  <c r="A644" i="4"/>
  <c r="H643" i="4"/>
  <c r="G643" i="4"/>
  <c r="D643" i="4"/>
  <c r="C643" i="4"/>
  <c r="B643" i="4"/>
  <c r="A643" i="4"/>
  <c r="H642" i="4"/>
  <c r="G642" i="4"/>
  <c r="D642" i="4"/>
  <c r="C642" i="4"/>
  <c r="B642" i="4"/>
  <c r="A642" i="4"/>
  <c r="H641" i="4"/>
  <c r="G641" i="4"/>
  <c r="D641" i="4"/>
  <c r="C641" i="4"/>
  <c r="B641" i="4"/>
  <c r="A641" i="4"/>
  <c r="H640" i="4"/>
  <c r="G640" i="4"/>
  <c r="D640" i="4"/>
  <c r="C640" i="4"/>
  <c r="B640" i="4"/>
  <c r="A640" i="4"/>
  <c r="H639" i="4"/>
  <c r="G639" i="4"/>
  <c r="D639" i="4"/>
  <c r="C639" i="4"/>
  <c r="B639" i="4"/>
  <c r="A639" i="4"/>
  <c r="H638" i="4"/>
  <c r="G638" i="4"/>
  <c r="D638" i="4"/>
  <c r="C638" i="4"/>
  <c r="B638" i="4"/>
  <c r="A638" i="4"/>
  <c r="H637" i="4"/>
  <c r="G637" i="4"/>
  <c r="D637" i="4"/>
  <c r="C637" i="4"/>
  <c r="B637" i="4"/>
  <c r="A637" i="4"/>
  <c r="H636" i="4"/>
  <c r="G636" i="4"/>
  <c r="D636" i="4"/>
  <c r="C636" i="4"/>
  <c r="B636" i="4"/>
  <c r="A636" i="4"/>
  <c r="H635" i="4"/>
  <c r="G635" i="4"/>
  <c r="D635" i="4"/>
  <c r="C635" i="4"/>
  <c r="B635" i="4"/>
  <c r="A635" i="4"/>
  <c r="H634" i="4"/>
  <c r="G634" i="4"/>
  <c r="D634" i="4"/>
  <c r="C634" i="4"/>
  <c r="B634" i="4"/>
  <c r="A634" i="4"/>
  <c r="H633" i="4"/>
  <c r="G633" i="4"/>
  <c r="D633" i="4"/>
  <c r="C633" i="4"/>
  <c r="B633" i="4"/>
  <c r="A633" i="4"/>
  <c r="H632" i="4"/>
  <c r="G632" i="4"/>
  <c r="D632" i="4"/>
  <c r="C632" i="4"/>
  <c r="B632" i="4"/>
  <c r="A632" i="4"/>
  <c r="H631" i="4"/>
  <c r="G631" i="4"/>
  <c r="D631" i="4"/>
  <c r="C631" i="4"/>
  <c r="B631" i="4"/>
  <c r="A631" i="4"/>
  <c r="H630" i="4"/>
  <c r="G630" i="4"/>
  <c r="D630" i="4"/>
  <c r="C630" i="4"/>
  <c r="B630" i="4"/>
  <c r="A630" i="4"/>
  <c r="H629" i="4"/>
  <c r="G629" i="4"/>
  <c r="D629" i="4"/>
  <c r="C629" i="4"/>
  <c r="B629" i="4"/>
  <c r="A629" i="4"/>
  <c r="H628" i="4"/>
  <c r="G628" i="4"/>
  <c r="D628" i="4"/>
  <c r="C628" i="4"/>
  <c r="B628" i="4"/>
  <c r="A628" i="4"/>
  <c r="H627" i="4"/>
  <c r="G627" i="4"/>
  <c r="D627" i="4"/>
  <c r="C627" i="4"/>
  <c r="B627" i="4"/>
  <c r="A627" i="4"/>
  <c r="H626" i="4"/>
  <c r="G626" i="4"/>
  <c r="D626" i="4"/>
  <c r="C626" i="4"/>
  <c r="B626" i="4"/>
  <c r="A626" i="4"/>
  <c r="H625" i="4"/>
  <c r="G625" i="4"/>
  <c r="D625" i="4"/>
  <c r="C625" i="4"/>
  <c r="B625" i="4"/>
  <c r="A625" i="4"/>
  <c r="H624" i="4"/>
  <c r="G624" i="4"/>
  <c r="D624" i="4"/>
  <c r="C624" i="4"/>
  <c r="B624" i="4"/>
  <c r="A624" i="4"/>
  <c r="H623" i="4"/>
  <c r="G623" i="4"/>
  <c r="D623" i="4"/>
  <c r="C623" i="4"/>
  <c r="B623" i="4"/>
  <c r="A623" i="4"/>
  <c r="H622" i="4"/>
  <c r="G622" i="4"/>
  <c r="D622" i="4"/>
  <c r="C622" i="4"/>
  <c r="B622" i="4"/>
  <c r="A622" i="4"/>
  <c r="H621" i="4"/>
  <c r="G621" i="4"/>
  <c r="D621" i="4"/>
  <c r="C621" i="4"/>
  <c r="B621" i="4"/>
  <c r="A621" i="4"/>
  <c r="H620" i="4"/>
  <c r="G620" i="4"/>
  <c r="D620" i="4"/>
  <c r="C620" i="4"/>
  <c r="B620" i="4"/>
  <c r="A620" i="4"/>
  <c r="H619" i="4"/>
  <c r="G619" i="4"/>
  <c r="D619" i="4"/>
  <c r="C619" i="4"/>
  <c r="B619" i="4"/>
  <c r="A619" i="4"/>
  <c r="H618" i="4"/>
  <c r="G618" i="4"/>
  <c r="D618" i="4"/>
  <c r="C618" i="4"/>
  <c r="B618" i="4"/>
  <c r="A618" i="4"/>
  <c r="H617" i="4"/>
  <c r="G617" i="4"/>
  <c r="D617" i="4"/>
  <c r="C617" i="4"/>
  <c r="B617" i="4"/>
  <c r="A617" i="4"/>
  <c r="H616" i="4"/>
  <c r="G616" i="4"/>
  <c r="D616" i="4"/>
  <c r="C616" i="4"/>
  <c r="B616" i="4"/>
  <c r="A616" i="4"/>
  <c r="H615" i="4"/>
  <c r="G615" i="4"/>
  <c r="D615" i="4"/>
  <c r="C615" i="4"/>
  <c r="B615" i="4"/>
  <c r="A615" i="4"/>
  <c r="H614" i="4"/>
  <c r="G614" i="4"/>
  <c r="D614" i="4"/>
  <c r="C614" i="4"/>
  <c r="B614" i="4"/>
  <c r="A614" i="4"/>
  <c r="H613" i="4"/>
  <c r="G613" i="4"/>
  <c r="D613" i="4"/>
  <c r="C613" i="4"/>
  <c r="B613" i="4"/>
  <c r="A613" i="4"/>
  <c r="H612" i="4"/>
  <c r="G612" i="4"/>
  <c r="D612" i="4"/>
  <c r="C612" i="4"/>
  <c r="B612" i="4"/>
  <c r="A612" i="4"/>
  <c r="H611" i="4"/>
  <c r="G611" i="4"/>
  <c r="D611" i="4"/>
  <c r="C611" i="4"/>
  <c r="B611" i="4"/>
  <c r="A611" i="4"/>
  <c r="H610" i="4"/>
  <c r="G610" i="4"/>
  <c r="D610" i="4"/>
  <c r="C610" i="4"/>
  <c r="B610" i="4"/>
  <c r="A610" i="4"/>
  <c r="H609" i="4"/>
  <c r="G609" i="4"/>
  <c r="D609" i="4"/>
  <c r="C609" i="4"/>
  <c r="B609" i="4"/>
  <c r="A609" i="4"/>
  <c r="H608" i="4"/>
  <c r="G608" i="4"/>
  <c r="D608" i="4"/>
  <c r="C608" i="4"/>
  <c r="B608" i="4"/>
  <c r="A608" i="4"/>
  <c r="H607" i="4"/>
  <c r="G607" i="4"/>
  <c r="D607" i="4"/>
  <c r="C607" i="4"/>
  <c r="B607" i="4"/>
  <c r="A607" i="4"/>
  <c r="H606" i="4"/>
  <c r="G606" i="4"/>
  <c r="D606" i="4"/>
  <c r="C606" i="4"/>
  <c r="B606" i="4"/>
  <c r="A606" i="4"/>
  <c r="H605" i="4"/>
  <c r="G605" i="4"/>
  <c r="D605" i="4"/>
  <c r="C605" i="4"/>
  <c r="B605" i="4"/>
  <c r="A605" i="4"/>
  <c r="H604" i="4"/>
  <c r="G604" i="4"/>
  <c r="D604" i="4"/>
  <c r="C604" i="4"/>
  <c r="B604" i="4"/>
  <c r="A604" i="4"/>
  <c r="H603" i="4"/>
  <c r="G603" i="4"/>
  <c r="D603" i="4"/>
  <c r="C603" i="4"/>
  <c r="B603" i="4"/>
  <c r="A603" i="4"/>
  <c r="H602" i="4"/>
  <c r="G602" i="4"/>
  <c r="D602" i="4"/>
  <c r="C602" i="4"/>
  <c r="B602" i="4"/>
  <c r="A602" i="4"/>
  <c r="H601" i="4"/>
  <c r="G601" i="4"/>
  <c r="D601" i="4"/>
  <c r="C601" i="4"/>
  <c r="B601" i="4"/>
  <c r="A601" i="4"/>
  <c r="H600" i="4"/>
  <c r="G600" i="4"/>
  <c r="D600" i="4"/>
  <c r="C600" i="4"/>
  <c r="B600" i="4"/>
  <c r="A600" i="4"/>
  <c r="H599" i="4"/>
  <c r="G599" i="4"/>
  <c r="D599" i="4"/>
  <c r="C599" i="4"/>
  <c r="B599" i="4"/>
  <c r="A599" i="4"/>
  <c r="H598" i="4"/>
  <c r="G598" i="4"/>
  <c r="D598" i="4"/>
  <c r="C598" i="4"/>
  <c r="B598" i="4"/>
  <c r="A598" i="4"/>
  <c r="H597" i="4"/>
  <c r="G597" i="4"/>
  <c r="D597" i="4"/>
  <c r="C597" i="4"/>
  <c r="B597" i="4"/>
  <c r="A597" i="4"/>
  <c r="H596" i="4"/>
  <c r="G596" i="4"/>
  <c r="D596" i="4"/>
  <c r="C596" i="4"/>
  <c r="B596" i="4"/>
  <c r="A596" i="4"/>
  <c r="H595" i="4"/>
  <c r="G595" i="4"/>
  <c r="D595" i="4"/>
  <c r="C595" i="4"/>
  <c r="B595" i="4"/>
  <c r="A595" i="4"/>
  <c r="H594" i="4"/>
  <c r="G594" i="4"/>
  <c r="D594" i="4"/>
  <c r="C594" i="4"/>
  <c r="B594" i="4"/>
  <c r="A594" i="4"/>
  <c r="H593" i="4"/>
  <c r="G593" i="4"/>
  <c r="D593" i="4"/>
  <c r="C593" i="4"/>
  <c r="B593" i="4"/>
  <c r="A593" i="4"/>
  <c r="H592" i="4"/>
  <c r="G592" i="4"/>
  <c r="D592" i="4"/>
  <c r="C592" i="4"/>
  <c r="B592" i="4"/>
  <c r="A592" i="4"/>
  <c r="H591" i="4"/>
  <c r="G591" i="4"/>
  <c r="D591" i="4"/>
  <c r="C591" i="4"/>
  <c r="B591" i="4"/>
  <c r="A591" i="4"/>
  <c r="H590" i="4"/>
  <c r="G590" i="4"/>
  <c r="D590" i="4"/>
  <c r="C590" i="4"/>
  <c r="B590" i="4"/>
  <c r="A590" i="4"/>
  <c r="H589" i="4"/>
  <c r="G589" i="4"/>
  <c r="D589" i="4"/>
  <c r="C589" i="4"/>
  <c r="B589" i="4"/>
  <c r="A589" i="4"/>
  <c r="H588" i="4"/>
  <c r="G588" i="4"/>
  <c r="D588" i="4"/>
  <c r="C588" i="4"/>
  <c r="B588" i="4"/>
  <c r="A588" i="4"/>
  <c r="H587" i="4"/>
  <c r="G587" i="4"/>
  <c r="D587" i="4"/>
  <c r="C587" i="4"/>
  <c r="B587" i="4"/>
  <c r="A587" i="4"/>
  <c r="H586" i="4"/>
  <c r="G586" i="4"/>
  <c r="D586" i="4"/>
  <c r="C586" i="4"/>
  <c r="B586" i="4"/>
  <c r="A586" i="4"/>
  <c r="H585" i="4"/>
  <c r="G585" i="4"/>
  <c r="D585" i="4"/>
  <c r="C585" i="4"/>
  <c r="B585" i="4"/>
  <c r="A585" i="4"/>
  <c r="H584" i="4"/>
  <c r="G584" i="4"/>
  <c r="D584" i="4"/>
  <c r="C584" i="4"/>
  <c r="B584" i="4"/>
  <c r="A584" i="4"/>
  <c r="H583" i="4"/>
  <c r="G583" i="4"/>
  <c r="D583" i="4"/>
  <c r="C583" i="4"/>
  <c r="B583" i="4"/>
  <c r="A583" i="4"/>
  <c r="H582" i="4"/>
  <c r="G582" i="4"/>
  <c r="D582" i="4"/>
  <c r="C582" i="4"/>
  <c r="B582" i="4"/>
  <c r="A582" i="4"/>
  <c r="H581" i="4"/>
  <c r="G581" i="4"/>
  <c r="D581" i="4"/>
  <c r="C581" i="4"/>
  <c r="B581" i="4"/>
  <c r="A581" i="4"/>
  <c r="H580" i="4"/>
  <c r="G580" i="4"/>
  <c r="D580" i="4"/>
  <c r="C580" i="4"/>
  <c r="B580" i="4"/>
  <c r="A580" i="4"/>
  <c r="H579" i="4"/>
  <c r="G579" i="4"/>
  <c r="D579" i="4"/>
  <c r="C579" i="4"/>
  <c r="B579" i="4"/>
  <c r="A579" i="4"/>
  <c r="H578" i="4"/>
  <c r="G578" i="4"/>
  <c r="D578" i="4"/>
  <c r="C578" i="4"/>
  <c r="B578" i="4"/>
  <c r="A578" i="4"/>
  <c r="H577" i="4"/>
  <c r="G577" i="4"/>
  <c r="D577" i="4"/>
  <c r="C577" i="4"/>
  <c r="B577" i="4"/>
  <c r="A577" i="4"/>
  <c r="H576" i="4"/>
  <c r="G576" i="4"/>
  <c r="D576" i="4"/>
  <c r="C576" i="4"/>
  <c r="B576" i="4"/>
  <c r="A576" i="4"/>
  <c r="H575" i="4"/>
  <c r="G575" i="4"/>
  <c r="D575" i="4"/>
  <c r="C575" i="4"/>
  <c r="B575" i="4"/>
  <c r="A575" i="4"/>
  <c r="H574" i="4"/>
  <c r="G574" i="4"/>
  <c r="D574" i="4"/>
  <c r="C574" i="4"/>
  <c r="B574" i="4"/>
  <c r="A574" i="4"/>
  <c r="H573" i="4"/>
  <c r="G573" i="4"/>
  <c r="D573" i="4"/>
  <c r="C573" i="4"/>
  <c r="B573" i="4"/>
  <c r="A573" i="4"/>
  <c r="H572" i="4"/>
  <c r="G572" i="4"/>
  <c r="D572" i="4"/>
  <c r="C572" i="4"/>
  <c r="B572" i="4"/>
  <c r="A572" i="4"/>
  <c r="H571" i="4"/>
  <c r="G571" i="4"/>
  <c r="D571" i="4"/>
  <c r="C571" i="4"/>
  <c r="B571" i="4"/>
  <c r="A571" i="4"/>
  <c r="H570" i="4"/>
  <c r="G570" i="4"/>
  <c r="D570" i="4"/>
  <c r="C570" i="4"/>
  <c r="B570" i="4"/>
  <c r="A570" i="4"/>
  <c r="H569" i="4"/>
  <c r="G569" i="4"/>
  <c r="D569" i="4"/>
  <c r="C569" i="4"/>
  <c r="B569" i="4"/>
  <c r="A569" i="4"/>
  <c r="H568" i="4"/>
  <c r="G568" i="4"/>
  <c r="D568" i="4"/>
  <c r="C568" i="4"/>
  <c r="B568" i="4"/>
  <c r="A568" i="4"/>
  <c r="H567" i="4"/>
  <c r="G567" i="4"/>
  <c r="D567" i="4"/>
  <c r="C567" i="4"/>
  <c r="B567" i="4"/>
  <c r="A567" i="4"/>
  <c r="H566" i="4"/>
  <c r="G566" i="4"/>
  <c r="D566" i="4"/>
  <c r="C566" i="4"/>
  <c r="B566" i="4"/>
  <c r="A566" i="4"/>
  <c r="H565" i="4"/>
  <c r="G565" i="4"/>
  <c r="D565" i="4"/>
  <c r="C565" i="4"/>
  <c r="B565" i="4"/>
  <c r="A565" i="4"/>
  <c r="H564" i="4"/>
  <c r="G564" i="4"/>
  <c r="D564" i="4"/>
  <c r="C564" i="4"/>
  <c r="B564" i="4"/>
  <c r="A564" i="4"/>
  <c r="H563" i="4"/>
  <c r="G563" i="4"/>
  <c r="D563" i="4"/>
  <c r="C563" i="4"/>
  <c r="B563" i="4"/>
  <c r="A563" i="4"/>
  <c r="H562" i="4"/>
  <c r="G562" i="4"/>
  <c r="D562" i="4"/>
  <c r="C562" i="4"/>
  <c r="B562" i="4"/>
  <c r="A562" i="4"/>
  <c r="H561" i="4"/>
  <c r="G561" i="4"/>
  <c r="D561" i="4"/>
  <c r="C561" i="4"/>
  <c r="B561" i="4"/>
  <c r="A561" i="4"/>
  <c r="H560" i="4"/>
  <c r="G560" i="4"/>
  <c r="D560" i="4"/>
  <c r="C560" i="4"/>
  <c r="B560" i="4"/>
  <c r="A560" i="4"/>
  <c r="H559" i="4"/>
  <c r="G559" i="4"/>
  <c r="D559" i="4"/>
  <c r="C559" i="4"/>
  <c r="B559" i="4"/>
  <c r="A559" i="4"/>
  <c r="H558" i="4"/>
  <c r="G558" i="4"/>
  <c r="D558" i="4"/>
  <c r="C558" i="4"/>
  <c r="B558" i="4"/>
  <c r="A558" i="4"/>
  <c r="H557" i="4"/>
  <c r="G557" i="4"/>
  <c r="D557" i="4"/>
  <c r="C557" i="4"/>
  <c r="B557" i="4"/>
  <c r="A557" i="4"/>
  <c r="H556" i="4"/>
  <c r="G556" i="4"/>
  <c r="D556" i="4"/>
  <c r="C556" i="4"/>
  <c r="B556" i="4"/>
  <c r="A556" i="4"/>
  <c r="H555" i="4"/>
  <c r="G555" i="4"/>
  <c r="D555" i="4"/>
  <c r="C555" i="4"/>
  <c r="B555" i="4"/>
  <c r="A555" i="4"/>
  <c r="H554" i="4"/>
  <c r="G554" i="4"/>
  <c r="D554" i="4"/>
  <c r="C554" i="4"/>
  <c r="B554" i="4"/>
  <c r="A554" i="4"/>
  <c r="H553" i="4"/>
  <c r="G553" i="4"/>
  <c r="D553" i="4"/>
  <c r="C553" i="4"/>
  <c r="B553" i="4"/>
  <c r="A553" i="4"/>
  <c r="H552" i="4"/>
  <c r="G552" i="4"/>
  <c r="D552" i="4"/>
  <c r="C552" i="4"/>
  <c r="B552" i="4"/>
  <c r="A552" i="4"/>
  <c r="H551" i="4"/>
  <c r="G551" i="4"/>
  <c r="D551" i="4"/>
  <c r="C551" i="4"/>
  <c r="B551" i="4"/>
  <c r="A551" i="4"/>
  <c r="H550" i="4"/>
  <c r="G550" i="4"/>
  <c r="D550" i="4"/>
  <c r="C550" i="4"/>
  <c r="B550" i="4"/>
  <c r="A550" i="4"/>
  <c r="H549" i="4"/>
  <c r="G549" i="4"/>
  <c r="D549" i="4"/>
  <c r="C549" i="4"/>
  <c r="B549" i="4"/>
  <c r="A549" i="4"/>
  <c r="H548" i="4"/>
  <c r="G548" i="4"/>
  <c r="D548" i="4"/>
  <c r="C548" i="4"/>
  <c r="B548" i="4"/>
  <c r="A548" i="4"/>
  <c r="H547" i="4"/>
  <c r="G547" i="4"/>
  <c r="D547" i="4"/>
  <c r="C547" i="4"/>
  <c r="B547" i="4"/>
  <c r="A547" i="4"/>
  <c r="H546" i="4"/>
  <c r="G546" i="4"/>
  <c r="D546" i="4"/>
  <c r="C546" i="4"/>
  <c r="B546" i="4"/>
  <c r="A546" i="4"/>
  <c r="H545" i="4"/>
  <c r="G545" i="4"/>
  <c r="D545" i="4"/>
  <c r="C545" i="4"/>
  <c r="B545" i="4"/>
  <c r="A545" i="4"/>
  <c r="H544" i="4"/>
  <c r="G544" i="4"/>
  <c r="D544" i="4"/>
  <c r="C544" i="4"/>
  <c r="B544" i="4"/>
  <c r="A544" i="4"/>
  <c r="H543" i="4"/>
  <c r="G543" i="4"/>
  <c r="D543" i="4"/>
  <c r="C543" i="4"/>
  <c r="B543" i="4"/>
  <c r="A543" i="4"/>
  <c r="H542" i="4"/>
  <c r="G542" i="4"/>
  <c r="D542" i="4"/>
  <c r="C542" i="4"/>
  <c r="B542" i="4"/>
  <c r="A542" i="4"/>
  <c r="H541" i="4"/>
  <c r="G541" i="4"/>
  <c r="D541" i="4"/>
  <c r="C541" i="4"/>
  <c r="B541" i="4"/>
  <c r="A541" i="4"/>
  <c r="H540" i="4"/>
  <c r="G540" i="4"/>
  <c r="D540" i="4"/>
  <c r="C540" i="4"/>
  <c r="B540" i="4"/>
  <c r="A540" i="4"/>
  <c r="H539" i="4"/>
  <c r="G539" i="4"/>
  <c r="D539" i="4"/>
  <c r="C539" i="4"/>
  <c r="B539" i="4"/>
  <c r="A539" i="4"/>
  <c r="H538" i="4"/>
  <c r="G538" i="4"/>
  <c r="D538" i="4"/>
  <c r="C538" i="4"/>
  <c r="B538" i="4"/>
  <c r="A538" i="4"/>
  <c r="H537" i="4"/>
  <c r="G537" i="4"/>
  <c r="D537" i="4"/>
  <c r="C537" i="4"/>
  <c r="B537" i="4"/>
  <c r="A537" i="4"/>
  <c r="H536" i="4"/>
  <c r="G536" i="4"/>
  <c r="D536" i="4"/>
  <c r="C536" i="4"/>
  <c r="B536" i="4"/>
  <c r="A536" i="4"/>
  <c r="H535" i="4"/>
  <c r="G535" i="4"/>
  <c r="D535" i="4"/>
  <c r="C535" i="4"/>
  <c r="B535" i="4"/>
  <c r="A535" i="4"/>
  <c r="H534" i="4"/>
  <c r="G534" i="4"/>
  <c r="D534" i="4"/>
  <c r="C534" i="4"/>
  <c r="B534" i="4"/>
  <c r="A534" i="4"/>
  <c r="H533" i="4"/>
  <c r="G533" i="4"/>
  <c r="D533" i="4"/>
  <c r="C533" i="4"/>
  <c r="B533" i="4"/>
  <c r="A533" i="4"/>
  <c r="H532" i="4"/>
  <c r="G532" i="4"/>
  <c r="D532" i="4"/>
  <c r="C532" i="4"/>
  <c r="B532" i="4"/>
  <c r="A532" i="4"/>
  <c r="H531" i="4"/>
  <c r="G531" i="4"/>
  <c r="D531" i="4"/>
  <c r="C531" i="4"/>
  <c r="B531" i="4"/>
  <c r="A531" i="4"/>
  <c r="H530" i="4"/>
  <c r="G530" i="4"/>
  <c r="D530" i="4"/>
  <c r="C530" i="4"/>
  <c r="B530" i="4"/>
  <c r="A530" i="4"/>
  <c r="H529" i="4"/>
  <c r="G529" i="4"/>
  <c r="D529" i="4"/>
  <c r="C529" i="4"/>
  <c r="B529" i="4"/>
  <c r="A529" i="4"/>
  <c r="H528" i="4"/>
  <c r="G528" i="4"/>
  <c r="D528" i="4"/>
  <c r="C528" i="4"/>
  <c r="B528" i="4"/>
  <c r="A528" i="4"/>
  <c r="H527" i="4"/>
  <c r="G527" i="4"/>
  <c r="D527" i="4"/>
  <c r="C527" i="4"/>
  <c r="B527" i="4"/>
  <c r="A527" i="4"/>
  <c r="H526" i="4"/>
  <c r="G526" i="4"/>
  <c r="D526" i="4"/>
  <c r="C526" i="4"/>
  <c r="B526" i="4"/>
  <c r="A526" i="4"/>
  <c r="H525" i="4"/>
  <c r="G525" i="4"/>
  <c r="D525" i="4"/>
  <c r="C525" i="4"/>
  <c r="B525" i="4"/>
  <c r="A525" i="4"/>
  <c r="H524" i="4"/>
  <c r="G524" i="4"/>
  <c r="D524" i="4"/>
  <c r="C524" i="4"/>
  <c r="B524" i="4"/>
  <c r="A524" i="4"/>
  <c r="H523" i="4"/>
  <c r="G523" i="4"/>
  <c r="D523" i="4"/>
  <c r="C523" i="4"/>
  <c r="B523" i="4"/>
  <c r="A523" i="4"/>
  <c r="H522" i="4"/>
  <c r="G522" i="4"/>
  <c r="D522" i="4"/>
  <c r="C522" i="4"/>
  <c r="B522" i="4"/>
  <c r="A522" i="4"/>
  <c r="H521" i="4"/>
  <c r="G521" i="4"/>
  <c r="D521" i="4"/>
  <c r="C521" i="4"/>
  <c r="B521" i="4"/>
  <c r="A521" i="4"/>
  <c r="H520" i="4"/>
  <c r="G520" i="4"/>
  <c r="D520" i="4"/>
  <c r="C520" i="4"/>
  <c r="B520" i="4"/>
  <c r="A520" i="4"/>
  <c r="H519" i="4"/>
  <c r="G519" i="4"/>
  <c r="D519" i="4"/>
  <c r="C519" i="4"/>
  <c r="B519" i="4"/>
  <c r="A519" i="4"/>
  <c r="H518" i="4"/>
  <c r="G518" i="4"/>
  <c r="D518" i="4"/>
  <c r="C518" i="4"/>
  <c r="B518" i="4"/>
  <c r="A518" i="4"/>
  <c r="H517" i="4"/>
  <c r="G517" i="4"/>
  <c r="D517" i="4"/>
  <c r="C517" i="4"/>
  <c r="B517" i="4"/>
  <c r="A517" i="4"/>
  <c r="H516" i="4"/>
  <c r="G516" i="4"/>
  <c r="D516" i="4"/>
  <c r="C516" i="4"/>
  <c r="B516" i="4"/>
  <c r="A516" i="4"/>
  <c r="H515" i="4"/>
  <c r="G515" i="4"/>
  <c r="D515" i="4"/>
  <c r="C515" i="4"/>
  <c r="B515" i="4"/>
  <c r="A515" i="4"/>
  <c r="H514" i="4"/>
  <c r="G514" i="4"/>
  <c r="D514" i="4"/>
  <c r="C514" i="4"/>
  <c r="B514" i="4"/>
  <c r="A514" i="4"/>
  <c r="H513" i="4"/>
  <c r="G513" i="4"/>
  <c r="D513" i="4"/>
  <c r="C513" i="4"/>
  <c r="B513" i="4"/>
  <c r="A513" i="4"/>
  <c r="H512" i="4"/>
  <c r="G512" i="4"/>
  <c r="D512" i="4"/>
  <c r="C512" i="4"/>
  <c r="B512" i="4"/>
  <c r="A512" i="4"/>
  <c r="H511" i="4"/>
  <c r="G511" i="4"/>
  <c r="D511" i="4"/>
  <c r="C511" i="4"/>
  <c r="B511" i="4"/>
  <c r="A511" i="4"/>
  <c r="H510" i="4"/>
  <c r="G510" i="4"/>
  <c r="D510" i="4"/>
  <c r="C510" i="4"/>
  <c r="B510" i="4"/>
  <c r="A510" i="4"/>
  <c r="H509" i="4"/>
  <c r="G509" i="4"/>
  <c r="D509" i="4"/>
  <c r="C509" i="4"/>
  <c r="B509" i="4"/>
  <c r="A509" i="4"/>
  <c r="H508" i="4"/>
  <c r="G508" i="4"/>
  <c r="D508" i="4"/>
  <c r="C508" i="4"/>
  <c r="B508" i="4"/>
  <c r="A508" i="4"/>
  <c r="H507" i="4"/>
  <c r="G507" i="4"/>
  <c r="D507" i="4"/>
  <c r="C507" i="4"/>
  <c r="B507" i="4"/>
  <c r="A507" i="4"/>
  <c r="H506" i="4"/>
  <c r="G506" i="4"/>
  <c r="D506" i="4"/>
  <c r="C506" i="4"/>
  <c r="B506" i="4"/>
  <c r="A506" i="4"/>
  <c r="H505" i="4"/>
  <c r="G505" i="4"/>
  <c r="D505" i="4"/>
  <c r="C505" i="4"/>
  <c r="B505" i="4"/>
  <c r="A505" i="4"/>
  <c r="H504" i="4"/>
  <c r="G504" i="4"/>
  <c r="D504" i="4"/>
  <c r="C504" i="4"/>
  <c r="B504" i="4"/>
  <c r="A504" i="4"/>
  <c r="H503" i="4"/>
  <c r="G503" i="4"/>
  <c r="D503" i="4"/>
  <c r="C503" i="4"/>
  <c r="B503" i="4"/>
  <c r="A503" i="4"/>
  <c r="H502" i="4"/>
  <c r="G502" i="4"/>
  <c r="D502" i="4"/>
  <c r="C502" i="4"/>
  <c r="B502" i="4"/>
  <c r="A502" i="4"/>
  <c r="H501" i="4"/>
  <c r="G501" i="4"/>
  <c r="D501" i="4"/>
  <c r="C501" i="4"/>
  <c r="B501" i="4"/>
  <c r="A501" i="4"/>
  <c r="H500" i="4"/>
  <c r="G500" i="4"/>
  <c r="D500" i="4"/>
  <c r="C500" i="4"/>
  <c r="B500" i="4"/>
  <c r="A500" i="4"/>
  <c r="H499" i="4"/>
  <c r="G499" i="4"/>
  <c r="D499" i="4"/>
  <c r="C499" i="4"/>
  <c r="B499" i="4"/>
  <c r="A499" i="4"/>
  <c r="H498" i="4"/>
  <c r="G498" i="4"/>
  <c r="D498" i="4"/>
  <c r="C498" i="4"/>
  <c r="B498" i="4"/>
  <c r="A498" i="4"/>
  <c r="H497" i="4"/>
  <c r="G497" i="4"/>
  <c r="D497" i="4"/>
  <c r="C497" i="4"/>
  <c r="B497" i="4"/>
  <c r="A497" i="4"/>
  <c r="H496" i="4"/>
  <c r="G496" i="4"/>
  <c r="D496" i="4"/>
  <c r="C496" i="4"/>
  <c r="B496" i="4"/>
  <c r="A496" i="4"/>
  <c r="H495" i="4"/>
  <c r="G495" i="4"/>
  <c r="D495" i="4"/>
  <c r="C495" i="4"/>
  <c r="B495" i="4"/>
  <c r="A495" i="4"/>
  <c r="H494" i="4"/>
  <c r="G494" i="4"/>
  <c r="D494" i="4"/>
  <c r="C494" i="4"/>
  <c r="B494" i="4"/>
  <c r="A494" i="4"/>
  <c r="H493" i="4"/>
  <c r="G493" i="4"/>
  <c r="D493" i="4"/>
  <c r="C493" i="4"/>
  <c r="B493" i="4"/>
  <c r="A493" i="4"/>
  <c r="H492" i="4"/>
  <c r="G492" i="4"/>
  <c r="D492" i="4"/>
  <c r="C492" i="4"/>
  <c r="B492" i="4"/>
  <c r="A492" i="4"/>
  <c r="H491" i="4"/>
  <c r="G491" i="4"/>
  <c r="D491" i="4"/>
  <c r="C491" i="4"/>
  <c r="B491" i="4"/>
  <c r="A491" i="4"/>
  <c r="H490" i="4"/>
  <c r="G490" i="4"/>
  <c r="D490" i="4"/>
  <c r="C490" i="4"/>
  <c r="B490" i="4"/>
  <c r="A490" i="4"/>
  <c r="H489" i="4"/>
  <c r="G489" i="4"/>
  <c r="D489" i="4"/>
  <c r="C489" i="4"/>
  <c r="B489" i="4"/>
  <c r="A489" i="4"/>
  <c r="H488" i="4"/>
  <c r="G488" i="4"/>
  <c r="D488" i="4"/>
  <c r="C488" i="4"/>
  <c r="B488" i="4"/>
  <c r="A488" i="4"/>
  <c r="H487" i="4"/>
  <c r="G487" i="4"/>
  <c r="D487" i="4"/>
  <c r="C487" i="4"/>
  <c r="B487" i="4"/>
  <c r="A487" i="4"/>
  <c r="H486" i="4"/>
  <c r="G486" i="4"/>
  <c r="D486" i="4"/>
  <c r="C486" i="4"/>
  <c r="B486" i="4"/>
  <c r="A486" i="4"/>
  <c r="H485" i="4"/>
  <c r="G485" i="4"/>
  <c r="D485" i="4"/>
  <c r="C485" i="4"/>
  <c r="B485" i="4"/>
  <c r="A485" i="4"/>
  <c r="H484" i="4"/>
  <c r="G484" i="4"/>
  <c r="D484" i="4"/>
  <c r="C484" i="4"/>
  <c r="B484" i="4"/>
  <c r="A484" i="4"/>
  <c r="H483" i="4"/>
  <c r="G483" i="4"/>
  <c r="D483" i="4"/>
  <c r="C483" i="4"/>
  <c r="B483" i="4"/>
  <c r="A483" i="4"/>
  <c r="H482" i="4"/>
  <c r="G482" i="4"/>
  <c r="D482" i="4"/>
  <c r="C482" i="4"/>
  <c r="B482" i="4"/>
  <c r="A482" i="4"/>
  <c r="H481" i="4"/>
  <c r="G481" i="4"/>
  <c r="D481" i="4"/>
  <c r="C481" i="4"/>
  <c r="B481" i="4"/>
  <c r="A481" i="4"/>
  <c r="H480" i="4"/>
  <c r="G480" i="4"/>
  <c r="D480" i="4"/>
  <c r="C480" i="4"/>
  <c r="B480" i="4"/>
  <c r="A480" i="4"/>
  <c r="H479" i="4"/>
  <c r="G479" i="4"/>
  <c r="D479" i="4"/>
  <c r="C479" i="4"/>
  <c r="B479" i="4"/>
  <c r="A479" i="4"/>
  <c r="H478" i="4"/>
  <c r="G478" i="4"/>
  <c r="D478" i="4"/>
  <c r="C478" i="4"/>
  <c r="B478" i="4"/>
  <c r="A478" i="4"/>
  <c r="H477" i="4"/>
  <c r="G477" i="4"/>
  <c r="D477" i="4"/>
  <c r="C477" i="4"/>
  <c r="B477" i="4"/>
  <c r="A477" i="4"/>
  <c r="H476" i="4"/>
  <c r="G476" i="4"/>
  <c r="D476" i="4"/>
  <c r="C476" i="4"/>
  <c r="B476" i="4"/>
  <c r="A476" i="4"/>
  <c r="H475" i="4"/>
  <c r="G475" i="4"/>
  <c r="D475" i="4"/>
  <c r="C475" i="4"/>
  <c r="B475" i="4"/>
  <c r="A475" i="4"/>
  <c r="H474" i="4"/>
  <c r="G474" i="4"/>
  <c r="D474" i="4"/>
  <c r="C474" i="4"/>
  <c r="B474" i="4"/>
  <c r="A474" i="4"/>
  <c r="H473" i="4"/>
  <c r="G473" i="4"/>
  <c r="D473" i="4"/>
  <c r="C473" i="4"/>
  <c r="B473" i="4"/>
  <c r="A473" i="4"/>
  <c r="H472" i="4"/>
  <c r="G472" i="4"/>
  <c r="D472" i="4"/>
  <c r="C472" i="4"/>
  <c r="B472" i="4"/>
  <c r="A472" i="4"/>
  <c r="H471" i="4"/>
  <c r="G471" i="4"/>
  <c r="D471" i="4"/>
  <c r="C471" i="4"/>
  <c r="B471" i="4"/>
  <c r="A471" i="4"/>
  <c r="H470" i="4"/>
  <c r="G470" i="4"/>
  <c r="D470" i="4"/>
  <c r="C470" i="4"/>
  <c r="B470" i="4"/>
  <c r="A470" i="4"/>
  <c r="H469" i="4"/>
  <c r="G469" i="4"/>
  <c r="D469" i="4"/>
  <c r="C469" i="4"/>
  <c r="B469" i="4"/>
  <c r="A469" i="4"/>
  <c r="H468" i="4"/>
  <c r="G468" i="4"/>
  <c r="D468" i="4"/>
  <c r="C468" i="4"/>
  <c r="B468" i="4"/>
  <c r="A468" i="4"/>
  <c r="H467" i="4"/>
  <c r="G467" i="4"/>
  <c r="D467" i="4"/>
  <c r="C467" i="4"/>
  <c r="B467" i="4"/>
  <c r="A467" i="4"/>
  <c r="H466" i="4"/>
  <c r="G466" i="4"/>
  <c r="D466" i="4"/>
  <c r="C466" i="4"/>
  <c r="B466" i="4"/>
  <c r="A466" i="4"/>
  <c r="H465" i="4"/>
  <c r="G465" i="4"/>
  <c r="D465" i="4"/>
  <c r="C465" i="4"/>
  <c r="B465" i="4"/>
  <c r="A465" i="4"/>
  <c r="H464" i="4"/>
  <c r="G464" i="4"/>
  <c r="D464" i="4"/>
  <c r="C464" i="4"/>
  <c r="B464" i="4"/>
  <c r="A464" i="4"/>
  <c r="H463" i="4"/>
  <c r="G463" i="4"/>
  <c r="D463" i="4"/>
  <c r="C463" i="4"/>
  <c r="B463" i="4"/>
  <c r="A463" i="4"/>
  <c r="H462" i="4"/>
  <c r="G462" i="4"/>
  <c r="D462" i="4"/>
  <c r="C462" i="4"/>
  <c r="B462" i="4"/>
  <c r="A462" i="4"/>
  <c r="H461" i="4"/>
  <c r="G461" i="4"/>
  <c r="D461" i="4"/>
  <c r="C461" i="4"/>
  <c r="B461" i="4"/>
  <c r="A461" i="4"/>
  <c r="H460" i="4"/>
  <c r="G460" i="4"/>
  <c r="D460" i="4"/>
  <c r="C460" i="4"/>
  <c r="B460" i="4"/>
  <c r="A460" i="4"/>
  <c r="H459" i="4"/>
  <c r="G459" i="4"/>
  <c r="D459" i="4"/>
  <c r="C459" i="4"/>
  <c r="B459" i="4"/>
  <c r="A459" i="4"/>
  <c r="H458" i="4"/>
  <c r="G458" i="4"/>
  <c r="D458" i="4"/>
  <c r="C458" i="4"/>
  <c r="B458" i="4"/>
  <c r="A458" i="4"/>
  <c r="H457" i="4"/>
  <c r="G457" i="4"/>
  <c r="D457" i="4"/>
  <c r="C457" i="4"/>
  <c r="B457" i="4"/>
  <c r="A457" i="4"/>
  <c r="H456" i="4"/>
  <c r="G456" i="4"/>
  <c r="D456" i="4"/>
  <c r="C456" i="4"/>
  <c r="B456" i="4"/>
  <c r="A456" i="4"/>
  <c r="H455" i="4"/>
  <c r="G455" i="4"/>
  <c r="D455" i="4"/>
  <c r="C455" i="4"/>
  <c r="B455" i="4"/>
  <c r="A455" i="4"/>
  <c r="H454" i="4"/>
  <c r="G454" i="4"/>
  <c r="D454" i="4"/>
  <c r="C454" i="4"/>
  <c r="B454" i="4"/>
  <c r="A454" i="4"/>
  <c r="H453" i="4"/>
  <c r="G453" i="4"/>
  <c r="D453" i="4"/>
  <c r="C453" i="4"/>
  <c r="B453" i="4"/>
  <c r="A453" i="4"/>
  <c r="H452" i="4"/>
  <c r="G452" i="4"/>
  <c r="D452" i="4"/>
  <c r="C452" i="4"/>
  <c r="B452" i="4"/>
  <c r="A452" i="4"/>
  <c r="H451" i="4"/>
  <c r="G451" i="4"/>
  <c r="D451" i="4"/>
  <c r="C451" i="4"/>
  <c r="B451" i="4"/>
  <c r="A451" i="4"/>
  <c r="H450" i="4"/>
  <c r="G450" i="4"/>
  <c r="D450" i="4"/>
  <c r="C450" i="4"/>
  <c r="B450" i="4"/>
  <c r="A450" i="4"/>
  <c r="H449" i="4"/>
  <c r="G449" i="4"/>
  <c r="D449" i="4"/>
  <c r="C449" i="4"/>
  <c r="B449" i="4"/>
  <c r="A449" i="4"/>
  <c r="H448" i="4"/>
  <c r="G448" i="4"/>
  <c r="D448" i="4"/>
  <c r="C448" i="4"/>
  <c r="B448" i="4"/>
  <c r="A448" i="4"/>
  <c r="H447" i="4"/>
  <c r="G447" i="4"/>
  <c r="D447" i="4"/>
  <c r="C447" i="4"/>
  <c r="B447" i="4"/>
  <c r="A447" i="4"/>
  <c r="H446" i="4"/>
  <c r="G446" i="4"/>
  <c r="D446" i="4"/>
  <c r="C446" i="4"/>
  <c r="B446" i="4"/>
  <c r="A446" i="4"/>
  <c r="H445" i="4"/>
  <c r="G445" i="4"/>
  <c r="D445" i="4"/>
  <c r="C445" i="4"/>
  <c r="B445" i="4"/>
  <c r="A445" i="4"/>
  <c r="H444" i="4"/>
  <c r="G444" i="4"/>
  <c r="D444" i="4"/>
  <c r="C444" i="4"/>
  <c r="B444" i="4"/>
  <c r="A444" i="4"/>
  <c r="H443" i="4"/>
  <c r="G443" i="4"/>
  <c r="D443" i="4"/>
  <c r="C443" i="4"/>
  <c r="B443" i="4"/>
  <c r="A443" i="4"/>
  <c r="H442" i="4"/>
  <c r="G442" i="4"/>
  <c r="D442" i="4"/>
  <c r="C442" i="4"/>
  <c r="B442" i="4"/>
  <c r="A442" i="4"/>
  <c r="H441" i="4"/>
  <c r="G441" i="4"/>
  <c r="D441" i="4"/>
  <c r="C441" i="4"/>
  <c r="B441" i="4"/>
  <c r="A441" i="4"/>
  <c r="H440" i="4"/>
  <c r="G440" i="4"/>
  <c r="D440" i="4"/>
  <c r="C440" i="4"/>
  <c r="B440" i="4"/>
  <c r="A440" i="4"/>
  <c r="H439" i="4"/>
  <c r="G439" i="4"/>
  <c r="D439" i="4"/>
  <c r="C439" i="4"/>
  <c r="B439" i="4"/>
  <c r="A439" i="4"/>
  <c r="H438" i="4"/>
  <c r="G438" i="4"/>
  <c r="D438" i="4"/>
  <c r="C438" i="4"/>
  <c r="B438" i="4"/>
  <c r="A438" i="4"/>
  <c r="H437" i="4"/>
  <c r="G437" i="4"/>
  <c r="D437" i="4"/>
  <c r="C437" i="4"/>
  <c r="B437" i="4"/>
  <c r="A437" i="4"/>
  <c r="H436" i="4"/>
  <c r="G436" i="4"/>
  <c r="D436" i="4"/>
  <c r="C436" i="4"/>
  <c r="B436" i="4"/>
  <c r="A436" i="4"/>
  <c r="H435" i="4"/>
  <c r="G435" i="4"/>
  <c r="D435" i="4"/>
  <c r="C435" i="4"/>
  <c r="B435" i="4"/>
  <c r="A435" i="4"/>
  <c r="H434" i="4"/>
  <c r="G434" i="4"/>
  <c r="D434" i="4"/>
  <c r="C434" i="4"/>
  <c r="B434" i="4"/>
  <c r="A434" i="4"/>
  <c r="H433" i="4"/>
  <c r="G433" i="4"/>
  <c r="D433" i="4"/>
  <c r="C433" i="4"/>
  <c r="B433" i="4"/>
  <c r="A433" i="4"/>
  <c r="H432" i="4"/>
  <c r="G432" i="4"/>
  <c r="D432" i="4"/>
  <c r="C432" i="4"/>
  <c r="B432" i="4"/>
  <c r="A432" i="4"/>
  <c r="H431" i="4"/>
  <c r="G431" i="4"/>
  <c r="D431" i="4"/>
  <c r="C431" i="4"/>
  <c r="B431" i="4"/>
  <c r="A431" i="4"/>
  <c r="H430" i="4"/>
  <c r="G430" i="4"/>
  <c r="D430" i="4"/>
  <c r="C430" i="4"/>
  <c r="B430" i="4"/>
  <c r="A430" i="4"/>
  <c r="H429" i="4"/>
  <c r="G429" i="4"/>
  <c r="D429" i="4"/>
  <c r="C429" i="4"/>
  <c r="B429" i="4"/>
  <c r="A429" i="4"/>
  <c r="H428" i="4"/>
  <c r="G428" i="4"/>
  <c r="D428" i="4"/>
  <c r="C428" i="4"/>
  <c r="B428" i="4"/>
  <c r="A428" i="4"/>
  <c r="H427" i="4"/>
  <c r="G427" i="4"/>
  <c r="D427" i="4"/>
  <c r="C427" i="4"/>
  <c r="B427" i="4"/>
  <c r="A427" i="4"/>
  <c r="H426" i="4"/>
  <c r="G426" i="4"/>
  <c r="D426" i="4"/>
  <c r="C426" i="4"/>
  <c r="B426" i="4"/>
  <c r="A426" i="4"/>
  <c r="H425" i="4"/>
  <c r="G425" i="4"/>
  <c r="D425" i="4"/>
  <c r="C425" i="4"/>
  <c r="B425" i="4"/>
  <c r="A425" i="4"/>
  <c r="H424" i="4"/>
  <c r="G424" i="4"/>
  <c r="D424" i="4"/>
  <c r="C424" i="4"/>
  <c r="B424" i="4"/>
  <c r="A424" i="4"/>
  <c r="H423" i="4"/>
  <c r="G423" i="4"/>
  <c r="D423" i="4"/>
  <c r="C423" i="4"/>
  <c r="B423" i="4"/>
  <c r="A423" i="4"/>
  <c r="H422" i="4"/>
  <c r="G422" i="4"/>
  <c r="D422" i="4"/>
  <c r="C422" i="4"/>
  <c r="B422" i="4"/>
  <c r="A422" i="4"/>
  <c r="H421" i="4"/>
  <c r="G421" i="4"/>
  <c r="D421" i="4"/>
  <c r="C421" i="4"/>
  <c r="B421" i="4"/>
  <c r="A421" i="4"/>
  <c r="H420" i="4"/>
  <c r="G420" i="4"/>
  <c r="D420" i="4"/>
  <c r="C420" i="4"/>
  <c r="B420" i="4"/>
  <c r="A420" i="4"/>
  <c r="H419" i="4"/>
  <c r="G419" i="4"/>
  <c r="D419" i="4"/>
  <c r="C419" i="4"/>
  <c r="B419" i="4"/>
  <c r="A419" i="4"/>
  <c r="H418" i="4"/>
  <c r="G418" i="4"/>
  <c r="D418" i="4"/>
  <c r="C418" i="4"/>
  <c r="B418" i="4"/>
  <c r="A418" i="4"/>
  <c r="H417" i="4"/>
  <c r="G417" i="4"/>
  <c r="D417" i="4"/>
  <c r="C417" i="4"/>
  <c r="B417" i="4"/>
  <c r="A417" i="4"/>
  <c r="H416" i="4"/>
  <c r="G416" i="4"/>
  <c r="D416" i="4"/>
  <c r="C416" i="4"/>
  <c r="B416" i="4"/>
  <c r="A416" i="4"/>
  <c r="H415" i="4"/>
  <c r="G415" i="4"/>
  <c r="D415" i="4"/>
  <c r="C415" i="4"/>
  <c r="B415" i="4"/>
  <c r="A415" i="4"/>
  <c r="H414" i="4"/>
  <c r="G414" i="4"/>
  <c r="D414" i="4"/>
  <c r="C414" i="4"/>
  <c r="B414" i="4"/>
  <c r="A414" i="4"/>
  <c r="H413" i="4"/>
  <c r="G413" i="4"/>
  <c r="D413" i="4"/>
  <c r="C413" i="4"/>
  <c r="B413" i="4"/>
  <c r="A413" i="4"/>
  <c r="H412" i="4"/>
  <c r="G412" i="4"/>
  <c r="D412" i="4"/>
  <c r="C412" i="4"/>
  <c r="B412" i="4"/>
  <c r="A412" i="4"/>
  <c r="H411" i="4"/>
  <c r="G411" i="4"/>
  <c r="D411" i="4"/>
  <c r="C411" i="4"/>
  <c r="B411" i="4"/>
  <c r="A411" i="4"/>
  <c r="H410" i="4"/>
  <c r="G410" i="4"/>
  <c r="D410" i="4"/>
  <c r="C410" i="4"/>
  <c r="B410" i="4"/>
  <c r="A410" i="4"/>
  <c r="H409" i="4"/>
  <c r="G409" i="4"/>
  <c r="D409" i="4"/>
  <c r="C409" i="4"/>
  <c r="B409" i="4"/>
  <c r="A409" i="4"/>
  <c r="H408" i="4"/>
  <c r="G408" i="4"/>
  <c r="D408" i="4"/>
  <c r="C408" i="4"/>
  <c r="B408" i="4"/>
  <c r="A408" i="4"/>
  <c r="H407" i="4"/>
  <c r="G407" i="4"/>
  <c r="D407" i="4"/>
  <c r="C407" i="4"/>
  <c r="B407" i="4"/>
  <c r="A407" i="4"/>
  <c r="H406" i="4"/>
  <c r="G406" i="4"/>
  <c r="D406" i="4"/>
  <c r="C406" i="4"/>
  <c r="B406" i="4"/>
  <c r="A406" i="4"/>
  <c r="H405" i="4"/>
  <c r="G405" i="4"/>
  <c r="D405" i="4"/>
  <c r="C405" i="4"/>
  <c r="B405" i="4"/>
  <c r="A405" i="4"/>
  <c r="H404" i="4"/>
  <c r="G404" i="4"/>
  <c r="D404" i="4"/>
  <c r="C404" i="4"/>
  <c r="B404" i="4"/>
  <c r="A404" i="4"/>
  <c r="H403" i="4"/>
  <c r="G403" i="4"/>
  <c r="D403" i="4"/>
  <c r="C403" i="4"/>
  <c r="B403" i="4"/>
  <c r="A403" i="4"/>
  <c r="H402" i="4"/>
  <c r="G402" i="4"/>
  <c r="D402" i="4"/>
  <c r="C402" i="4"/>
  <c r="B402" i="4"/>
  <c r="A402" i="4"/>
  <c r="H401" i="4"/>
  <c r="G401" i="4"/>
  <c r="D401" i="4"/>
  <c r="C401" i="4"/>
  <c r="B401" i="4"/>
  <c r="A401" i="4"/>
  <c r="H400" i="4"/>
  <c r="G400" i="4"/>
  <c r="D400" i="4"/>
  <c r="C400" i="4"/>
  <c r="B400" i="4"/>
  <c r="A400" i="4"/>
  <c r="H399" i="4"/>
  <c r="G399" i="4"/>
  <c r="D399" i="4"/>
  <c r="C399" i="4"/>
  <c r="B399" i="4"/>
  <c r="A399" i="4"/>
  <c r="H398" i="4"/>
  <c r="G398" i="4"/>
  <c r="D398" i="4"/>
  <c r="C398" i="4"/>
  <c r="B398" i="4"/>
  <c r="A398" i="4"/>
  <c r="H397" i="4"/>
  <c r="G397" i="4"/>
  <c r="D397" i="4"/>
  <c r="C397" i="4"/>
  <c r="B397" i="4"/>
  <c r="A397" i="4"/>
  <c r="H396" i="4"/>
  <c r="G396" i="4"/>
  <c r="D396" i="4"/>
  <c r="C396" i="4"/>
  <c r="B396" i="4"/>
  <c r="A396" i="4"/>
  <c r="H395" i="4"/>
  <c r="G395" i="4"/>
  <c r="D395" i="4"/>
  <c r="C395" i="4"/>
  <c r="B395" i="4"/>
  <c r="A395" i="4"/>
  <c r="H394" i="4"/>
  <c r="G394" i="4"/>
  <c r="D394" i="4"/>
  <c r="C394" i="4"/>
  <c r="B394" i="4"/>
  <c r="A394" i="4"/>
  <c r="H393" i="4"/>
  <c r="G393" i="4"/>
  <c r="D393" i="4"/>
  <c r="C393" i="4"/>
  <c r="B393" i="4"/>
  <c r="A393" i="4"/>
  <c r="H392" i="4"/>
  <c r="G392" i="4"/>
  <c r="D392" i="4"/>
  <c r="C392" i="4"/>
  <c r="B392" i="4"/>
  <c r="A392" i="4"/>
  <c r="H391" i="4"/>
  <c r="G391" i="4"/>
  <c r="D391" i="4"/>
  <c r="C391" i="4"/>
  <c r="B391" i="4"/>
  <c r="A391" i="4"/>
  <c r="H390" i="4"/>
  <c r="G390" i="4"/>
  <c r="D390" i="4"/>
  <c r="C390" i="4"/>
  <c r="B390" i="4"/>
  <c r="A390" i="4"/>
  <c r="H389" i="4"/>
  <c r="G389" i="4"/>
  <c r="D389" i="4"/>
  <c r="C389" i="4"/>
  <c r="B389" i="4"/>
  <c r="A389" i="4"/>
  <c r="H388" i="4"/>
  <c r="G388" i="4"/>
  <c r="D388" i="4"/>
  <c r="C388" i="4"/>
  <c r="B388" i="4"/>
  <c r="A388" i="4"/>
  <c r="H387" i="4"/>
  <c r="G387" i="4"/>
  <c r="D387" i="4"/>
  <c r="C387" i="4"/>
  <c r="B387" i="4"/>
  <c r="A387" i="4"/>
  <c r="H386" i="4"/>
  <c r="G386" i="4"/>
  <c r="D386" i="4"/>
  <c r="C386" i="4"/>
  <c r="B386" i="4"/>
  <c r="A386" i="4"/>
  <c r="H385" i="4"/>
  <c r="G385" i="4"/>
  <c r="D385" i="4"/>
  <c r="C385" i="4"/>
  <c r="B385" i="4"/>
  <c r="A385" i="4"/>
  <c r="H384" i="4"/>
  <c r="G384" i="4"/>
  <c r="D384" i="4"/>
  <c r="C384" i="4"/>
  <c r="B384" i="4"/>
  <c r="A384" i="4"/>
  <c r="H383" i="4"/>
  <c r="G383" i="4"/>
  <c r="D383" i="4"/>
  <c r="C383" i="4"/>
  <c r="B383" i="4"/>
  <c r="A383" i="4"/>
  <c r="H382" i="4"/>
  <c r="G382" i="4"/>
  <c r="D382" i="4"/>
  <c r="C382" i="4"/>
  <c r="B382" i="4"/>
  <c r="A382" i="4"/>
  <c r="H381" i="4"/>
  <c r="G381" i="4"/>
  <c r="D381" i="4"/>
  <c r="C381" i="4"/>
  <c r="B381" i="4"/>
  <c r="A381" i="4"/>
  <c r="H380" i="4"/>
  <c r="G380" i="4"/>
  <c r="D380" i="4"/>
  <c r="C380" i="4"/>
  <c r="B380" i="4"/>
  <c r="A380" i="4"/>
  <c r="H379" i="4"/>
  <c r="G379" i="4"/>
  <c r="D379" i="4"/>
  <c r="C379" i="4"/>
  <c r="B379" i="4"/>
  <c r="A379" i="4"/>
  <c r="H378" i="4"/>
  <c r="G378" i="4"/>
  <c r="D378" i="4"/>
  <c r="C378" i="4"/>
  <c r="B378" i="4"/>
  <c r="A378" i="4"/>
  <c r="H377" i="4"/>
  <c r="G377" i="4"/>
  <c r="D377" i="4"/>
  <c r="C377" i="4"/>
  <c r="B377" i="4"/>
  <c r="A377" i="4"/>
  <c r="H376" i="4"/>
  <c r="G376" i="4"/>
  <c r="D376" i="4"/>
  <c r="C376" i="4"/>
  <c r="B376" i="4"/>
  <c r="A376" i="4"/>
  <c r="H375" i="4"/>
  <c r="G375" i="4"/>
  <c r="D375" i="4"/>
  <c r="C375" i="4"/>
  <c r="B375" i="4"/>
  <c r="A375" i="4"/>
  <c r="H374" i="4"/>
  <c r="G374" i="4"/>
  <c r="D374" i="4"/>
  <c r="C374" i="4"/>
  <c r="B374" i="4"/>
  <c r="A374" i="4"/>
  <c r="H373" i="4"/>
  <c r="G373" i="4"/>
  <c r="D373" i="4"/>
  <c r="C373" i="4"/>
  <c r="B373" i="4"/>
  <c r="A373" i="4"/>
  <c r="H372" i="4"/>
  <c r="G372" i="4"/>
  <c r="D372" i="4"/>
  <c r="C372" i="4"/>
  <c r="B372" i="4"/>
  <c r="A372" i="4"/>
  <c r="H371" i="4"/>
  <c r="G371" i="4"/>
  <c r="D371" i="4"/>
  <c r="C371" i="4"/>
  <c r="B371" i="4"/>
  <c r="A371" i="4"/>
  <c r="H370" i="4"/>
  <c r="G370" i="4"/>
  <c r="D370" i="4"/>
  <c r="C370" i="4"/>
  <c r="B370" i="4"/>
  <c r="A370" i="4"/>
  <c r="H369" i="4"/>
  <c r="G369" i="4"/>
  <c r="D369" i="4"/>
  <c r="C369" i="4"/>
  <c r="B369" i="4"/>
  <c r="A369" i="4"/>
  <c r="H368" i="4"/>
  <c r="G368" i="4"/>
  <c r="D368" i="4"/>
  <c r="C368" i="4"/>
  <c r="B368" i="4"/>
  <c r="A368" i="4"/>
  <c r="H367" i="4"/>
  <c r="G367" i="4"/>
  <c r="D367" i="4"/>
  <c r="C367" i="4"/>
  <c r="B367" i="4"/>
  <c r="A367" i="4"/>
  <c r="H366" i="4"/>
  <c r="G366" i="4"/>
  <c r="D366" i="4"/>
  <c r="C366" i="4"/>
  <c r="B366" i="4"/>
  <c r="A366" i="4"/>
  <c r="H365" i="4"/>
  <c r="G365" i="4"/>
  <c r="D365" i="4"/>
  <c r="C365" i="4"/>
  <c r="B365" i="4"/>
  <c r="A365" i="4"/>
  <c r="H364" i="4"/>
  <c r="G364" i="4"/>
  <c r="D364" i="4"/>
  <c r="C364" i="4"/>
  <c r="B364" i="4"/>
  <c r="A364" i="4"/>
  <c r="H363" i="4"/>
  <c r="G363" i="4"/>
  <c r="D363" i="4"/>
  <c r="C363" i="4"/>
  <c r="B363" i="4"/>
  <c r="A363" i="4"/>
  <c r="H362" i="4"/>
  <c r="G362" i="4"/>
  <c r="D362" i="4"/>
  <c r="C362" i="4"/>
  <c r="B362" i="4"/>
  <c r="A362" i="4"/>
  <c r="H361" i="4"/>
  <c r="G361" i="4"/>
  <c r="D361" i="4"/>
  <c r="C361" i="4"/>
  <c r="B361" i="4"/>
  <c r="A361" i="4"/>
  <c r="H360" i="4"/>
  <c r="G360" i="4"/>
  <c r="D360" i="4"/>
  <c r="C360" i="4"/>
  <c r="B360" i="4"/>
  <c r="A360" i="4"/>
  <c r="H359" i="4"/>
  <c r="G359" i="4"/>
  <c r="D359" i="4"/>
  <c r="C359" i="4"/>
  <c r="B359" i="4"/>
  <c r="A359" i="4"/>
  <c r="H358" i="4"/>
  <c r="G358" i="4"/>
  <c r="D358" i="4"/>
  <c r="C358" i="4"/>
  <c r="B358" i="4"/>
  <c r="A358" i="4"/>
  <c r="H357" i="4"/>
  <c r="G357" i="4"/>
  <c r="D357" i="4"/>
  <c r="C357" i="4"/>
  <c r="B357" i="4"/>
  <c r="A357" i="4"/>
  <c r="H356" i="4"/>
  <c r="G356" i="4"/>
  <c r="D356" i="4"/>
  <c r="C356" i="4"/>
  <c r="B356" i="4"/>
  <c r="A356" i="4"/>
  <c r="H355" i="4"/>
  <c r="G355" i="4"/>
  <c r="D355" i="4"/>
  <c r="C355" i="4"/>
  <c r="B355" i="4"/>
  <c r="A355" i="4"/>
  <c r="H354" i="4"/>
  <c r="G354" i="4"/>
  <c r="D354" i="4"/>
  <c r="C354" i="4"/>
  <c r="B354" i="4"/>
  <c r="A354" i="4"/>
  <c r="H353" i="4"/>
  <c r="G353" i="4"/>
  <c r="D353" i="4"/>
  <c r="C353" i="4"/>
  <c r="B353" i="4"/>
  <c r="A353" i="4"/>
  <c r="H352" i="4"/>
  <c r="G352" i="4"/>
  <c r="D352" i="4"/>
  <c r="C352" i="4"/>
  <c r="B352" i="4"/>
  <c r="A352" i="4"/>
  <c r="H351" i="4"/>
  <c r="G351" i="4"/>
  <c r="D351" i="4"/>
  <c r="C351" i="4"/>
  <c r="B351" i="4"/>
  <c r="A351" i="4"/>
  <c r="H350" i="4"/>
  <c r="G350" i="4"/>
  <c r="D350" i="4"/>
  <c r="C350" i="4"/>
  <c r="B350" i="4"/>
  <c r="A350" i="4"/>
  <c r="H349" i="4"/>
  <c r="G349" i="4"/>
  <c r="D349" i="4"/>
  <c r="C349" i="4"/>
  <c r="B349" i="4"/>
  <c r="A349" i="4"/>
  <c r="H348" i="4"/>
  <c r="G348" i="4"/>
  <c r="D348" i="4"/>
  <c r="C348" i="4"/>
  <c r="B348" i="4"/>
  <c r="A348" i="4"/>
  <c r="H347" i="4"/>
  <c r="G347" i="4"/>
  <c r="D347" i="4"/>
  <c r="C347" i="4"/>
  <c r="B347" i="4"/>
  <c r="A347" i="4"/>
  <c r="H346" i="4"/>
  <c r="G346" i="4"/>
  <c r="D346" i="4"/>
  <c r="C346" i="4"/>
  <c r="B346" i="4"/>
  <c r="A346" i="4"/>
  <c r="H345" i="4"/>
  <c r="G345" i="4"/>
  <c r="D345" i="4"/>
  <c r="C345" i="4"/>
  <c r="B345" i="4"/>
  <c r="A345" i="4"/>
  <c r="H344" i="4"/>
  <c r="G344" i="4"/>
  <c r="D344" i="4"/>
  <c r="C344" i="4"/>
  <c r="B344" i="4"/>
  <c r="A344" i="4"/>
  <c r="H343" i="4"/>
  <c r="G343" i="4"/>
  <c r="D343" i="4"/>
  <c r="C343" i="4"/>
  <c r="B343" i="4"/>
  <c r="A343" i="4"/>
  <c r="H342" i="4"/>
  <c r="G342" i="4"/>
  <c r="D342" i="4"/>
  <c r="C342" i="4"/>
  <c r="B342" i="4"/>
  <c r="A342" i="4"/>
  <c r="H341" i="4"/>
  <c r="G341" i="4"/>
  <c r="D341" i="4"/>
  <c r="C341" i="4"/>
  <c r="B341" i="4"/>
  <c r="A341" i="4"/>
  <c r="H340" i="4"/>
  <c r="G340" i="4"/>
  <c r="D340" i="4"/>
  <c r="C340" i="4"/>
  <c r="B340" i="4"/>
  <c r="A340" i="4"/>
  <c r="H339" i="4"/>
  <c r="G339" i="4"/>
  <c r="D339" i="4"/>
  <c r="C339" i="4"/>
  <c r="B339" i="4"/>
  <c r="A339" i="4"/>
  <c r="H338" i="4"/>
  <c r="G338" i="4"/>
  <c r="D338" i="4"/>
  <c r="C338" i="4"/>
  <c r="B338" i="4"/>
  <c r="A338" i="4"/>
  <c r="H337" i="4"/>
  <c r="G337" i="4"/>
  <c r="D337" i="4"/>
  <c r="C337" i="4"/>
  <c r="B337" i="4"/>
  <c r="A337" i="4"/>
  <c r="H336" i="4"/>
  <c r="G336" i="4"/>
  <c r="D336" i="4"/>
  <c r="C336" i="4"/>
  <c r="B336" i="4"/>
  <c r="A336" i="4"/>
  <c r="H335" i="4"/>
  <c r="G335" i="4"/>
  <c r="D335" i="4"/>
  <c r="C335" i="4"/>
  <c r="B335" i="4"/>
  <c r="A335" i="4"/>
  <c r="H334" i="4"/>
  <c r="G334" i="4"/>
  <c r="D334" i="4"/>
  <c r="C334" i="4"/>
  <c r="B334" i="4"/>
  <c r="A334" i="4"/>
  <c r="H333" i="4"/>
  <c r="G333" i="4"/>
  <c r="D333" i="4"/>
  <c r="C333" i="4"/>
  <c r="B333" i="4"/>
  <c r="A333" i="4"/>
  <c r="H332" i="4"/>
  <c r="G332" i="4"/>
  <c r="D332" i="4"/>
  <c r="C332" i="4"/>
  <c r="B332" i="4"/>
  <c r="A332" i="4"/>
  <c r="H331" i="4"/>
  <c r="G331" i="4"/>
  <c r="D331" i="4"/>
  <c r="C331" i="4"/>
  <c r="B331" i="4"/>
  <c r="A331" i="4"/>
  <c r="H330" i="4"/>
  <c r="G330" i="4"/>
  <c r="D330" i="4"/>
  <c r="C330" i="4"/>
  <c r="B330" i="4"/>
  <c r="A330" i="4"/>
  <c r="H329" i="4"/>
  <c r="G329" i="4"/>
  <c r="D329" i="4"/>
  <c r="C329" i="4"/>
  <c r="B329" i="4"/>
  <c r="A329" i="4"/>
  <c r="H328" i="4"/>
  <c r="G328" i="4"/>
  <c r="D328" i="4"/>
  <c r="C328" i="4"/>
  <c r="B328" i="4"/>
  <c r="A328" i="4"/>
  <c r="H327" i="4"/>
  <c r="G327" i="4"/>
  <c r="D327" i="4"/>
  <c r="C327" i="4"/>
  <c r="B327" i="4"/>
  <c r="A327" i="4"/>
  <c r="H326" i="4"/>
  <c r="G326" i="4"/>
  <c r="D326" i="4"/>
  <c r="C326" i="4"/>
  <c r="B326" i="4"/>
  <c r="A326" i="4"/>
  <c r="H325" i="4"/>
  <c r="G325" i="4"/>
  <c r="D325" i="4"/>
  <c r="C325" i="4"/>
  <c r="B325" i="4"/>
  <c r="A325" i="4"/>
  <c r="H324" i="4"/>
  <c r="G324" i="4"/>
  <c r="D324" i="4"/>
  <c r="C324" i="4"/>
  <c r="B324" i="4"/>
  <c r="A324" i="4"/>
  <c r="H323" i="4"/>
  <c r="G323" i="4"/>
  <c r="D323" i="4"/>
  <c r="C323" i="4"/>
  <c r="B323" i="4"/>
  <c r="A323" i="4"/>
  <c r="H322" i="4"/>
  <c r="G322" i="4"/>
  <c r="D322" i="4"/>
  <c r="C322" i="4"/>
  <c r="B322" i="4"/>
  <c r="A322" i="4"/>
  <c r="H321" i="4"/>
  <c r="G321" i="4"/>
  <c r="D321" i="4"/>
  <c r="C321" i="4"/>
  <c r="B321" i="4"/>
  <c r="A321" i="4"/>
  <c r="H320" i="4"/>
  <c r="G320" i="4"/>
  <c r="D320" i="4"/>
  <c r="C320" i="4"/>
  <c r="B320" i="4"/>
  <c r="A320" i="4"/>
  <c r="H319" i="4"/>
  <c r="G319" i="4"/>
  <c r="D319" i="4"/>
  <c r="C319" i="4"/>
  <c r="B319" i="4"/>
  <c r="A319" i="4"/>
  <c r="H318" i="4"/>
  <c r="G318" i="4"/>
  <c r="D318" i="4"/>
  <c r="C318" i="4"/>
  <c r="B318" i="4"/>
  <c r="A318" i="4"/>
  <c r="H317" i="4"/>
  <c r="G317" i="4"/>
  <c r="D317" i="4"/>
  <c r="C317" i="4"/>
  <c r="B317" i="4"/>
  <c r="A317" i="4"/>
  <c r="H316" i="4"/>
  <c r="G316" i="4"/>
  <c r="D316" i="4"/>
  <c r="C316" i="4"/>
  <c r="B316" i="4"/>
  <c r="A316" i="4"/>
  <c r="H315" i="4"/>
  <c r="G315" i="4"/>
  <c r="D315" i="4"/>
  <c r="C315" i="4"/>
  <c r="B315" i="4"/>
  <c r="A315" i="4"/>
  <c r="H314" i="4"/>
  <c r="G314" i="4"/>
  <c r="D314" i="4"/>
  <c r="C314" i="4"/>
  <c r="B314" i="4"/>
  <c r="A314" i="4"/>
  <c r="H313" i="4"/>
  <c r="G313" i="4"/>
  <c r="D313" i="4"/>
  <c r="C313" i="4"/>
  <c r="B313" i="4"/>
  <c r="A313" i="4"/>
  <c r="H312" i="4"/>
  <c r="G312" i="4"/>
  <c r="D312" i="4"/>
  <c r="C312" i="4"/>
  <c r="B312" i="4"/>
  <c r="A312" i="4"/>
  <c r="H311" i="4"/>
  <c r="G311" i="4"/>
  <c r="D311" i="4"/>
  <c r="C311" i="4"/>
  <c r="B311" i="4"/>
  <c r="A311" i="4"/>
  <c r="H310" i="4"/>
  <c r="G310" i="4"/>
  <c r="D310" i="4"/>
  <c r="C310" i="4"/>
  <c r="B310" i="4"/>
  <c r="A310" i="4"/>
  <c r="H309" i="4"/>
  <c r="G309" i="4"/>
  <c r="D309" i="4"/>
  <c r="C309" i="4"/>
  <c r="B309" i="4"/>
  <c r="A309" i="4"/>
  <c r="H308" i="4"/>
  <c r="G308" i="4"/>
  <c r="D308" i="4"/>
  <c r="C308" i="4"/>
  <c r="B308" i="4"/>
  <c r="A308" i="4"/>
  <c r="H307" i="4"/>
  <c r="G307" i="4"/>
  <c r="D307" i="4"/>
  <c r="C307" i="4"/>
  <c r="B307" i="4"/>
  <c r="A307" i="4"/>
  <c r="H306" i="4"/>
  <c r="G306" i="4"/>
  <c r="D306" i="4"/>
  <c r="C306" i="4"/>
  <c r="B306" i="4"/>
  <c r="A306" i="4"/>
  <c r="H305" i="4"/>
  <c r="G305" i="4"/>
  <c r="D305" i="4"/>
  <c r="C305" i="4"/>
  <c r="B305" i="4"/>
  <c r="A305" i="4"/>
  <c r="H304" i="4"/>
  <c r="G304" i="4"/>
  <c r="D304" i="4"/>
  <c r="C304" i="4"/>
  <c r="B304" i="4"/>
  <c r="A304" i="4"/>
  <c r="H303" i="4"/>
  <c r="G303" i="4"/>
  <c r="D303" i="4"/>
  <c r="C303" i="4"/>
  <c r="B303" i="4"/>
  <c r="A303" i="4"/>
  <c r="H302" i="4"/>
  <c r="G302" i="4"/>
  <c r="D302" i="4"/>
  <c r="C302" i="4"/>
  <c r="B302" i="4"/>
  <c r="A302" i="4"/>
  <c r="H301" i="4"/>
  <c r="G301" i="4"/>
  <c r="D301" i="4"/>
  <c r="C301" i="4"/>
  <c r="B301" i="4"/>
  <c r="A301" i="4"/>
  <c r="H300" i="4"/>
  <c r="G300" i="4"/>
  <c r="D300" i="4"/>
  <c r="C300" i="4"/>
  <c r="B300" i="4"/>
  <c r="A300" i="4"/>
  <c r="H299" i="4"/>
  <c r="G299" i="4"/>
  <c r="D299" i="4"/>
  <c r="C299" i="4"/>
  <c r="B299" i="4"/>
  <c r="A299" i="4"/>
  <c r="H298" i="4"/>
  <c r="G298" i="4"/>
  <c r="D298" i="4"/>
  <c r="C298" i="4"/>
  <c r="B298" i="4"/>
  <c r="A298" i="4"/>
  <c r="H297" i="4"/>
  <c r="G297" i="4"/>
  <c r="D297" i="4"/>
  <c r="C297" i="4"/>
  <c r="B297" i="4"/>
  <c r="A297" i="4"/>
  <c r="H296" i="4"/>
  <c r="G296" i="4"/>
  <c r="D296" i="4"/>
  <c r="C296" i="4"/>
  <c r="B296" i="4"/>
  <c r="A296" i="4"/>
  <c r="H295" i="4"/>
  <c r="G295" i="4"/>
  <c r="D295" i="4"/>
  <c r="C295" i="4"/>
  <c r="B295" i="4"/>
  <c r="A295" i="4"/>
  <c r="H294" i="4"/>
  <c r="G294" i="4"/>
  <c r="D294" i="4"/>
  <c r="C294" i="4"/>
  <c r="B294" i="4"/>
  <c r="A294" i="4"/>
  <c r="H293" i="4"/>
  <c r="G293" i="4"/>
  <c r="D293" i="4"/>
  <c r="C293" i="4"/>
  <c r="B293" i="4"/>
  <c r="A293" i="4"/>
  <c r="H292" i="4"/>
  <c r="G292" i="4"/>
  <c r="D292" i="4"/>
  <c r="C292" i="4"/>
  <c r="B292" i="4"/>
  <c r="A292" i="4"/>
  <c r="H291" i="4"/>
  <c r="G291" i="4"/>
  <c r="D291" i="4"/>
  <c r="C291" i="4"/>
  <c r="B291" i="4"/>
  <c r="A291" i="4"/>
  <c r="H290" i="4"/>
  <c r="G290" i="4"/>
  <c r="D290" i="4"/>
  <c r="C290" i="4"/>
  <c r="B290" i="4"/>
  <c r="A290" i="4"/>
  <c r="H289" i="4"/>
  <c r="G289" i="4"/>
  <c r="D289" i="4"/>
  <c r="C289" i="4"/>
  <c r="B289" i="4"/>
  <c r="A289" i="4"/>
  <c r="H288" i="4"/>
  <c r="G288" i="4"/>
  <c r="D288" i="4"/>
  <c r="C288" i="4"/>
  <c r="B288" i="4"/>
  <c r="A288" i="4"/>
  <c r="H287" i="4"/>
  <c r="G287" i="4"/>
  <c r="D287" i="4"/>
  <c r="C287" i="4"/>
  <c r="B287" i="4"/>
  <c r="A287" i="4"/>
  <c r="H286" i="4"/>
  <c r="G286" i="4"/>
  <c r="D286" i="4"/>
  <c r="C286" i="4"/>
  <c r="B286" i="4"/>
  <c r="A286" i="4"/>
  <c r="H285" i="4"/>
  <c r="G285" i="4"/>
  <c r="D285" i="4"/>
  <c r="C285" i="4"/>
  <c r="B285" i="4"/>
  <c r="A285" i="4"/>
  <c r="H284" i="4"/>
  <c r="G284" i="4"/>
  <c r="D284" i="4"/>
  <c r="C284" i="4"/>
  <c r="B284" i="4"/>
  <c r="A284" i="4"/>
  <c r="H283" i="4"/>
  <c r="G283" i="4"/>
  <c r="D283" i="4"/>
  <c r="C283" i="4"/>
  <c r="B283" i="4"/>
  <c r="A283" i="4"/>
  <c r="H282" i="4"/>
  <c r="G282" i="4"/>
  <c r="D282" i="4"/>
  <c r="C282" i="4"/>
  <c r="B282" i="4"/>
  <c r="A282" i="4"/>
  <c r="H281" i="4"/>
  <c r="G281" i="4"/>
  <c r="D281" i="4"/>
  <c r="C281" i="4"/>
  <c r="B281" i="4"/>
  <c r="A281" i="4"/>
  <c r="H280" i="4"/>
  <c r="G280" i="4"/>
  <c r="D280" i="4"/>
  <c r="C280" i="4"/>
  <c r="B280" i="4"/>
  <c r="A280" i="4"/>
  <c r="H279" i="4"/>
  <c r="G279" i="4"/>
  <c r="D279" i="4"/>
  <c r="C279" i="4"/>
  <c r="B279" i="4"/>
  <c r="A279" i="4"/>
  <c r="H278" i="4"/>
  <c r="G278" i="4"/>
  <c r="D278" i="4"/>
  <c r="C278" i="4"/>
  <c r="B278" i="4"/>
  <c r="A278" i="4"/>
  <c r="H277" i="4"/>
  <c r="G277" i="4"/>
  <c r="D277" i="4"/>
  <c r="C277" i="4"/>
  <c r="B277" i="4"/>
  <c r="A277" i="4"/>
  <c r="H276" i="4"/>
  <c r="G276" i="4"/>
  <c r="D276" i="4"/>
  <c r="C276" i="4"/>
  <c r="B276" i="4"/>
  <c r="A276" i="4"/>
  <c r="H275" i="4"/>
  <c r="G275" i="4"/>
  <c r="D275" i="4"/>
  <c r="C275" i="4"/>
  <c r="B275" i="4"/>
  <c r="A275" i="4"/>
  <c r="H274" i="4"/>
  <c r="G274" i="4"/>
  <c r="D274" i="4"/>
  <c r="C274" i="4"/>
  <c r="B274" i="4"/>
  <c r="A274" i="4"/>
  <c r="H273" i="4"/>
  <c r="G273" i="4"/>
  <c r="D273" i="4"/>
  <c r="C273" i="4"/>
  <c r="B273" i="4"/>
  <c r="A273" i="4"/>
  <c r="H272" i="4"/>
  <c r="G272" i="4"/>
  <c r="D272" i="4"/>
  <c r="C272" i="4"/>
  <c r="B272" i="4"/>
  <c r="A272" i="4"/>
  <c r="H271" i="4"/>
  <c r="G271" i="4"/>
  <c r="D271" i="4"/>
  <c r="C271" i="4"/>
  <c r="B271" i="4"/>
  <c r="A271" i="4"/>
  <c r="H270" i="4"/>
  <c r="G270" i="4"/>
  <c r="D270" i="4"/>
  <c r="C270" i="4"/>
  <c r="B270" i="4"/>
  <c r="A270" i="4"/>
  <c r="H269" i="4"/>
  <c r="G269" i="4"/>
  <c r="D269" i="4"/>
  <c r="C269" i="4"/>
  <c r="B269" i="4"/>
  <c r="A269" i="4"/>
  <c r="H268" i="4"/>
  <c r="G268" i="4"/>
  <c r="D268" i="4"/>
  <c r="C268" i="4"/>
  <c r="B268" i="4"/>
  <c r="A268" i="4"/>
  <c r="H267" i="4"/>
  <c r="G267" i="4"/>
  <c r="D267" i="4"/>
  <c r="C267" i="4"/>
  <c r="B267" i="4"/>
  <c r="A267" i="4"/>
  <c r="H266" i="4"/>
  <c r="G266" i="4"/>
  <c r="D266" i="4"/>
  <c r="C266" i="4"/>
  <c r="B266" i="4"/>
  <c r="A266" i="4"/>
  <c r="H265" i="4"/>
  <c r="G265" i="4"/>
  <c r="D265" i="4"/>
  <c r="C265" i="4"/>
  <c r="B265" i="4"/>
  <c r="A265" i="4"/>
  <c r="H264" i="4"/>
  <c r="G264" i="4"/>
  <c r="D264" i="4"/>
  <c r="C264" i="4"/>
  <c r="B264" i="4"/>
  <c r="A264" i="4"/>
  <c r="H263" i="4"/>
  <c r="G263" i="4"/>
  <c r="D263" i="4"/>
  <c r="C263" i="4"/>
  <c r="B263" i="4"/>
  <c r="A263" i="4"/>
  <c r="H262" i="4"/>
  <c r="G262" i="4"/>
  <c r="D262" i="4"/>
  <c r="C262" i="4"/>
  <c r="B262" i="4"/>
  <c r="A262" i="4"/>
  <c r="H261" i="4"/>
  <c r="G261" i="4"/>
  <c r="D261" i="4"/>
  <c r="C261" i="4"/>
  <c r="B261" i="4"/>
  <c r="A261" i="4"/>
  <c r="H260" i="4"/>
  <c r="G260" i="4"/>
  <c r="D260" i="4"/>
  <c r="C260" i="4"/>
  <c r="B260" i="4"/>
  <c r="A260" i="4"/>
  <c r="H259" i="4"/>
  <c r="G259" i="4"/>
  <c r="D259" i="4"/>
  <c r="C259" i="4"/>
  <c r="B259" i="4"/>
  <c r="A259" i="4"/>
  <c r="H258" i="4"/>
  <c r="G258" i="4"/>
  <c r="D258" i="4"/>
  <c r="C258" i="4"/>
  <c r="B258" i="4"/>
  <c r="A258" i="4"/>
  <c r="H257" i="4"/>
  <c r="G257" i="4"/>
  <c r="D257" i="4"/>
  <c r="C257" i="4"/>
  <c r="B257" i="4"/>
  <c r="A257" i="4"/>
  <c r="H256" i="4"/>
  <c r="G256" i="4"/>
  <c r="D256" i="4"/>
  <c r="C256" i="4"/>
  <c r="B256" i="4"/>
  <c r="A256" i="4"/>
  <c r="H255" i="4"/>
  <c r="G255" i="4"/>
  <c r="D255" i="4"/>
  <c r="C255" i="4"/>
  <c r="B255" i="4"/>
  <c r="A255" i="4"/>
  <c r="H254" i="4"/>
  <c r="G254" i="4"/>
  <c r="D254" i="4"/>
  <c r="C254" i="4"/>
  <c r="B254" i="4"/>
  <c r="A254" i="4"/>
  <c r="H253" i="4"/>
  <c r="G253" i="4"/>
  <c r="D253" i="4"/>
  <c r="C253" i="4"/>
  <c r="B253" i="4"/>
  <c r="A253" i="4"/>
  <c r="H252" i="4"/>
  <c r="G252" i="4"/>
  <c r="D252" i="4"/>
  <c r="C252" i="4"/>
  <c r="B252" i="4"/>
  <c r="A252" i="4"/>
  <c r="H251" i="4"/>
  <c r="G251" i="4"/>
  <c r="D251" i="4"/>
  <c r="C251" i="4"/>
  <c r="B251" i="4"/>
  <c r="A251" i="4"/>
  <c r="H250" i="4"/>
  <c r="G250" i="4"/>
  <c r="D250" i="4"/>
  <c r="C250" i="4"/>
  <c r="B250" i="4"/>
  <c r="A250" i="4"/>
  <c r="H249" i="4"/>
  <c r="G249" i="4"/>
  <c r="D249" i="4"/>
  <c r="C249" i="4"/>
  <c r="B249" i="4"/>
  <c r="A249" i="4"/>
  <c r="H248" i="4"/>
  <c r="G248" i="4"/>
  <c r="D248" i="4"/>
  <c r="C248" i="4"/>
  <c r="B248" i="4"/>
  <c r="A248" i="4"/>
  <c r="H247" i="4"/>
  <c r="G247" i="4"/>
  <c r="D247" i="4"/>
  <c r="C247" i="4"/>
  <c r="B247" i="4"/>
  <c r="A247" i="4"/>
  <c r="H246" i="4"/>
  <c r="G246" i="4"/>
  <c r="D246" i="4"/>
  <c r="C246" i="4"/>
  <c r="B246" i="4"/>
  <c r="A246" i="4"/>
  <c r="H245" i="4"/>
  <c r="G245" i="4"/>
  <c r="D245" i="4"/>
  <c r="C245" i="4"/>
  <c r="B245" i="4"/>
  <c r="A245" i="4"/>
  <c r="H244" i="4"/>
  <c r="G244" i="4"/>
  <c r="D244" i="4"/>
  <c r="C244" i="4"/>
  <c r="B244" i="4"/>
  <c r="A244" i="4"/>
  <c r="H243" i="4"/>
  <c r="G243" i="4"/>
  <c r="D243" i="4"/>
  <c r="C243" i="4"/>
  <c r="B243" i="4"/>
  <c r="A243" i="4"/>
  <c r="H242" i="4"/>
  <c r="G242" i="4"/>
  <c r="D242" i="4"/>
  <c r="C242" i="4"/>
  <c r="B242" i="4"/>
  <c r="A242" i="4"/>
  <c r="H241" i="4"/>
  <c r="G241" i="4"/>
  <c r="D241" i="4"/>
  <c r="C241" i="4"/>
  <c r="B241" i="4"/>
  <c r="A241" i="4"/>
  <c r="H240" i="4"/>
  <c r="G240" i="4"/>
  <c r="D240" i="4"/>
  <c r="C240" i="4"/>
  <c r="B240" i="4"/>
  <c r="A240" i="4"/>
  <c r="H239" i="4"/>
  <c r="G239" i="4"/>
  <c r="D239" i="4"/>
  <c r="C239" i="4"/>
  <c r="B239" i="4"/>
  <c r="A239" i="4"/>
  <c r="H238" i="4"/>
  <c r="G238" i="4"/>
  <c r="D238" i="4"/>
  <c r="C238" i="4"/>
  <c r="B238" i="4"/>
  <c r="A238" i="4"/>
  <c r="H237" i="4"/>
  <c r="G237" i="4"/>
  <c r="D237" i="4"/>
  <c r="C237" i="4"/>
  <c r="B237" i="4"/>
  <c r="A237" i="4"/>
  <c r="H236" i="4"/>
  <c r="G236" i="4"/>
  <c r="D236" i="4"/>
  <c r="C236" i="4"/>
  <c r="B236" i="4"/>
  <c r="A236" i="4"/>
  <c r="H235" i="4"/>
  <c r="G235" i="4"/>
  <c r="D235" i="4"/>
  <c r="C235" i="4"/>
  <c r="B235" i="4"/>
  <c r="A235" i="4"/>
  <c r="H234" i="4"/>
  <c r="G234" i="4"/>
  <c r="D234" i="4"/>
  <c r="C234" i="4"/>
  <c r="B234" i="4"/>
  <c r="A234" i="4"/>
  <c r="H233" i="4"/>
  <c r="G233" i="4"/>
  <c r="D233" i="4"/>
  <c r="C233" i="4"/>
  <c r="B233" i="4"/>
  <c r="A233" i="4"/>
  <c r="H232" i="4"/>
  <c r="G232" i="4"/>
  <c r="D232" i="4"/>
  <c r="C232" i="4"/>
  <c r="B232" i="4"/>
  <c r="A232" i="4"/>
  <c r="H231" i="4"/>
  <c r="G231" i="4"/>
  <c r="D231" i="4"/>
  <c r="C231" i="4"/>
  <c r="B231" i="4"/>
  <c r="A231" i="4"/>
  <c r="H230" i="4"/>
  <c r="G230" i="4"/>
  <c r="D230" i="4"/>
  <c r="C230" i="4"/>
  <c r="B230" i="4"/>
  <c r="A230" i="4"/>
  <c r="H229" i="4"/>
  <c r="G229" i="4"/>
  <c r="D229" i="4"/>
  <c r="C229" i="4"/>
  <c r="B229" i="4"/>
  <c r="A229" i="4"/>
  <c r="H228" i="4"/>
  <c r="G228" i="4"/>
  <c r="D228" i="4"/>
  <c r="C228" i="4"/>
  <c r="B228" i="4"/>
  <c r="A228" i="4"/>
  <c r="H227" i="4"/>
  <c r="G227" i="4"/>
  <c r="D227" i="4"/>
  <c r="C227" i="4"/>
  <c r="B227" i="4"/>
  <c r="A227" i="4"/>
  <c r="H226" i="4"/>
  <c r="G226" i="4"/>
  <c r="D226" i="4"/>
  <c r="C226" i="4"/>
  <c r="B226" i="4"/>
  <c r="A226" i="4"/>
  <c r="H225" i="4"/>
  <c r="G225" i="4"/>
  <c r="D225" i="4"/>
  <c r="C225" i="4"/>
  <c r="B225" i="4"/>
  <c r="A225" i="4"/>
  <c r="H224" i="4"/>
  <c r="G224" i="4"/>
  <c r="D224" i="4"/>
  <c r="C224" i="4"/>
  <c r="B224" i="4"/>
  <c r="A224" i="4"/>
  <c r="H223" i="4"/>
  <c r="G223" i="4"/>
  <c r="D223" i="4"/>
  <c r="C223" i="4"/>
  <c r="B223" i="4"/>
  <c r="A223" i="4"/>
  <c r="H222" i="4"/>
  <c r="G222" i="4"/>
  <c r="D222" i="4"/>
  <c r="C222" i="4"/>
  <c r="B222" i="4"/>
  <c r="A222" i="4"/>
  <c r="H221" i="4"/>
  <c r="G221" i="4"/>
  <c r="D221" i="4"/>
  <c r="C221" i="4"/>
  <c r="B221" i="4"/>
  <c r="A221" i="4"/>
  <c r="H220" i="4"/>
  <c r="G220" i="4"/>
  <c r="D220" i="4"/>
  <c r="C220" i="4"/>
  <c r="B220" i="4"/>
  <c r="A220" i="4"/>
  <c r="H219" i="4"/>
  <c r="G219" i="4"/>
  <c r="D219" i="4"/>
  <c r="C219" i="4"/>
  <c r="B219" i="4"/>
  <c r="A219" i="4"/>
  <c r="H218" i="4"/>
  <c r="G218" i="4"/>
  <c r="D218" i="4"/>
  <c r="C218" i="4"/>
  <c r="B218" i="4"/>
  <c r="A218" i="4"/>
  <c r="H217" i="4"/>
  <c r="G217" i="4"/>
  <c r="D217" i="4"/>
  <c r="C217" i="4"/>
  <c r="B217" i="4"/>
  <c r="A217" i="4"/>
  <c r="H216" i="4"/>
  <c r="G216" i="4"/>
  <c r="D216" i="4"/>
  <c r="C216" i="4"/>
  <c r="B216" i="4"/>
  <c r="A216" i="4"/>
  <c r="H215" i="4"/>
  <c r="G215" i="4"/>
  <c r="D215" i="4"/>
  <c r="C215" i="4"/>
  <c r="B215" i="4"/>
  <c r="A215" i="4"/>
  <c r="H214" i="4"/>
  <c r="G214" i="4"/>
  <c r="D214" i="4"/>
  <c r="C214" i="4"/>
  <c r="B214" i="4"/>
  <c r="A214" i="4"/>
  <c r="H213" i="4"/>
  <c r="G213" i="4"/>
  <c r="D213" i="4"/>
  <c r="C213" i="4"/>
  <c r="B213" i="4"/>
  <c r="A213" i="4"/>
  <c r="H212" i="4"/>
  <c r="G212" i="4"/>
  <c r="D212" i="4"/>
  <c r="C212" i="4"/>
  <c r="B212" i="4"/>
  <c r="A212" i="4"/>
  <c r="H211" i="4"/>
  <c r="G211" i="4"/>
  <c r="D211" i="4"/>
  <c r="C211" i="4"/>
  <c r="B211" i="4"/>
  <c r="A211" i="4"/>
  <c r="H210" i="4"/>
  <c r="G210" i="4"/>
  <c r="D210" i="4"/>
  <c r="C210" i="4"/>
  <c r="B210" i="4"/>
  <c r="A210" i="4"/>
  <c r="H209" i="4"/>
  <c r="G209" i="4"/>
  <c r="D209" i="4"/>
  <c r="C209" i="4"/>
  <c r="B209" i="4"/>
  <c r="A209" i="4"/>
  <c r="H208" i="4"/>
  <c r="G208" i="4"/>
  <c r="D208" i="4"/>
  <c r="C208" i="4"/>
  <c r="B208" i="4"/>
  <c r="A208" i="4"/>
  <c r="H207" i="4"/>
  <c r="G207" i="4"/>
  <c r="D207" i="4"/>
  <c r="C207" i="4"/>
  <c r="B207" i="4"/>
  <c r="A207" i="4"/>
  <c r="H206" i="4"/>
  <c r="G206" i="4"/>
  <c r="D206" i="4"/>
  <c r="C206" i="4"/>
  <c r="B206" i="4"/>
  <c r="A206" i="4"/>
  <c r="H205" i="4"/>
  <c r="G205" i="4"/>
  <c r="D205" i="4"/>
  <c r="C205" i="4"/>
  <c r="B205" i="4"/>
  <c r="A205" i="4"/>
  <c r="H204" i="4"/>
  <c r="G204" i="4"/>
  <c r="D204" i="4"/>
  <c r="C204" i="4"/>
  <c r="B204" i="4"/>
  <c r="A204" i="4"/>
  <c r="H203" i="4"/>
  <c r="G203" i="4"/>
  <c r="D203" i="4"/>
  <c r="C203" i="4"/>
  <c r="B203" i="4"/>
  <c r="A203" i="4"/>
  <c r="H202" i="4"/>
  <c r="G202" i="4"/>
  <c r="D202" i="4"/>
  <c r="C202" i="4"/>
  <c r="B202" i="4"/>
  <c r="A202" i="4"/>
  <c r="H201" i="4"/>
  <c r="G201" i="4"/>
  <c r="D201" i="4"/>
  <c r="C201" i="4"/>
  <c r="B201" i="4"/>
  <c r="A201" i="4"/>
  <c r="H200" i="4"/>
  <c r="G200" i="4"/>
  <c r="D200" i="4"/>
  <c r="C200" i="4"/>
  <c r="B200" i="4"/>
  <c r="A200" i="4"/>
  <c r="H199" i="4"/>
  <c r="G199" i="4"/>
  <c r="D199" i="4"/>
  <c r="C199" i="4"/>
  <c r="B199" i="4"/>
  <c r="A199" i="4"/>
  <c r="H198" i="4"/>
  <c r="G198" i="4"/>
  <c r="D198" i="4"/>
  <c r="C198" i="4"/>
  <c r="B198" i="4"/>
  <c r="A198" i="4"/>
  <c r="H197" i="4"/>
  <c r="G197" i="4"/>
  <c r="D197" i="4"/>
  <c r="C197" i="4"/>
  <c r="B197" i="4"/>
  <c r="A197" i="4"/>
  <c r="H196" i="4"/>
  <c r="G196" i="4"/>
  <c r="D196" i="4"/>
  <c r="C196" i="4"/>
  <c r="B196" i="4"/>
  <c r="A196" i="4"/>
  <c r="H195" i="4"/>
  <c r="G195" i="4"/>
  <c r="D195" i="4"/>
  <c r="C195" i="4"/>
  <c r="B195" i="4"/>
  <c r="A195" i="4"/>
  <c r="H194" i="4"/>
  <c r="G194" i="4"/>
  <c r="D194" i="4"/>
  <c r="C194" i="4"/>
  <c r="B194" i="4"/>
  <c r="A194" i="4"/>
  <c r="H193" i="4"/>
  <c r="G193" i="4"/>
  <c r="D193" i="4"/>
  <c r="C193" i="4"/>
  <c r="B193" i="4"/>
  <c r="A193" i="4"/>
  <c r="H192" i="4"/>
  <c r="G192" i="4"/>
  <c r="D192" i="4"/>
  <c r="C192" i="4"/>
  <c r="B192" i="4"/>
  <c r="A192" i="4"/>
  <c r="H191" i="4"/>
  <c r="G191" i="4"/>
  <c r="D191" i="4"/>
  <c r="C191" i="4"/>
  <c r="B191" i="4"/>
  <c r="A191" i="4"/>
  <c r="H190" i="4"/>
  <c r="G190" i="4"/>
  <c r="D190" i="4"/>
  <c r="C190" i="4"/>
  <c r="B190" i="4"/>
  <c r="A190" i="4"/>
  <c r="H189" i="4"/>
  <c r="G189" i="4"/>
  <c r="D189" i="4"/>
  <c r="C189" i="4"/>
  <c r="B189" i="4"/>
  <c r="A189" i="4"/>
  <c r="H188" i="4"/>
  <c r="G188" i="4"/>
  <c r="D188" i="4"/>
  <c r="C188" i="4"/>
  <c r="B188" i="4"/>
  <c r="A188" i="4"/>
  <c r="H187" i="4"/>
  <c r="G187" i="4"/>
  <c r="D187" i="4"/>
  <c r="C187" i="4"/>
  <c r="B187" i="4"/>
  <c r="A187" i="4"/>
  <c r="H186" i="4"/>
  <c r="G186" i="4"/>
  <c r="D186" i="4"/>
  <c r="C186" i="4"/>
  <c r="B186" i="4"/>
  <c r="A186" i="4"/>
  <c r="H185" i="4"/>
  <c r="G185" i="4"/>
  <c r="D185" i="4"/>
  <c r="C185" i="4"/>
  <c r="B185" i="4"/>
  <c r="A185" i="4"/>
  <c r="H184" i="4"/>
  <c r="G184" i="4"/>
  <c r="D184" i="4"/>
  <c r="C184" i="4"/>
  <c r="B184" i="4"/>
  <c r="A184" i="4"/>
  <c r="H183" i="4"/>
  <c r="G183" i="4"/>
  <c r="D183" i="4"/>
  <c r="C183" i="4"/>
  <c r="B183" i="4"/>
  <c r="A183" i="4"/>
  <c r="H182" i="4"/>
  <c r="G182" i="4"/>
  <c r="D182" i="4"/>
  <c r="C182" i="4"/>
  <c r="B182" i="4"/>
  <c r="A182" i="4"/>
  <c r="H181" i="4"/>
  <c r="G181" i="4"/>
  <c r="D181" i="4"/>
  <c r="C181" i="4"/>
  <c r="B181" i="4"/>
  <c r="A181" i="4"/>
  <c r="H180" i="4"/>
  <c r="G180" i="4"/>
  <c r="D180" i="4"/>
  <c r="C180" i="4"/>
  <c r="B180" i="4"/>
  <c r="A180" i="4"/>
  <c r="H179" i="4"/>
  <c r="G179" i="4"/>
  <c r="D179" i="4"/>
  <c r="C179" i="4"/>
  <c r="B179" i="4"/>
  <c r="A179" i="4"/>
  <c r="H178" i="4"/>
  <c r="G178" i="4"/>
  <c r="D178" i="4"/>
  <c r="C178" i="4"/>
  <c r="B178" i="4"/>
  <c r="A178" i="4"/>
  <c r="H177" i="4"/>
  <c r="G177" i="4"/>
  <c r="D177" i="4"/>
  <c r="C177" i="4"/>
  <c r="B177" i="4"/>
  <c r="A177" i="4"/>
  <c r="H176" i="4"/>
  <c r="G176" i="4"/>
  <c r="D176" i="4"/>
  <c r="C176" i="4"/>
  <c r="B176" i="4"/>
  <c r="A176" i="4"/>
  <c r="H175" i="4"/>
  <c r="G175" i="4"/>
  <c r="D175" i="4"/>
  <c r="C175" i="4"/>
  <c r="B175" i="4"/>
  <c r="A175" i="4"/>
  <c r="H174" i="4"/>
  <c r="G174" i="4"/>
  <c r="D174" i="4"/>
  <c r="C174" i="4"/>
  <c r="B174" i="4"/>
  <c r="A174" i="4"/>
  <c r="H173" i="4"/>
  <c r="G173" i="4"/>
  <c r="D173" i="4"/>
  <c r="C173" i="4"/>
  <c r="B173" i="4"/>
  <c r="A173" i="4"/>
  <c r="H172" i="4"/>
  <c r="G172" i="4"/>
  <c r="D172" i="4"/>
  <c r="C172" i="4"/>
  <c r="B172" i="4"/>
  <c r="A172" i="4"/>
  <c r="H171" i="4"/>
  <c r="G171" i="4"/>
  <c r="D171" i="4"/>
  <c r="C171" i="4"/>
  <c r="B171" i="4"/>
  <c r="A171" i="4"/>
  <c r="H170" i="4"/>
  <c r="G170" i="4"/>
  <c r="D170" i="4"/>
  <c r="C170" i="4"/>
  <c r="B170" i="4"/>
  <c r="A170" i="4"/>
  <c r="H169" i="4"/>
  <c r="G169" i="4"/>
  <c r="D169" i="4"/>
  <c r="C169" i="4"/>
  <c r="B169" i="4"/>
  <c r="A169" i="4"/>
  <c r="H168" i="4"/>
  <c r="G168" i="4"/>
  <c r="D168" i="4"/>
  <c r="C168" i="4"/>
  <c r="B168" i="4"/>
  <c r="A168" i="4"/>
  <c r="H167" i="4"/>
  <c r="G167" i="4"/>
  <c r="D167" i="4"/>
  <c r="C167" i="4"/>
  <c r="B167" i="4"/>
  <c r="A167" i="4"/>
  <c r="H166" i="4"/>
  <c r="G166" i="4"/>
  <c r="D166" i="4"/>
  <c r="C166" i="4"/>
  <c r="B166" i="4"/>
  <c r="A166" i="4"/>
  <c r="H165" i="4"/>
  <c r="G165" i="4"/>
  <c r="D165" i="4"/>
  <c r="C165" i="4"/>
  <c r="B165" i="4"/>
  <c r="A165" i="4"/>
  <c r="H164" i="4"/>
  <c r="G164" i="4"/>
  <c r="D164" i="4"/>
  <c r="C164" i="4"/>
  <c r="B164" i="4"/>
  <c r="A164" i="4"/>
  <c r="H163" i="4"/>
  <c r="G163" i="4"/>
  <c r="D163" i="4"/>
  <c r="C163" i="4"/>
  <c r="B163" i="4"/>
  <c r="A163" i="4"/>
  <c r="H162" i="4"/>
  <c r="G162" i="4"/>
  <c r="D162" i="4"/>
  <c r="C162" i="4"/>
  <c r="B162" i="4"/>
  <c r="A162" i="4"/>
  <c r="H161" i="4"/>
  <c r="G161" i="4"/>
  <c r="D161" i="4"/>
  <c r="C161" i="4"/>
  <c r="B161" i="4"/>
  <c r="A161" i="4"/>
  <c r="H160" i="4"/>
  <c r="G160" i="4"/>
  <c r="D160" i="4"/>
  <c r="C160" i="4"/>
  <c r="B160" i="4"/>
  <c r="A160" i="4"/>
  <c r="H159" i="4"/>
  <c r="G159" i="4"/>
  <c r="D159" i="4"/>
  <c r="C159" i="4"/>
  <c r="B159" i="4"/>
  <c r="A159" i="4"/>
  <c r="H158" i="4"/>
  <c r="G158" i="4"/>
  <c r="D158" i="4"/>
  <c r="C158" i="4"/>
  <c r="B158" i="4"/>
  <c r="A158" i="4"/>
  <c r="H157" i="4"/>
  <c r="G157" i="4"/>
  <c r="D157" i="4"/>
  <c r="C157" i="4"/>
  <c r="B157" i="4"/>
  <c r="A157" i="4"/>
  <c r="H156" i="4"/>
  <c r="G156" i="4"/>
  <c r="D156" i="4"/>
  <c r="C156" i="4"/>
  <c r="B156" i="4"/>
  <c r="A156" i="4"/>
  <c r="H155" i="4"/>
  <c r="G155" i="4"/>
  <c r="D155" i="4"/>
  <c r="C155" i="4"/>
  <c r="B155" i="4"/>
  <c r="A155" i="4"/>
  <c r="H154" i="4"/>
  <c r="G154" i="4"/>
  <c r="D154" i="4"/>
  <c r="C154" i="4"/>
  <c r="B154" i="4"/>
  <c r="A154" i="4"/>
  <c r="H153" i="4"/>
  <c r="G153" i="4"/>
  <c r="D153" i="4"/>
  <c r="C153" i="4"/>
  <c r="B153" i="4"/>
  <c r="A153" i="4"/>
  <c r="H152" i="4"/>
  <c r="G152" i="4"/>
  <c r="D152" i="4"/>
  <c r="C152" i="4"/>
  <c r="B152" i="4"/>
  <c r="A152" i="4"/>
  <c r="H151" i="4"/>
  <c r="G151" i="4"/>
  <c r="D151" i="4"/>
  <c r="C151" i="4"/>
  <c r="B151" i="4"/>
  <c r="A151" i="4"/>
  <c r="H150" i="4"/>
  <c r="G150" i="4"/>
  <c r="D150" i="4"/>
  <c r="C150" i="4"/>
  <c r="B150" i="4"/>
  <c r="A150" i="4"/>
  <c r="H149" i="4"/>
  <c r="G149" i="4"/>
  <c r="D149" i="4"/>
  <c r="C149" i="4"/>
  <c r="B149" i="4"/>
  <c r="A149" i="4"/>
  <c r="H148" i="4"/>
  <c r="G148" i="4"/>
  <c r="D148" i="4"/>
  <c r="C148" i="4"/>
  <c r="B148" i="4"/>
  <c r="A148" i="4"/>
  <c r="H147" i="4"/>
  <c r="G147" i="4"/>
  <c r="D147" i="4"/>
  <c r="C147" i="4"/>
  <c r="B147" i="4"/>
  <c r="A147" i="4"/>
  <c r="H146" i="4"/>
  <c r="G146" i="4"/>
  <c r="D146" i="4"/>
  <c r="C146" i="4"/>
  <c r="B146" i="4"/>
  <c r="A146" i="4"/>
  <c r="H145" i="4"/>
  <c r="G145" i="4"/>
  <c r="D145" i="4"/>
  <c r="C145" i="4"/>
  <c r="B145" i="4"/>
  <c r="A145" i="4"/>
  <c r="H144" i="4"/>
  <c r="G144" i="4"/>
  <c r="D144" i="4"/>
  <c r="C144" i="4"/>
  <c r="B144" i="4"/>
  <c r="A144" i="4"/>
  <c r="H143" i="4"/>
  <c r="G143" i="4"/>
  <c r="D143" i="4"/>
  <c r="C143" i="4"/>
  <c r="B143" i="4"/>
  <c r="A143" i="4"/>
  <c r="H142" i="4"/>
  <c r="G142" i="4"/>
  <c r="D142" i="4"/>
  <c r="C142" i="4"/>
  <c r="B142" i="4"/>
  <c r="A142" i="4"/>
  <c r="H141" i="4"/>
  <c r="G141" i="4"/>
  <c r="D141" i="4"/>
  <c r="C141" i="4"/>
  <c r="B141" i="4"/>
  <c r="A141" i="4"/>
  <c r="H140" i="4"/>
  <c r="G140" i="4"/>
  <c r="D140" i="4"/>
  <c r="C140" i="4"/>
  <c r="B140" i="4"/>
  <c r="A140" i="4"/>
  <c r="H139" i="4"/>
  <c r="G139" i="4"/>
  <c r="D139" i="4"/>
  <c r="C139" i="4"/>
  <c r="B139" i="4"/>
  <c r="A139" i="4"/>
  <c r="H138" i="4"/>
  <c r="G138" i="4"/>
  <c r="D138" i="4"/>
  <c r="C138" i="4"/>
  <c r="B138" i="4"/>
  <c r="A138" i="4"/>
  <c r="H137" i="4"/>
  <c r="G137" i="4"/>
  <c r="D137" i="4"/>
  <c r="C137" i="4"/>
  <c r="B137" i="4"/>
  <c r="A137" i="4"/>
  <c r="H136" i="4"/>
  <c r="G136" i="4"/>
  <c r="D136" i="4"/>
  <c r="C136" i="4"/>
  <c r="B136" i="4"/>
  <c r="A136" i="4"/>
  <c r="H135" i="4"/>
  <c r="G135" i="4"/>
  <c r="D135" i="4"/>
  <c r="C135" i="4"/>
  <c r="B135" i="4"/>
  <c r="A135" i="4"/>
  <c r="H134" i="4"/>
  <c r="G134" i="4"/>
  <c r="D134" i="4"/>
  <c r="C134" i="4"/>
  <c r="B134" i="4"/>
  <c r="A134" i="4"/>
  <c r="H133" i="4"/>
  <c r="G133" i="4"/>
  <c r="D133" i="4"/>
  <c r="C133" i="4"/>
  <c r="B133" i="4"/>
  <c r="A133" i="4"/>
  <c r="H132" i="4"/>
  <c r="G132" i="4"/>
  <c r="D132" i="4"/>
  <c r="C132" i="4"/>
  <c r="B132" i="4"/>
  <c r="A132" i="4"/>
  <c r="H131" i="4"/>
  <c r="G131" i="4"/>
  <c r="D131" i="4"/>
  <c r="C131" i="4"/>
  <c r="B131" i="4"/>
  <c r="A131" i="4"/>
  <c r="H130" i="4"/>
  <c r="G130" i="4"/>
  <c r="D130" i="4"/>
  <c r="C130" i="4"/>
  <c r="B130" i="4"/>
  <c r="A130" i="4"/>
  <c r="H129" i="4"/>
  <c r="G129" i="4"/>
  <c r="D129" i="4"/>
  <c r="C129" i="4"/>
  <c r="B129" i="4"/>
  <c r="A129" i="4"/>
  <c r="H128" i="4"/>
  <c r="G128" i="4"/>
  <c r="D128" i="4"/>
  <c r="C128" i="4"/>
  <c r="B128" i="4"/>
  <c r="A128" i="4"/>
  <c r="H127" i="4"/>
  <c r="G127" i="4"/>
  <c r="D127" i="4"/>
  <c r="C127" i="4"/>
  <c r="B127" i="4"/>
  <c r="A127" i="4"/>
  <c r="H126" i="4"/>
  <c r="G126" i="4"/>
  <c r="D126" i="4"/>
  <c r="C126" i="4"/>
  <c r="B126" i="4"/>
  <c r="A126" i="4"/>
  <c r="H125" i="4"/>
  <c r="G125" i="4"/>
  <c r="D125" i="4"/>
  <c r="C125" i="4"/>
  <c r="B125" i="4"/>
  <c r="A125" i="4"/>
  <c r="H124" i="4"/>
  <c r="G124" i="4"/>
  <c r="D124" i="4"/>
  <c r="C124" i="4"/>
  <c r="B124" i="4"/>
  <c r="A124" i="4"/>
  <c r="H123" i="4"/>
  <c r="G123" i="4"/>
  <c r="D123" i="4"/>
  <c r="C123" i="4"/>
  <c r="B123" i="4"/>
  <c r="A123" i="4"/>
  <c r="H122" i="4"/>
  <c r="G122" i="4"/>
  <c r="D122" i="4"/>
  <c r="C122" i="4"/>
  <c r="B122" i="4"/>
  <c r="A122" i="4"/>
  <c r="H121" i="4"/>
  <c r="G121" i="4"/>
  <c r="D121" i="4"/>
  <c r="C121" i="4"/>
  <c r="B121" i="4"/>
  <c r="A121" i="4"/>
  <c r="H120" i="4"/>
  <c r="G120" i="4"/>
  <c r="D120" i="4"/>
  <c r="C120" i="4"/>
  <c r="B120" i="4"/>
  <c r="A120" i="4"/>
  <c r="H119" i="4"/>
  <c r="G119" i="4"/>
  <c r="D119" i="4"/>
  <c r="C119" i="4"/>
  <c r="B119" i="4"/>
  <c r="A119" i="4"/>
  <c r="H118" i="4"/>
  <c r="G118" i="4"/>
  <c r="D118" i="4"/>
  <c r="C118" i="4"/>
  <c r="B118" i="4"/>
  <c r="A118" i="4"/>
  <c r="H117" i="4"/>
  <c r="G117" i="4"/>
  <c r="D117" i="4"/>
  <c r="C117" i="4"/>
  <c r="B117" i="4"/>
  <c r="A117" i="4"/>
  <c r="H116" i="4"/>
  <c r="G116" i="4"/>
  <c r="D116" i="4"/>
  <c r="C116" i="4"/>
  <c r="B116" i="4"/>
  <c r="A116" i="4"/>
  <c r="H1509" i="4"/>
  <c r="G1509" i="4"/>
  <c r="D1509" i="4"/>
  <c r="C1509" i="4"/>
  <c r="B1509" i="4"/>
  <c r="A1509" i="4"/>
  <c r="H1478" i="4"/>
  <c r="G1478" i="4"/>
  <c r="D1478" i="4"/>
  <c r="C1478" i="4"/>
  <c r="B1478" i="4"/>
  <c r="A1478" i="4"/>
  <c r="H1477" i="4"/>
  <c r="G1477" i="4"/>
  <c r="D1477" i="4"/>
  <c r="C1477" i="4"/>
  <c r="B1477" i="4"/>
  <c r="A1477" i="4"/>
  <c r="H1476" i="4"/>
  <c r="G1476" i="4"/>
  <c r="D1476" i="4"/>
  <c r="C1476" i="4"/>
  <c r="B1476" i="4"/>
  <c r="A1476" i="4"/>
  <c r="H1475" i="4"/>
  <c r="G1475" i="4"/>
  <c r="D1475" i="4"/>
  <c r="C1475" i="4"/>
  <c r="B1475" i="4"/>
  <c r="A1475" i="4"/>
  <c r="H1474" i="4"/>
  <c r="G1474" i="4"/>
  <c r="D1474" i="4"/>
  <c r="C1474" i="4"/>
  <c r="B1474" i="4"/>
  <c r="A1474" i="4"/>
  <c r="H1473" i="4"/>
  <c r="G1473" i="4"/>
  <c r="D1473" i="4"/>
  <c r="C1473" i="4"/>
  <c r="B1473" i="4"/>
  <c r="A1473" i="4"/>
  <c r="H1472" i="4"/>
  <c r="G1472" i="4"/>
  <c r="D1472" i="4"/>
  <c r="C1472" i="4"/>
  <c r="B1472" i="4"/>
  <c r="A1472" i="4"/>
  <c r="H1471" i="4"/>
  <c r="G1471" i="4"/>
  <c r="D1471" i="4"/>
  <c r="C1471" i="4"/>
  <c r="B1471" i="4"/>
  <c r="A1471" i="4"/>
  <c r="H1470" i="4"/>
  <c r="G1470" i="4"/>
  <c r="D1470" i="4"/>
  <c r="C1470" i="4"/>
  <c r="B1470" i="4"/>
  <c r="A1470" i="4"/>
  <c r="H1469" i="4"/>
  <c r="G1469" i="4"/>
  <c r="D1469" i="4"/>
  <c r="C1469" i="4"/>
  <c r="B1469" i="4"/>
  <c r="A1469" i="4"/>
  <c r="H1468" i="4"/>
  <c r="G1468" i="4"/>
  <c r="D1468" i="4"/>
  <c r="C1468" i="4"/>
  <c r="B1468" i="4"/>
  <c r="A1468" i="4"/>
  <c r="H1467" i="4"/>
  <c r="G1467" i="4"/>
  <c r="D1467" i="4"/>
  <c r="C1467" i="4"/>
  <c r="B1467" i="4"/>
  <c r="A1467" i="4"/>
  <c r="H1466" i="4"/>
  <c r="G1466" i="4"/>
  <c r="D1466" i="4"/>
  <c r="C1466" i="4"/>
  <c r="B1466" i="4"/>
  <c r="A1466" i="4"/>
  <c r="H1465" i="4"/>
  <c r="G1465" i="4"/>
  <c r="D1465" i="4"/>
  <c r="C1465" i="4"/>
  <c r="B1465" i="4"/>
  <c r="A1465" i="4"/>
  <c r="H1464" i="4"/>
  <c r="G1464" i="4"/>
  <c r="D1464" i="4"/>
  <c r="C1464" i="4"/>
  <c r="B1464" i="4"/>
  <c r="A1464" i="4"/>
  <c r="H1463" i="4"/>
  <c r="G1463" i="4"/>
  <c r="D1463" i="4"/>
  <c r="C1463" i="4"/>
  <c r="B1463" i="4"/>
  <c r="A1463" i="4"/>
  <c r="H1462" i="4"/>
  <c r="G1462" i="4"/>
  <c r="D1462" i="4"/>
  <c r="C1462" i="4"/>
  <c r="B1462" i="4"/>
  <c r="A1462" i="4"/>
  <c r="H1461" i="4"/>
  <c r="G1461" i="4"/>
  <c r="D1461" i="4"/>
  <c r="C1461" i="4"/>
  <c r="B1461" i="4"/>
  <c r="A1461" i="4"/>
  <c r="H1460" i="4"/>
  <c r="G1460" i="4"/>
  <c r="D1460" i="4"/>
  <c r="C1460" i="4"/>
  <c r="B1460" i="4"/>
  <c r="A1460" i="4"/>
  <c r="H1459" i="4"/>
  <c r="G1459" i="4"/>
  <c r="D1459" i="4"/>
  <c r="C1459" i="4"/>
  <c r="B1459" i="4"/>
  <c r="A1459" i="4"/>
  <c r="H1458" i="4"/>
  <c r="G1458" i="4"/>
  <c r="D1458" i="4"/>
  <c r="C1458" i="4"/>
  <c r="B1458" i="4"/>
  <c r="A1458" i="4"/>
  <c r="H1457" i="4"/>
  <c r="G1457" i="4"/>
  <c r="D1457" i="4"/>
  <c r="C1457" i="4"/>
  <c r="B1457" i="4"/>
  <c r="A1457" i="4"/>
  <c r="H1456" i="4"/>
  <c r="G1456" i="4"/>
  <c r="D1456" i="4"/>
  <c r="C1456" i="4"/>
  <c r="B1456" i="4"/>
  <c r="A1456" i="4"/>
  <c r="H1455" i="4"/>
  <c r="G1455" i="4"/>
  <c r="D1455" i="4"/>
  <c r="C1455" i="4"/>
  <c r="B1455" i="4"/>
  <c r="A1455" i="4"/>
  <c r="H1454" i="4"/>
  <c r="G1454" i="4"/>
  <c r="D1454" i="4"/>
  <c r="C1454" i="4"/>
  <c r="B1454" i="4"/>
  <c r="A1454" i="4"/>
  <c r="H1453" i="4"/>
  <c r="G1453" i="4"/>
  <c r="D1453" i="4"/>
  <c r="C1453" i="4"/>
  <c r="B1453" i="4"/>
  <c r="A1453" i="4"/>
  <c r="H1452" i="4"/>
  <c r="G1452" i="4"/>
  <c r="D1452" i="4"/>
  <c r="C1452" i="4"/>
  <c r="B1452" i="4"/>
  <c r="A1452" i="4"/>
  <c r="H1451" i="4"/>
  <c r="G1451" i="4"/>
  <c r="D1451" i="4"/>
  <c r="C1451" i="4"/>
  <c r="B1451" i="4"/>
  <c r="A1451" i="4"/>
  <c r="H1450" i="4"/>
  <c r="G1450" i="4"/>
  <c r="D1450" i="4"/>
  <c r="C1450" i="4"/>
  <c r="B1450" i="4"/>
  <c r="A1450" i="4"/>
  <c r="H1449" i="4"/>
  <c r="G1449" i="4"/>
  <c r="D1449" i="4"/>
  <c r="C1449" i="4"/>
  <c r="B1449" i="4"/>
  <c r="A1449" i="4"/>
  <c r="H1448" i="4"/>
  <c r="G1448" i="4"/>
  <c r="D1448" i="4"/>
  <c r="C1448" i="4"/>
  <c r="B1448" i="4"/>
  <c r="A1448" i="4"/>
  <c r="H1447" i="4"/>
  <c r="G1447" i="4"/>
  <c r="D1447" i="4"/>
  <c r="C1447" i="4"/>
  <c r="B1447" i="4"/>
  <c r="A1447" i="4"/>
  <c r="H1446" i="4"/>
  <c r="G1446" i="4"/>
  <c r="D1446" i="4"/>
  <c r="C1446" i="4"/>
  <c r="B1446" i="4"/>
  <c r="A1446" i="4"/>
  <c r="H1445" i="4"/>
  <c r="G1445" i="4"/>
  <c r="D1445" i="4"/>
  <c r="C1445" i="4"/>
  <c r="B1445" i="4"/>
  <c r="A1445" i="4"/>
  <c r="H1444" i="4"/>
  <c r="G1444" i="4"/>
  <c r="D1444" i="4"/>
  <c r="C1444" i="4"/>
  <c r="B1444" i="4"/>
  <c r="A1444" i="4"/>
  <c r="H1443" i="4"/>
  <c r="G1443" i="4"/>
  <c r="D1443" i="4"/>
  <c r="C1443" i="4"/>
  <c r="B1443" i="4"/>
  <c r="A1443" i="4"/>
  <c r="H1442" i="4"/>
  <c r="G1442" i="4"/>
  <c r="D1442" i="4"/>
  <c r="C1442" i="4"/>
  <c r="B1442" i="4"/>
  <c r="A1442" i="4"/>
  <c r="H1441" i="4"/>
  <c r="G1441" i="4"/>
  <c r="D1441" i="4"/>
  <c r="C1441" i="4"/>
  <c r="B1441" i="4"/>
  <c r="A1441" i="4"/>
  <c r="H1440" i="4"/>
  <c r="G1440" i="4"/>
  <c r="D1440" i="4"/>
  <c r="C1440" i="4"/>
  <c r="B1440" i="4"/>
  <c r="A1440" i="4"/>
  <c r="H1439" i="4"/>
  <c r="G1439" i="4"/>
  <c r="D1439" i="4"/>
  <c r="C1439" i="4"/>
  <c r="B1439" i="4"/>
  <c r="A1439" i="4"/>
  <c r="H1438" i="4"/>
  <c r="G1438" i="4"/>
  <c r="D1438" i="4"/>
  <c r="C1438" i="4"/>
  <c r="B1438" i="4"/>
  <c r="A1438" i="4"/>
  <c r="H1437" i="4"/>
  <c r="G1437" i="4"/>
  <c r="D1437" i="4"/>
  <c r="C1437" i="4"/>
  <c r="B1437" i="4"/>
  <c r="A1437" i="4"/>
  <c r="H1436" i="4"/>
  <c r="G1436" i="4"/>
  <c r="D1436" i="4"/>
  <c r="C1436" i="4"/>
  <c r="B1436" i="4"/>
  <c r="A1436" i="4"/>
  <c r="H1435" i="4"/>
  <c r="G1435" i="4"/>
  <c r="D1435" i="4"/>
  <c r="C1435" i="4"/>
  <c r="B1435" i="4"/>
  <c r="A1435" i="4"/>
  <c r="H1434" i="4"/>
  <c r="G1434" i="4"/>
  <c r="D1434" i="4"/>
  <c r="C1434" i="4"/>
  <c r="B1434" i="4"/>
  <c r="A1434" i="4"/>
  <c r="H1433" i="4"/>
  <c r="G1433" i="4"/>
  <c r="D1433" i="4"/>
  <c r="C1433" i="4"/>
  <c r="B1433" i="4"/>
  <c r="A1433" i="4"/>
  <c r="H1432" i="4"/>
  <c r="G1432" i="4"/>
  <c r="D1432" i="4"/>
  <c r="C1432" i="4"/>
  <c r="B1432" i="4"/>
  <c r="A1432" i="4"/>
  <c r="H1431" i="4"/>
  <c r="G1431" i="4"/>
  <c r="D1431" i="4"/>
  <c r="C1431" i="4"/>
  <c r="B1431" i="4"/>
  <c r="A1431" i="4"/>
  <c r="H1430" i="4"/>
  <c r="G1430" i="4"/>
  <c r="D1430" i="4"/>
  <c r="C1430" i="4"/>
  <c r="B1430" i="4"/>
  <c r="A1430" i="4"/>
  <c r="H1429" i="4"/>
  <c r="G1429" i="4"/>
  <c r="D1429" i="4"/>
  <c r="C1429" i="4"/>
  <c r="B1429" i="4"/>
  <c r="A1429" i="4"/>
  <c r="H1428" i="4"/>
  <c r="G1428" i="4"/>
  <c r="D1428" i="4"/>
  <c r="C1428" i="4"/>
  <c r="B1428" i="4"/>
  <c r="A1428" i="4"/>
  <c r="H1427" i="4"/>
  <c r="G1427" i="4"/>
  <c r="D1427" i="4"/>
  <c r="C1427" i="4"/>
  <c r="B1427" i="4"/>
  <c r="A1427" i="4"/>
  <c r="H1426" i="4"/>
  <c r="G1426" i="4"/>
  <c r="D1426" i="4"/>
  <c r="C1426" i="4"/>
  <c r="B1426" i="4"/>
  <c r="A1426" i="4"/>
  <c r="H1425" i="4"/>
  <c r="G1425" i="4"/>
  <c r="D1425" i="4"/>
  <c r="C1425" i="4"/>
  <c r="B1425" i="4"/>
  <c r="A1425" i="4"/>
  <c r="H1424" i="4"/>
  <c r="G1424" i="4"/>
  <c r="D1424" i="4"/>
  <c r="C1424" i="4"/>
  <c r="B1424" i="4"/>
  <c r="A1424" i="4"/>
  <c r="H1423" i="4"/>
  <c r="G1423" i="4"/>
  <c r="D1423" i="4"/>
  <c r="C1423" i="4"/>
  <c r="B1423" i="4"/>
  <c r="A1423" i="4"/>
  <c r="H1422" i="4"/>
  <c r="G1422" i="4"/>
  <c r="D1422" i="4"/>
  <c r="C1422" i="4"/>
  <c r="B1422" i="4"/>
  <c r="A1422" i="4"/>
  <c r="H1421" i="4"/>
  <c r="G1421" i="4"/>
  <c r="D1421" i="4"/>
  <c r="C1421" i="4"/>
  <c r="B1421" i="4"/>
  <c r="A1421" i="4"/>
  <c r="H1420" i="4"/>
  <c r="G1420" i="4"/>
  <c r="D1420" i="4"/>
  <c r="C1420" i="4"/>
  <c r="B1420" i="4"/>
  <c r="A1420" i="4"/>
  <c r="H1419" i="4"/>
  <c r="G1419" i="4"/>
  <c r="D1419" i="4"/>
  <c r="C1419" i="4"/>
  <c r="B1419" i="4"/>
  <c r="A1419" i="4"/>
  <c r="H1418" i="4"/>
  <c r="G1418" i="4"/>
  <c r="D1418" i="4"/>
  <c r="C1418" i="4"/>
  <c r="B1418" i="4"/>
  <c r="A1418" i="4"/>
  <c r="H1417" i="4"/>
  <c r="G1417" i="4"/>
  <c r="D1417" i="4"/>
  <c r="C1417" i="4"/>
  <c r="B1417" i="4"/>
  <c r="A1417" i="4"/>
  <c r="H1416" i="4"/>
  <c r="G1416" i="4"/>
  <c r="D1416" i="4"/>
  <c r="C1416" i="4"/>
  <c r="B1416" i="4"/>
  <c r="A1416" i="4"/>
  <c r="H1415" i="4"/>
  <c r="G1415" i="4"/>
  <c r="D1415" i="4"/>
  <c r="C1415" i="4"/>
  <c r="B1415" i="4"/>
  <c r="A1415" i="4"/>
  <c r="H1414" i="4"/>
  <c r="G1414" i="4"/>
  <c r="D1414" i="4"/>
  <c r="C1414" i="4"/>
  <c r="B1414" i="4"/>
  <c r="A1414" i="4"/>
  <c r="H1413" i="4"/>
  <c r="G1413" i="4"/>
  <c r="D1413" i="4"/>
  <c r="C1413" i="4"/>
  <c r="B1413" i="4"/>
  <c r="A1413" i="4"/>
  <c r="H1412" i="4"/>
  <c r="G1412" i="4"/>
  <c r="D1412" i="4"/>
  <c r="C1412" i="4"/>
  <c r="B1412" i="4"/>
  <c r="A1412" i="4"/>
  <c r="H1411" i="4"/>
  <c r="G1411" i="4"/>
  <c r="D1411" i="4"/>
  <c r="C1411" i="4"/>
  <c r="B1411" i="4"/>
  <c r="A1411" i="4"/>
  <c r="H1410" i="4"/>
  <c r="G1410" i="4"/>
  <c r="D1410" i="4"/>
  <c r="C1410" i="4"/>
  <c r="B1410" i="4"/>
  <c r="A1410" i="4"/>
  <c r="H1409" i="4"/>
  <c r="G1409" i="4"/>
  <c r="D1409" i="4"/>
  <c r="C1409" i="4"/>
  <c r="B1409" i="4"/>
  <c r="A1409" i="4"/>
  <c r="H1408" i="4"/>
  <c r="G1408" i="4"/>
  <c r="D1408" i="4"/>
  <c r="C1408" i="4"/>
  <c r="B1408" i="4"/>
  <c r="A1408" i="4"/>
  <c r="H1407" i="4"/>
  <c r="G1407" i="4"/>
  <c r="D1407" i="4"/>
  <c r="C1407" i="4"/>
  <c r="B1407" i="4"/>
  <c r="A1407" i="4"/>
  <c r="H1406" i="4"/>
  <c r="G1406" i="4"/>
  <c r="D1406" i="4"/>
  <c r="C1406" i="4"/>
  <c r="B1406" i="4"/>
  <c r="A1406" i="4"/>
  <c r="H1405" i="4"/>
  <c r="G1405" i="4"/>
  <c r="D1405" i="4"/>
  <c r="C1405" i="4"/>
  <c r="B1405" i="4"/>
  <c r="A1405" i="4"/>
  <c r="H1404" i="4"/>
  <c r="G1404" i="4"/>
  <c r="D1404" i="4"/>
  <c r="C1404" i="4"/>
  <c r="B1404" i="4"/>
  <c r="A1404" i="4"/>
  <c r="H1403" i="4"/>
  <c r="G1403" i="4"/>
  <c r="D1403" i="4"/>
  <c r="C1403" i="4"/>
  <c r="B1403" i="4"/>
  <c r="A1403" i="4"/>
  <c r="H1402" i="4"/>
  <c r="G1402" i="4"/>
  <c r="D1402" i="4"/>
  <c r="C1402" i="4"/>
  <c r="B1402" i="4"/>
  <c r="A1402" i="4"/>
  <c r="H1401" i="4"/>
  <c r="G1401" i="4"/>
  <c r="D1401" i="4"/>
  <c r="C1401" i="4"/>
  <c r="B1401" i="4"/>
  <c r="A1401" i="4"/>
  <c r="H1400" i="4"/>
  <c r="G1400" i="4"/>
  <c r="D1400" i="4"/>
  <c r="C1400" i="4"/>
  <c r="B1400" i="4"/>
  <c r="A1400" i="4"/>
  <c r="H1399" i="4"/>
  <c r="G1399" i="4"/>
  <c r="D1399" i="4"/>
  <c r="C1399" i="4"/>
  <c r="B1399" i="4"/>
  <c r="A1399" i="4"/>
  <c r="H1398" i="4"/>
  <c r="G1398" i="4"/>
  <c r="D1398" i="4"/>
  <c r="C1398" i="4"/>
  <c r="B1398" i="4"/>
  <c r="A1398" i="4"/>
  <c r="H1397" i="4"/>
  <c r="G1397" i="4"/>
  <c r="D1397" i="4"/>
  <c r="C1397" i="4"/>
  <c r="B1397" i="4"/>
  <c r="A1397" i="4"/>
  <c r="H1396" i="4"/>
  <c r="G1396" i="4"/>
  <c r="D1396" i="4"/>
  <c r="C1396" i="4"/>
  <c r="B1396" i="4"/>
  <c r="A1396" i="4"/>
  <c r="H1395" i="4"/>
  <c r="G1395" i="4"/>
  <c r="D1395" i="4"/>
  <c r="C1395" i="4"/>
  <c r="B1395" i="4"/>
  <c r="A1395" i="4"/>
  <c r="H1394" i="4"/>
  <c r="G1394" i="4"/>
  <c r="D1394" i="4"/>
  <c r="C1394" i="4"/>
  <c r="B1394" i="4"/>
  <c r="A1394" i="4"/>
  <c r="H1393" i="4"/>
  <c r="G1393" i="4"/>
  <c r="D1393" i="4"/>
  <c r="C1393" i="4"/>
  <c r="B1393" i="4"/>
  <c r="A1393" i="4"/>
  <c r="H1392" i="4"/>
  <c r="G1392" i="4"/>
  <c r="D1392" i="4"/>
  <c r="C1392" i="4"/>
  <c r="B1392" i="4"/>
  <c r="A1392" i="4"/>
  <c r="H1391" i="4"/>
  <c r="G1391" i="4"/>
  <c r="D1391" i="4"/>
  <c r="C1391" i="4"/>
  <c r="B1391" i="4"/>
  <c r="A1391" i="4"/>
  <c r="H1390" i="4"/>
  <c r="G1390" i="4"/>
  <c r="D1390" i="4"/>
  <c r="C1390" i="4"/>
  <c r="B1390" i="4"/>
  <c r="A1390" i="4"/>
  <c r="H1389" i="4"/>
  <c r="G1389" i="4"/>
  <c r="D1389" i="4"/>
  <c r="C1389" i="4"/>
  <c r="B1389" i="4"/>
  <c r="A1389" i="4"/>
  <c r="H1388" i="4"/>
  <c r="G1388" i="4"/>
  <c r="D1388" i="4"/>
  <c r="C1388" i="4"/>
  <c r="B1388" i="4"/>
  <c r="A1388" i="4"/>
  <c r="H1387" i="4"/>
  <c r="G1387" i="4"/>
  <c r="D1387" i="4"/>
  <c r="C1387" i="4"/>
  <c r="B1387" i="4"/>
  <c r="A1387" i="4"/>
  <c r="H1386" i="4"/>
  <c r="G1386" i="4"/>
  <c r="D1386" i="4"/>
  <c r="C1386" i="4"/>
  <c r="B1386" i="4"/>
  <c r="A1386" i="4"/>
  <c r="H1385" i="4"/>
  <c r="G1385" i="4"/>
  <c r="D1385" i="4"/>
  <c r="C1385" i="4"/>
  <c r="B1385" i="4"/>
  <c r="A1385" i="4"/>
  <c r="H1384" i="4"/>
  <c r="G1384" i="4"/>
  <c r="D1384" i="4"/>
  <c r="C1384" i="4"/>
  <c r="B1384" i="4"/>
  <c r="A1384" i="4"/>
  <c r="H1383" i="4"/>
  <c r="G1383" i="4"/>
  <c r="D1383" i="4"/>
  <c r="C1383" i="4"/>
  <c r="B1383" i="4"/>
  <c r="A1383" i="4"/>
  <c r="H1382" i="4"/>
  <c r="G1382" i="4"/>
  <c r="D1382" i="4"/>
  <c r="C1382" i="4"/>
  <c r="B1382" i="4"/>
  <c r="A1382" i="4"/>
  <c r="H1381" i="4"/>
  <c r="G1381" i="4"/>
  <c r="D1381" i="4"/>
  <c r="C1381" i="4"/>
  <c r="B1381" i="4"/>
  <c r="A1381" i="4"/>
  <c r="H1380" i="4"/>
  <c r="G1380" i="4"/>
  <c r="D1380" i="4"/>
  <c r="C1380" i="4"/>
  <c r="B1380" i="4"/>
  <c r="A1380" i="4"/>
  <c r="H1379" i="4"/>
  <c r="G1379" i="4"/>
  <c r="D1379" i="4"/>
  <c r="C1379" i="4"/>
  <c r="B1379" i="4"/>
  <c r="A1379" i="4"/>
  <c r="H1378" i="4"/>
  <c r="G1378" i="4"/>
  <c r="D1378" i="4"/>
  <c r="C1378" i="4"/>
  <c r="B1378" i="4"/>
  <c r="A1378" i="4"/>
  <c r="H1377" i="4"/>
  <c r="G1377" i="4"/>
  <c r="D1377" i="4"/>
  <c r="C1377" i="4"/>
  <c r="B1377" i="4"/>
  <c r="A1377" i="4"/>
  <c r="H1376" i="4"/>
  <c r="G1376" i="4"/>
  <c r="D1376" i="4"/>
  <c r="C1376" i="4"/>
  <c r="B1376" i="4"/>
  <c r="A1376" i="4"/>
  <c r="H1375" i="4"/>
  <c r="G1375" i="4"/>
  <c r="D1375" i="4"/>
  <c r="C1375" i="4"/>
  <c r="B1375" i="4"/>
  <c r="A1375" i="4"/>
  <c r="H1374" i="4"/>
  <c r="G1374" i="4"/>
  <c r="D1374" i="4"/>
  <c r="C1374" i="4"/>
  <c r="B1374" i="4"/>
  <c r="A1374" i="4"/>
  <c r="H1373" i="4"/>
  <c r="G1373" i="4"/>
  <c r="D1373" i="4"/>
  <c r="C1373" i="4"/>
  <c r="B1373" i="4"/>
  <c r="A1373" i="4"/>
  <c r="H1372" i="4"/>
  <c r="G1372" i="4"/>
  <c r="D1372" i="4"/>
  <c r="C1372" i="4"/>
  <c r="B1372" i="4"/>
  <c r="A1372" i="4"/>
  <c r="H1371" i="4"/>
  <c r="G1371" i="4"/>
  <c r="D1371" i="4"/>
  <c r="C1371" i="4"/>
  <c r="B1371" i="4"/>
  <c r="A1371" i="4"/>
  <c r="H1370" i="4"/>
  <c r="G1370" i="4"/>
  <c r="D1370" i="4"/>
  <c r="C1370" i="4"/>
  <c r="B1370" i="4"/>
  <c r="A1370" i="4"/>
  <c r="H1369" i="4"/>
  <c r="G1369" i="4"/>
  <c r="D1369" i="4"/>
  <c r="C1369" i="4"/>
  <c r="B1369" i="4"/>
  <c r="A1369" i="4"/>
  <c r="H1368" i="4"/>
  <c r="G1368" i="4"/>
  <c r="D1368" i="4"/>
  <c r="C1368" i="4"/>
  <c r="B1368" i="4"/>
  <c r="A1368" i="4"/>
  <c r="H1367" i="4"/>
  <c r="G1367" i="4"/>
  <c r="D1367" i="4"/>
  <c r="C1367" i="4"/>
  <c r="B1367" i="4"/>
  <c r="A1367" i="4"/>
  <c r="H1366" i="4"/>
  <c r="G1366" i="4"/>
  <c r="D1366" i="4"/>
  <c r="C1366" i="4"/>
  <c r="B1366" i="4"/>
  <c r="A1366" i="4"/>
  <c r="H1365" i="4"/>
  <c r="G1365" i="4"/>
  <c r="D1365" i="4"/>
  <c r="C1365" i="4"/>
  <c r="B1365" i="4"/>
  <c r="A1365" i="4"/>
  <c r="H1364" i="4"/>
  <c r="G1364" i="4"/>
  <c r="D1364" i="4"/>
  <c r="C1364" i="4"/>
  <c r="B1364" i="4"/>
  <c r="A1364" i="4"/>
  <c r="H1363" i="4"/>
  <c r="G1363" i="4"/>
  <c r="D1363" i="4"/>
  <c r="C1363" i="4"/>
  <c r="B1363" i="4"/>
  <c r="A1363" i="4"/>
  <c r="H1362" i="4"/>
  <c r="G1362" i="4"/>
  <c r="D1362" i="4"/>
  <c r="C1362" i="4"/>
  <c r="B1362" i="4"/>
  <c r="A1362" i="4"/>
  <c r="H1361" i="4"/>
  <c r="G1361" i="4"/>
  <c r="D1361" i="4"/>
  <c r="C1361" i="4"/>
  <c r="B1361" i="4"/>
  <c r="A1361" i="4"/>
  <c r="H1360" i="4"/>
  <c r="G1360" i="4"/>
  <c r="D1360" i="4"/>
  <c r="C1360" i="4"/>
  <c r="B1360" i="4"/>
  <c r="A1360" i="4"/>
  <c r="H1359" i="4"/>
  <c r="G1359" i="4"/>
  <c r="D1359" i="4"/>
  <c r="C1359" i="4"/>
  <c r="B1359" i="4"/>
  <c r="A1359" i="4"/>
  <c r="H1358" i="4"/>
  <c r="G1358" i="4"/>
  <c r="D1358" i="4"/>
  <c r="C1358" i="4"/>
  <c r="B1358" i="4"/>
  <c r="A1358" i="4"/>
  <c r="H1357" i="4"/>
  <c r="G1357" i="4"/>
  <c r="D1357" i="4"/>
  <c r="C1357" i="4"/>
  <c r="B1357" i="4"/>
  <c r="A1357" i="4"/>
  <c r="H1356" i="4"/>
  <c r="G1356" i="4"/>
  <c r="D1356" i="4"/>
  <c r="C1356" i="4"/>
  <c r="B1356" i="4"/>
  <c r="A1356" i="4"/>
  <c r="H1355" i="4"/>
  <c r="G1355" i="4"/>
  <c r="D1355" i="4"/>
  <c r="C1355" i="4"/>
  <c r="B1355" i="4"/>
  <c r="A1355" i="4"/>
  <c r="H1354" i="4"/>
  <c r="G1354" i="4"/>
  <c r="D1354" i="4"/>
  <c r="C1354" i="4"/>
  <c r="B1354" i="4"/>
  <c r="A1354" i="4"/>
  <c r="H1353" i="4"/>
  <c r="G1353" i="4"/>
  <c r="D1353" i="4"/>
  <c r="C1353" i="4"/>
  <c r="B1353" i="4"/>
  <c r="A1353" i="4"/>
  <c r="H1352" i="4"/>
  <c r="G1352" i="4"/>
  <c r="D1352" i="4"/>
  <c r="C1352" i="4"/>
  <c r="B1352" i="4"/>
  <c r="A1352" i="4"/>
  <c r="H1351" i="4"/>
  <c r="G1351" i="4"/>
  <c r="D1351" i="4"/>
  <c r="C1351" i="4"/>
  <c r="B1351" i="4"/>
  <c r="A1351" i="4"/>
  <c r="H1350" i="4"/>
  <c r="G1350" i="4"/>
  <c r="D1350" i="4"/>
  <c r="C1350" i="4"/>
  <c r="B1350" i="4"/>
  <c r="A1350" i="4"/>
  <c r="H1349" i="4"/>
  <c r="G1349" i="4"/>
  <c r="D1349" i="4"/>
  <c r="C1349" i="4"/>
  <c r="B1349" i="4"/>
  <c r="A1349" i="4"/>
  <c r="H1348" i="4"/>
  <c r="G1348" i="4"/>
  <c r="D1348" i="4"/>
  <c r="C1348" i="4"/>
  <c r="B1348" i="4"/>
  <c r="A1348" i="4"/>
  <c r="H1347" i="4"/>
  <c r="G1347" i="4"/>
  <c r="D1347" i="4"/>
  <c r="C1347" i="4"/>
  <c r="B1347" i="4"/>
  <c r="A1347" i="4"/>
  <c r="H1346" i="4"/>
  <c r="G1346" i="4"/>
  <c r="D1346" i="4"/>
  <c r="C1346" i="4"/>
  <c r="B1346" i="4"/>
  <c r="A1346" i="4"/>
  <c r="H1345" i="4"/>
  <c r="G1345" i="4"/>
  <c r="D1345" i="4"/>
  <c r="C1345" i="4"/>
  <c r="B1345" i="4"/>
  <c r="A1345" i="4"/>
  <c r="H1344" i="4"/>
  <c r="G1344" i="4"/>
  <c r="D1344" i="4"/>
  <c r="C1344" i="4"/>
  <c r="B1344" i="4"/>
  <c r="A1344" i="4"/>
  <c r="H1343" i="4"/>
  <c r="G1343" i="4"/>
  <c r="D1343" i="4"/>
  <c r="C1343" i="4"/>
  <c r="B1343" i="4"/>
  <c r="A1343" i="4"/>
  <c r="H1342" i="4"/>
  <c r="G1342" i="4"/>
  <c r="D1342" i="4"/>
  <c r="C1342" i="4"/>
  <c r="B1342" i="4"/>
  <c r="A1342" i="4"/>
  <c r="H1341" i="4"/>
  <c r="G1341" i="4"/>
  <c r="D1341" i="4"/>
  <c r="C1341" i="4"/>
  <c r="B1341" i="4"/>
  <c r="A1341" i="4"/>
  <c r="H1340" i="4"/>
  <c r="G1340" i="4"/>
  <c r="D1340" i="4"/>
  <c r="C1340" i="4"/>
  <c r="B1340" i="4"/>
  <c r="A1340" i="4"/>
  <c r="H1339" i="4"/>
  <c r="G1339" i="4"/>
  <c r="D1339" i="4"/>
  <c r="C1339" i="4"/>
  <c r="B1339" i="4"/>
  <c r="A1339" i="4"/>
  <c r="H1338" i="4"/>
  <c r="G1338" i="4"/>
  <c r="D1338" i="4"/>
  <c r="C1338" i="4"/>
  <c r="B1338" i="4"/>
  <c r="A1338" i="4"/>
  <c r="H1337" i="4"/>
  <c r="G1337" i="4"/>
  <c r="D1337" i="4"/>
  <c r="C1337" i="4"/>
  <c r="B1337" i="4"/>
  <c r="A1337" i="4"/>
  <c r="H1336" i="4"/>
  <c r="G1336" i="4"/>
  <c r="D1336" i="4"/>
  <c r="C1336" i="4"/>
  <c r="B1336" i="4"/>
  <c r="A1336" i="4"/>
  <c r="H1335" i="4"/>
  <c r="G1335" i="4"/>
  <c r="D1335" i="4"/>
  <c r="C1335" i="4"/>
  <c r="B1335" i="4"/>
  <c r="A1335" i="4"/>
  <c r="H1334" i="4"/>
  <c r="G1334" i="4"/>
  <c r="D1334" i="4"/>
  <c r="C1334" i="4"/>
  <c r="B1334" i="4"/>
  <c r="A1334" i="4"/>
  <c r="H1333" i="4"/>
  <c r="G1333" i="4"/>
  <c r="D1333" i="4"/>
  <c r="C1333" i="4"/>
  <c r="B1333" i="4"/>
  <c r="A1333" i="4"/>
  <c r="H1332" i="4"/>
  <c r="G1332" i="4"/>
  <c r="D1332" i="4"/>
  <c r="C1332" i="4"/>
  <c r="B1332" i="4"/>
  <c r="A1332" i="4"/>
  <c r="H1331" i="4"/>
  <c r="G1331" i="4"/>
  <c r="D1331" i="4"/>
  <c r="C1331" i="4"/>
  <c r="B1331" i="4"/>
  <c r="A1331" i="4"/>
  <c r="H1330" i="4"/>
  <c r="G1330" i="4"/>
  <c r="D1330" i="4"/>
  <c r="C1330" i="4"/>
  <c r="B1330" i="4"/>
  <c r="A1330" i="4"/>
  <c r="H1329" i="4"/>
  <c r="G1329" i="4"/>
  <c r="D1329" i="4"/>
  <c r="C1329" i="4"/>
  <c r="B1329" i="4"/>
  <c r="A1329" i="4"/>
  <c r="H1328" i="4"/>
  <c r="G1328" i="4"/>
  <c r="D1328" i="4"/>
  <c r="C1328" i="4"/>
  <c r="B1328" i="4"/>
  <c r="A1328" i="4"/>
  <c r="H1327" i="4"/>
  <c r="G1327" i="4"/>
  <c r="D1327" i="4"/>
  <c r="C1327" i="4"/>
  <c r="B1327" i="4"/>
  <c r="A1327" i="4"/>
  <c r="H1326" i="4"/>
  <c r="G1326" i="4"/>
  <c r="D1326" i="4"/>
  <c r="C1326" i="4"/>
  <c r="B1326" i="4"/>
  <c r="A1326" i="4"/>
  <c r="H1325" i="4"/>
  <c r="G1325" i="4"/>
  <c r="D1325" i="4"/>
  <c r="C1325" i="4"/>
  <c r="B1325" i="4"/>
  <c r="A1325" i="4"/>
  <c r="H1324" i="4"/>
  <c r="G1324" i="4"/>
  <c r="D1324" i="4"/>
  <c r="C1324" i="4"/>
  <c r="B1324" i="4"/>
  <c r="A1324" i="4"/>
  <c r="H1323" i="4"/>
  <c r="G1323" i="4"/>
  <c r="D1323" i="4"/>
  <c r="C1323" i="4"/>
  <c r="B1323" i="4"/>
  <c r="A1323" i="4"/>
  <c r="H1322" i="4"/>
  <c r="G1322" i="4"/>
  <c r="D1322" i="4"/>
  <c r="C1322" i="4"/>
  <c r="B1322" i="4"/>
  <c r="A1322" i="4"/>
  <c r="H1321" i="4"/>
  <c r="G1321" i="4"/>
  <c r="D1321" i="4"/>
  <c r="C1321" i="4"/>
  <c r="B1321" i="4"/>
  <c r="A1321" i="4"/>
  <c r="H1320" i="4"/>
  <c r="G1320" i="4"/>
  <c r="D1320" i="4"/>
  <c r="C1320" i="4"/>
  <c r="B1320" i="4"/>
  <c r="A1320" i="4"/>
  <c r="H1319" i="4"/>
  <c r="G1319" i="4"/>
  <c r="D1319" i="4"/>
  <c r="C1319" i="4"/>
  <c r="B1319" i="4"/>
  <c r="A1319" i="4"/>
  <c r="H1318" i="4"/>
  <c r="G1318" i="4"/>
  <c r="D1318" i="4"/>
  <c r="C1318" i="4"/>
  <c r="B1318" i="4"/>
  <c r="A1318" i="4"/>
  <c r="H1317" i="4"/>
  <c r="G1317" i="4"/>
  <c r="D1317" i="4"/>
  <c r="C1317" i="4"/>
  <c r="B1317" i="4"/>
  <c r="A1317" i="4"/>
  <c r="H1316" i="4"/>
  <c r="G1316" i="4"/>
  <c r="D1316" i="4"/>
  <c r="C1316" i="4"/>
  <c r="B1316" i="4"/>
  <c r="A1316" i="4"/>
  <c r="H1315" i="4"/>
  <c r="G1315" i="4"/>
  <c r="D1315" i="4"/>
  <c r="C1315" i="4"/>
  <c r="B1315" i="4"/>
  <c r="A1315" i="4"/>
  <c r="H1314" i="4"/>
  <c r="G1314" i="4"/>
  <c r="D1314" i="4"/>
  <c r="C1314" i="4"/>
  <c r="B1314" i="4"/>
  <c r="A1314" i="4"/>
  <c r="H1313" i="4"/>
  <c r="G1313" i="4"/>
  <c r="D1313" i="4"/>
  <c r="C1313" i="4"/>
  <c r="B1313" i="4"/>
  <c r="A1313" i="4"/>
  <c r="H1312" i="4"/>
  <c r="G1312" i="4"/>
  <c r="D1312" i="4"/>
  <c r="C1312" i="4"/>
  <c r="B1312" i="4"/>
  <c r="A1312" i="4"/>
  <c r="H1311" i="4"/>
  <c r="G1311" i="4"/>
  <c r="D1311" i="4"/>
  <c r="C1311" i="4"/>
  <c r="B1311" i="4"/>
  <c r="A1311" i="4"/>
  <c r="H1310" i="4"/>
  <c r="G1310" i="4"/>
  <c r="D1310" i="4"/>
  <c r="C1310" i="4"/>
  <c r="B1310" i="4"/>
  <c r="A1310" i="4"/>
  <c r="H1309" i="4"/>
  <c r="G1309" i="4"/>
  <c r="D1309" i="4"/>
  <c r="C1309" i="4"/>
  <c r="B1309" i="4"/>
  <c r="A1309" i="4"/>
  <c r="H1308" i="4"/>
  <c r="G1308" i="4"/>
  <c r="D1308" i="4"/>
  <c r="C1308" i="4"/>
  <c r="B1308" i="4"/>
  <c r="A1308" i="4"/>
  <c r="H96" i="4"/>
  <c r="G96" i="4"/>
  <c r="D96" i="4"/>
  <c r="C96" i="4"/>
  <c r="B96" i="4"/>
  <c r="A96" i="4"/>
  <c r="H95" i="4"/>
  <c r="G95" i="4"/>
  <c r="D95" i="4"/>
  <c r="C95" i="4"/>
  <c r="B95" i="4"/>
  <c r="A95" i="4"/>
  <c r="H94" i="4"/>
  <c r="G94" i="4"/>
  <c r="D94" i="4"/>
  <c r="C94" i="4"/>
  <c r="B94" i="4"/>
  <c r="A94" i="4"/>
  <c r="H93" i="4"/>
  <c r="G93" i="4"/>
  <c r="D93" i="4"/>
  <c r="C93" i="4"/>
  <c r="B93" i="4"/>
  <c r="A93" i="4"/>
  <c r="H92" i="4"/>
  <c r="G92" i="4"/>
  <c r="D92" i="4"/>
  <c r="C92" i="4"/>
  <c r="B92" i="4"/>
  <c r="A92" i="4"/>
  <c r="H91" i="4"/>
  <c r="G91" i="4"/>
  <c r="D91" i="4"/>
  <c r="C91" i="4"/>
  <c r="B91" i="4"/>
  <c r="A91" i="4"/>
  <c r="H90" i="4"/>
  <c r="G90" i="4"/>
  <c r="D90" i="4"/>
  <c r="C90" i="4"/>
  <c r="B90" i="4"/>
  <c r="A90" i="4"/>
  <c r="H89" i="4"/>
  <c r="G89" i="4"/>
  <c r="D89" i="4"/>
  <c r="C89" i="4"/>
  <c r="B89" i="4"/>
  <c r="A89" i="4"/>
  <c r="H88" i="4"/>
  <c r="G88" i="4"/>
  <c r="D88" i="4"/>
  <c r="C88" i="4"/>
  <c r="B88" i="4"/>
  <c r="A88" i="4"/>
  <c r="H87" i="4"/>
  <c r="G87" i="4"/>
  <c r="D87" i="4"/>
  <c r="C87" i="4"/>
  <c r="B87" i="4"/>
  <c r="A87" i="4"/>
  <c r="H86" i="4"/>
  <c r="G86" i="4"/>
  <c r="D86" i="4"/>
  <c r="C86" i="4"/>
  <c r="B86" i="4"/>
  <c r="A86" i="4"/>
  <c r="H85" i="4"/>
  <c r="G85" i="4"/>
  <c r="D85" i="4"/>
  <c r="C85" i="4"/>
  <c r="B85" i="4"/>
  <c r="A85" i="4"/>
  <c r="H84" i="4"/>
  <c r="G84" i="4"/>
  <c r="D84" i="4"/>
  <c r="C84" i="4"/>
  <c r="B84" i="4"/>
  <c r="A84" i="4"/>
  <c r="H83" i="4"/>
  <c r="G83" i="4"/>
  <c r="D83" i="4"/>
  <c r="C83" i="4"/>
  <c r="B83" i="4"/>
  <c r="A83" i="4"/>
  <c r="H82" i="4"/>
  <c r="G82" i="4"/>
  <c r="D82" i="4"/>
  <c r="C82" i="4"/>
  <c r="B82" i="4"/>
  <c r="A82" i="4"/>
  <c r="H81" i="4"/>
  <c r="G81" i="4"/>
  <c r="D81" i="4"/>
  <c r="C81" i="4"/>
  <c r="B81" i="4"/>
  <c r="A81" i="4"/>
  <c r="H80" i="4"/>
  <c r="G80" i="4"/>
  <c r="D80" i="4"/>
  <c r="C80" i="4"/>
  <c r="B80" i="4"/>
  <c r="A80" i="4"/>
  <c r="H79" i="4"/>
  <c r="G79" i="4"/>
  <c r="D79" i="4"/>
  <c r="C79" i="4"/>
  <c r="B79" i="4"/>
  <c r="A79" i="4"/>
  <c r="H78" i="4"/>
  <c r="G78" i="4"/>
  <c r="D78" i="4"/>
  <c r="C78" i="4"/>
  <c r="B78" i="4"/>
  <c r="A78" i="4"/>
  <c r="H77" i="4"/>
  <c r="G77" i="4"/>
  <c r="D77" i="4"/>
  <c r="C77" i="4"/>
  <c r="B77" i="4"/>
  <c r="A77" i="4"/>
  <c r="H76" i="4"/>
  <c r="G76" i="4"/>
  <c r="D76" i="4"/>
  <c r="C76" i="4"/>
  <c r="B76" i="4"/>
  <c r="A76" i="4"/>
  <c r="H75" i="4"/>
  <c r="G75" i="4"/>
  <c r="D75" i="4"/>
  <c r="C75" i="4"/>
  <c r="B75" i="4"/>
  <c r="A75" i="4"/>
  <c r="H74" i="4"/>
  <c r="G74" i="4"/>
  <c r="D74" i="4"/>
  <c r="C74" i="4"/>
  <c r="B74" i="4"/>
  <c r="A74" i="4"/>
  <c r="H73" i="4"/>
  <c r="G73" i="4"/>
  <c r="D73" i="4"/>
  <c r="C73" i="4"/>
  <c r="B73" i="4"/>
  <c r="A73" i="4"/>
  <c r="H72" i="4"/>
  <c r="G72" i="4"/>
  <c r="D72" i="4"/>
  <c r="C72" i="4"/>
  <c r="B72" i="4"/>
  <c r="A72" i="4"/>
  <c r="H71" i="4"/>
  <c r="G71" i="4"/>
  <c r="D71" i="4"/>
  <c r="C71" i="4"/>
  <c r="B71" i="4"/>
  <c r="A71" i="4"/>
  <c r="H70" i="4"/>
  <c r="G70" i="4"/>
  <c r="D70" i="4"/>
  <c r="C70" i="4"/>
  <c r="B70" i="4"/>
  <c r="A70" i="4"/>
  <c r="H69" i="4"/>
  <c r="G69" i="4"/>
  <c r="D69" i="4"/>
  <c r="C69" i="4"/>
  <c r="B69" i="4"/>
  <c r="A69" i="4"/>
  <c r="H68" i="4"/>
  <c r="G68" i="4"/>
  <c r="D68" i="4"/>
  <c r="C68" i="4"/>
  <c r="B68" i="4"/>
  <c r="A68" i="4"/>
  <c r="H67" i="4"/>
  <c r="G67" i="4"/>
  <c r="D67" i="4"/>
  <c r="C67" i="4"/>
  <c r="B67" i="4"/>
  <c r="A67" i="4"/>
  <c r="H66" i="4"/>
  <c r="G66" i="4"/>
  <c r="D66" i="4"/>
  <c r="C66" i="4"/>
  <c r="B66" i="4"/>
  <c r="A66" i="4"/>
  <c r="H65" i="4"/>
  <c r="G65" i="4"/>
  <c r="D65" i="4"/>
  <c r="C65" i="4"/>
  <c r="B65" i="4"/>
  <c r="A65" i="4"/>
  <c r="H64" i="4"/>
  <c r="G64" i="4"/>
  <c r="D64" i="4"/>
  <c r="C64" i="4"/>
  <c r="B64" i="4"/>
  <c r="A64" i="4"/>
  <c r="H63" i="4"/>
  <c r="G63" i="4"/>
  <c r="D63" i="4"/>
  <c r="C63" i="4"/>
  <c r="B63" i="4"/>
  <c r="A63" i="4"/>
  <c r="H62" i="4"/>
  <c r="G62" i="4"/>
  <c r="D62" i="4"/>
  <c r="C62" i="4"/>
  <c r="B62" i="4"/>
  <c r="A62" i="4"/>
  <c r="H61" i="4"/>
  <c r="G61" i="4"/>
  <c r="D61" i="4"/>
  <c r="C61" i="4"/>
  <c r="B61" i="4"/>
  <c r="A61" i="4"/>
  <c r="H60" i="4"/>
  <c r="G60" i="4"/>
  <c r="D60" i="4"/>
  <c r="C60" i="4"/>
  <c r="B60" i="4"/>
  <c r="A60" i="4"/>
  <c r="H59" i="4"/>
  <c r="G59" i="4"/>
  <c r="D59" i="4"/>
  <c r="C59" i="4"/>
  <c r="B59" i="4"/>
  <c r="A59" i="4"/>
  <c r="H58" i="4"/>
  <c r="G58" i="4"/>
  <c r="D58" i="4"/>
  <c r="C58" i="4"/>
  <c r="B58" i="4"/>
  <c r="A58" i="4"/>
  <c r="H57" i="4"/>
  <c r="G57" i="4"/>
  <c r="D57" i="4"/>
  <c r="C57" i="4"/>
  <c r="B57" i="4"/>
  <c r="A57" i="4"/>
  <c r="H56" i="4"/>
  <c r="G56" i="4"/>
  <c r="D56" i="4"/>
  <c r="C56" i="4"/>
  <c r="B56" i="4"/>
  <c r="A56" i="4"/>
  <c r="H55" i="4"/>
  <c r="G55" i="4"/>
  <c r="D55" i="4"/>
  <c r="C55" i="4"/>
  <c r="B55" i="4"/>
  <c r="A55" i="4"/>
  <c r="H54" i="4"/>
  <c r="G54" i="4"/>
  <c r="D54" i="4"/>
  <c r="C54" i="4"/>
  <c r="B54" i="4"/>
  <c r="A54" i="4"/>
  <c r="H53" i="4"/>
  <c r="G53" i="4"/>
  <c r="D53" i="4"/>
  <c r="C53" i="4"/>
  <c r="B53" i="4"/>
  <c r="A53" i="4"/>
  <c r="H52" i="4"/>
  <c r="G52" i="4"/>
  <c r="D52" i="4"/>
  <c r="C52" i="4"/>
  <c r="B52" i="4"/>
  <c r="A52" i="4"/>
  <c r="H51" i="4"/>
  <c r="G51" i="4"/>
  <c r="D51" i="4"/>
  <c r="C51" i="4"/>
  <c r="B51" i="4"/>
  <c r="A51" i="4"/>
  <c r="H50" i="4"/>
  <c r="G50" i="4"/>
  <c r="D50" i="4"/>
  <c r="C50" i="4"/>
  <c r="B50" i="4"/>
  <c r="A50" i="4"/>
  <c r="H49" i="4"/>
  <c r="G49" i="4"/>
  <c r="D49" i="4"/>
  <c r="C49" i="4"/>
  <c r="B49" i="4"/>
  <c r="A49" i="4"/>
  <c r="H48" i="4"/>
  <c r="G48" i="4"/>
  <c r="D48" i="4"/>
  <c r="C48" i="4"/>
  <c r="B48" i="4"/>
  <c r="A48" i="4"/>
  <c r="H47" i="4"/>
  <c r="G47" i="4"/>
  <c r="D47" i="4"/>
  <c r="C47" i="4"/>
  <c r="B47" i="4"/>
  <c r="A47" i="4"/>
  <c r="H46" i="4"/>
  <c r="G46" i="4"/>
  <c r="D46" i="4"/>
  <c r="C46" i="4"/>
  <c r="B46" i="4"/>
  <c r="A46" i="4"/>
  <c r="H45" i="4"/>
  <c r="G45" i="4"/>
  <c r="D45" i="4"/>
  <c r="C45" i="4"/>
  <c r="B45" i="4"/>
  <c r="A45" i="4"/>
  <c r="H44" i="4"/>
  <c r="G44" i="4"/>
  <c r="D44" i="4"/>
  <c r="C44" i="4"/>
  <c r="B44" i="4"/>
  <c r="A44" i="4"/>
  <c r="H43" i="4"/>
  <c r="G43" i="4"/>
  <c r="D43" i="4"/>
  <c r="C43" i="4"/>
  <c r="B43" i="4"/>
  <c r="A43" i="4"/>
  <c r="H42" i="4"/>
  <c r="G42" i="4"/>
  <c r="D42" i="4"/>
  <c r="C42" i="4"/>
  <c r="B42" i="4"/>
  <c r="A42" i="4"/>
  <c r="H1307" i="4"/>
  <c r="G1307" i="4"/>
  <c r="D1307" i="4"/>
  <c r="C1307" i="4"/>
  <c r="B1307" i="4"/>
  <c r="A1307" i="4"/>
  <c r="H1306" i="4"/>
  <c r="G1306" i="4"/>
  <c r="D1306" i="4"/>
  <c r="C1306" i="4"/>
  <c r="B1306" i="4"/>
  <c r="A1306" i="4"/>
  <c r="H1305" i="4"/>
  <c r="G1305" i="4"/>
  <c r="D1305" i="4"/>
  <c r="C1305" i="4"/>
  <c r="B1305" i="4"/>
  <c r="A1305" i="4"/>
  <c r="H1304" i="4"/>
  <c r="G1304" i="4"/>
  <c r="D1304" i="4"/>
  <c r="C1304" i="4"/>
  <c r="B1304" i="4"/>
  <c r="A1304" i="4"/>
  <c r="H1303" i="4"/>
  <c r="G1303" i="4"/>
  <c r="D1303" i="4"/>
  <c r="C1303" i="4"/>
  <c r="B1303" i="4"/>
  <c r="A1303" i="4"/>
  <c r="H1302" i="4"/>
  <c r="G1302" i="4"/>
  <c r="D1302" i="4"/>
  <c r="C1302" i="4"/>
  <c r="B1302" i="4"/>
  <c r="A1302" i="4"/>
  <c r="H1301" i="4"/>
  <c r="G1301" i="4"/>
  <c r="D1301" i="4"/>
  <c r="C1301" i="4"/>
  <c r="B1301" i="4"/>
  <c r="A1301" i="4"/>
  <c r="H1300" i="4"/>
  <c r="G1300" i="4"/>
  <c r="D1300" i="4"/>
  <c r="C1300" i="4"/>
  <c r="B1300" i="4"/>
  <c r="A1300" i="4"/>
  <c r="H1299" i="4"/>
  <c r="G1299" i="4"/>
  <c r="D1299" i="4"/>
  <c r="C1299" i="4"/>
  <c r="B1299" i="4"/>
  <c r="A1299" i="4"/>
  <c r="H1298" i="4"/>
  <c r="G1298" i="4"/>
  <c r="D1298" i="4"/>
  <c r="C1298" i="4"/>
  <c r="B1298" i="4"/>
  <c r="A1298" i="4"/>
  <c r="H1297" i="4"/>
  <c r="G1297" i="4"/>
  <c r="D1297" i="4"/>
  <c r="C1297" i="4"/>
  <c r="B1297" i="4"/>
  <c r="A1297" i="4"/>
  <c r="H41" i="4"/>
  <c r="G41" i="4"/>
  <c r="D41" i="4"/>
  <c r="C41" i="4"/>
  <c r="B41" i="4"/>
  <c r="A41" i="4"/>
  <c r="H40" i="4"/>
  <c r="G40" i="4"/>
  <c r="D40" i="4"/>
  <c r="C40" i="4"/>
  <c r="B40" i="4"/>
  <c r="A40" i="4"/>
  <c r="H39" i="4"/>
  <c r="G39" i="4"/>
  <c r="D39" i="4"/>
  <c r="C39" i="4"/>
  <c r="B39" i="4"/>
  <c r="A39" i="4"/>
  <c r="H38" i="4"/>
  <c r="G38" i="4"/>
  <c r="D38" i="4"/>
  <c r="C38" i="4"/>
  <c r="B38" i="4"/>
  <c r="A38" i="4"/>
  <c r="H37" i="4"/>
  <c r="G37" i="4"/>
  <c r="D37" i="4"/>
  <c r="C37" i="4"/>
  <c r="B37" i="4"/>
  <c r="A37" i="4"/>
  <c r="H36" i="4"/>
  <c r="G36" i="4"/>
  <c r="D36" i="4"/>
  <c r="C36" i="4"/>
  <c r="B36" i="4"/>
  <c r="A36" i="4"/>
  <c r="H35" i="4"/>
  <c r="G35" i="4"/>
  <c r="D35" i="4"/>
  <c r="C35" i="4"/>
  <c r="B35" i="4"/>
  <c r="A35" i="4"/>
  <c r="H34" i="4"/>
  <c r="G34" i="4"/>
  <c r="D34" i="4"/>
  <c r="C34" i="4"/>
  <c r="B34" i="4"/>
  <c r="A34" i="4"/>
  <c r="H33" i="4"/>
  <c r="G33" i="4"/>
  <c r="D33" i="4"/>
  <c r="C33" i="4"/>
  <c r="B33" i="4"/>
  <c r="A33" i="4"/>
  <c r="H32" i="4"/>
  <c r="G32" i="4"/>
  <c r="D32" i="4"/>
  <c r="C32" i="4"/>
  <c r="B32" i="4"/>
  <c r="A32" i="4"/>
  <c r="H31" i="4"/>
  <c r="G31" i="4"/>
  <c r="D31" i="4"/>
  <c r="C31" i="4"/>
  <c r="B31" i="4"/>
  <c r="A31" i="4"/>
  <c r="H30" i="4"/>
  <c r="G30" i="4"/>
  <c r="D30" i="4"/>
  <c r="C30" i="4"/>
  <c r="B30" i="4"/>
  <c r="A30" i="4"/>
  <c r="H29" i="4"/>
  <c r="G29" i="4"/>
  <c r="D29" i="4"/>
  <c r="C29" i="4"/>
  <c r="B29" i="4"/>
  <c r="A29" i="4"/>
  <c r="H28" i="4"/>
  <c r="G28" i="4"/>
  <c r="D28" i="4"/>
  <c r="C28" i="4"/>
  <c r="B28" i="4"/>
  <c r="A28" i="4"/>
  <c r="H27" i="4"/>
  <c r="G27" i="4"/>
  <c r="D27" i="4"/>
  <c r="C27" i="4"/>
  <c r="B27" i="4"/>
  <c r="A27" i="4"/>
  <c r="H26" i="4"/>
  <c r="G26" i="4"/>
  <c r="D26" i="4"/>
  <c r="C26" i="4"/>
  <c r="B26" i="4"/>
  <c r="A26" i="4"/>
  <c r="H25" i="4"/>
  <c r="G25" i="4"/>
  <c r="D25" i="4"/>
  <c r="C25" i="4"/>
  <c r="B25" i="4"/>
  <c r="A25" i="4"/>
  <c r="H24" i="4"/>
  <c r="G24" i="4"/>
  <c r="D24" i="4"/>
  <c r="C24" i="4"/>
  <c r="B24" i="4"/>
  <c r="A24" i="4"/>
  <c r="H23" i="4"/>
  <c r="G23" i="4"/>
  <c r="D23" i="4"/>
  <c r="C23" i="4"/>
  <c r="B23" i="4"/>
  <c r="A23" i="4"/>
  <c r="H22" i="4"/>
  <c r="G22" i="4"/>
  <c r="D22" i="4"/>
  <c r="C22" i="4"/>
  <c r="B22" i="4"/>
  <c r="A22" i="4"/>
  <c r="H21" i="4"/>
  <c r="G21" i="4"/>
  <c r="D21" i="4"/>
  <c r="C21" i="4"/>
  <c r="B21" i="4"/>
  <c r="A21" i="4"/>
  <c r="H20" i="4"/>
  <c r="G20" i="4"/>
  <c r="D20" i="4"/>
  <c r="C20" i="4"/>
  <c r="B20" i="4"/>
  <c r="A20" i="4"/>
  <c r="H19" i="4"/>
  <c r="G19" i="4"/>
  <c r="D19" i="4"/>
  <c r="C19" i="4"/>
  <c r="B19" i="4"/>
  <c r="A19" i="4"/>
  <c r="H18" i="4"/>
  <c r="G18" i="4"/>
  <c r="D18" i="4"/>
  <c r="C18" i="4"/>
  <c r="B18" i="4"/>
  <c r="A18" i="4"/>
  <c r="H17" i="4"/>
  <c r="G17" i="4"/>
  <c r="D17" i="4"/>
  <c r="C17" i="4"/>
  <c r="B17" i="4"/>
  <c r="A17" i="4"/>
  <c r="H16" i="4"/>
  <c r="G16" i="4"/>
  <c r="D16" i="4"/>
  <c r="C16" i="4"/>
  <c r="B16" i="4"/>
  <c r="A16" i="4"/>
  <c r="H15" i="4"/>
  <c r="G15" i="4"/>
  <c r="D15" i="4"/>
  <c r="C15" i="4"/>
  <c r="B15" i="4"/>
  <c r="A15" i="4"/>
  <c r="H14" i="4"/>
  <c r="G14" i="4"/>
  <c r="D14" i="4"/>
  <c r="C14" i="4"/>
  <c r="B14" i="4"/>
  <c r="A14" i="4"/>
  <c r="H13" i="4"/>
  <c r="G13" i="4"/>
  <c r="D13" i="4"/>
  <c r="C13" i="4"/>
  <c r="B13" i="4"/>
  <c r="A13" i="4"/>
  <c r="H12" i="4"/>
  <c r="G12" i="4"/>
  <c r="D12" i="4"/>
  <c r="C12" i="4"/>
  <c r="B12" i="4"/>
  <c r="A12" i="4"/>
  <c r="H11" i="4"/>
  <c r="G11" i="4"/>
  <c r="D11" i="4"/>
  <c r="C11" i="4"/>
  <c r="B11" i="4"/>
  <c r="A11" i="4"/>
  <c r="H10" i="4"/>
  <c r="G10" i="4"/>
  <c r="D10" i="4"/>
  <c r="C10" i="4"/>
  <c r="B10" i="4"/>
  <c r="A10" i="4"/>
  <c r="H9" i="4"/>
  <c r="G9" i="4"/>
  <c r="D9" i="4"/>
  <c r="C9" i="4"/>
  <c r="B9" i="4"/>
  <c r="A9" i="4"/>
  <c r="H8" i="4"/>
  <c r="G8" i="4"/>
  <c r="D8" i="4"/>
  <c r="C8" i="4"/>
  <c r="B8" i="4"/>
  <c r="A8" i="4"/>
  <c r="H7" i="4"/>
  <c r="G7" i="4"/>
  <c r="D7" i="4"/>
  <c r="C7" i="4"/>
  <c r="B7" i="4"/>
  <c r="A7" i="4"/>
  <c r="H6" i="4"/>
  <c r="G6" i="4"/>
  <c r="D6" i="4"/>
  <c r="C6" i="4"/>
  <c r="B6" i="4"/>
  <c r="A6" i="4"/>
  <c r="H5" i="4"/>
  <c r="G5" i="4"/>
  <c r="D5" i="4"/>
  <c r="C5" i="4"/>
  <c r="B5" i="4"/>
  <c r="A5" i="4"/>
  <c r="H4" i="4"/>
  <c r="G4" i="4"/>
  <c r="D4" i="4"/>
  <c r="C4" i="4"/>
  <c r="B4" i="4"/>
  <c r="A4" i="4"/>
  <c r="H3" i="4"/>
  <c r="G3" i="4"/>
  <c r="D3" i="4"/>
  <c r="C3" i="4"/>
  <c r="B3" i="4"/>
  <c r="A3" i="4"/>
  <c r="H1296" i="4"/>
  <c r="G1296" i="4"/>
  <c r="D1296" i="4"/>
  <c r="C1296" i="4"/>
  <c r="B1296" i="4"/>
  <c r="A1296" i="4"/>
  <c r="H1295" i="4"/>
  <c r="G1295" i="4"/>
  <c r="D1295" i="4"/>
  <c r="C1295" i="4"/>
  <c r="B1295" i="4"/>
  <c r="A1295" i="4"/>
  <c r="H1294" i="4"/>
  <c r="G1294" i="4"/>
  <c r="D1294" i="4"/>
  <c r="C1294" i="4"/>
  <c r="B1294" i="4"/>
  <c r="A1294" i="4"/>
  <c r="H1293" i="4"/>
  <c r="G1293" i="4"/>
  <c r="D1293" i="4"/>
  <c r="C1293" i="4"/>
  <c r="B1293" i="4"/>
  <c r="A1293" i="4"/>
  <c r="H1292" i="4"/>
  <c r="G1292" i="4"/>
  <c r="D1292" i="4"/>
  <c r="C1292" i="4"/>
  <c r="B1292" i="4"/>
  <c r="A1292" i="4"/>
  <c r="H1291" i="4"/>
  <c r="G1291" i="4"/>
  <c r="D1291" i="4"/>
  <c r="C1291" i="4"/>
  <c r="B1291" i="4"/>
  <c r="A1291" i="4"/>
  <c r="H1290" i="4"/>
  <c r="G1290" i="4"/>
  <c r="D1290" i="4"/>
  <c r="C1290" i="4"/>
  <c r="B1290" i="4"/>
  <c r="A1290" i="4"/>
  <c r="H1289" i="4"/>
  <c r="G1289" i="4"/>
  <c r="D1289" i="4"/>
  <c r="C1289" i="4"/>
  <c r="B1289" i="4"/>
  <c r="A1289" i="4"/>
  <c r="H1288" i="4"/>
  <c r="G1288" i="4"/>
  <c r="D1288" i="4"/>
  <c r="C1288" i="4"/>
  <c r="B1288" i="4"/>
  <c r="A1288" i="4"/>
  <c r="H1287" i="4"/>
  <c r="G1287" i="4"/>
  <c r="D1287" i="4"/>
  <c r="C1287" i="4"/>
  <c r="B1287" i="4"/>
  <c r="A1287" i="4"/>
  <c r="H1666" i="4"/>
  <c r="G1666" i="4"/>
  <c r="D1666" i="4"/>
  <c r="C1666" i="4"/>
  <c r="B1666" i="4"/>
  <c r="A1666" i="4"/>
  <c r="H1665" i="4"/>
  <c r="G1665" i="4"/>
  <c r="D1665" i="4"/>
  <c r="C1665" i="4"/>
  <c r="B1665" i="4"/>
  <c r="A1665" i="4"/>
  <c r="H1664" i="4"/>
  <c r="G1664" i="4"/>
  <c r="D1664" i="4"/>
  <c r="C1664" i="4"/>
  <c r="B1664" i="4"/>
  <c r="A1664" i="4"/>
  <c r="H1663" i="4"/>
  <c r="G1663" i="4"/>
  <c r="D1663" i="4"/>
  <c r="C1663" i="4"/>
  <c r="B1663" i="4"/>
  <c r="A1663" i="4"/>
  <c r="H1662" i="4"/>
  <c r="G1662" i="4"/>
  <c r="D1662" i="4"/>
  <c r="C1662" i="4"/>
  <c r="B1662" i="4"/>
  <c r="A1662" i="4"/>
  <c r="H1661" i="4"/>
  <c r="G1661" i="4"/>
  <c r="D1661" i="4"/>
  <c r="C1661" i="4"/>
  <c r="B1661" i="4"/>
  <c r="A1661" i="4"/>
  <c r="H1660" i="4"/>
  <c r="G1660" i="4"/>
  <c r="D1660" i="4"/>
  <c r="C1660" i="4"/>
  <c r="B1660" i="4"/>
  <c r="A1660" i="4"/>
  <c r="H1659" i="4"/>
  <c r="G1659" i="4"/>
  <c r="D1659" i="4"/>
  <c r="C1659" i="4"/>
  <c r="B1659" i="4"/>
  <c r="A1659" i="4"/>
  <c r="H1658" i="4"/>
  <c r="G1658" i="4"/>
  <c r="D1658" i="4"/>
  <c r="C1658" i="4"/>
  <c r="B1658" i="4"/>
  <c r="A1658" i="4"/>
  <c r="H1657" i="4"/>
  <c r="G1657" i="4"/>
  <c r="D1657" i="4"/>
  <c r="C1657" i="4"/>
  <c r="B1657" i="4"/>
  <c r="A1657" i="4"/>
  <c r="H1656" i="4"/>
  <c r="G1656" i="4"/>
  <c r="D1656" i="4"/>
  <c r="C1656" i="4"/>
  <c r="B1656" i="4"/>
  <c r="A1656" i="4"/>
  <c r="H1655" i="4"/>
  <c r="G1655" i="4"/>
  <c r="D1655" i="4"/>
  <c r="C1655" i="4"/>
  <c r="B1655" i="4"/>
  <c r="A1655" i="4"/>
  <c r="H1853" i="4"/>
  <c r="G1853" i="4"/>
  <c r="D1853" i="4"/>
  <c r="C1853" i="4"/>
  <c r="B1853" i="4"/>
  <c r="A1853" i="4"/>
  <c r="H1852" i="4"/>
  <c r="G1852" i="4"/>
  <c r="D1852" i="4"/>
  <c r="C1852" i="4"/>
  <c r="B1852" i="4"/>
  <c r="A1852" i="4"/>
  <c r="H1851" i="4"/>
  <c r="G1851" i="4"/>
  <c r="D1851" i="4"/>
  <c r="C1851" i="4"/>
  <c r="B1851" i="4"/>
  <c r="A1851" i="4"/>
  <c r="H1850" i="4"/>
  <c r="G1850" i="4"/>
  <c r="D1850" i="4"/>
  <c r="C1850" i="4"/>
  <c r="B1850" i="4"/>
  <c r="A1850" i="4"/>
  <c r="H1849" i="4"/>
  <c r="G1849" i="4"/>
  <c r="D1849" i="4"/>
  <c r="C1849" i="4"/>
  <c r="B1849" i="4"/>
  <c r="A1849" i="4"/>
  <c r="H1654" i="4"/>
  <c r="G1654" i="4"/>
  <c r="D1654" i="4"/>
  <c r="C1654" i="4"/>
  <c r="B1654" i="4"/>
  <c r="A1654" i="4"/>
  <c r="H1653" i="4"/>
  <c r="G1653" i="4"/>
  <c r="D1653" i="4"/>
  <c r="C1653" i="4"/>
  <c r="B1653" i="4"/>
  <c r="A1653" i="4"/>
  <c r="H1652" i="4"/>
  <c r="G1652" i="4"/>
  <c r="D1652" i="4"/>
  <c r="C1652" i="4"/>
  <c r="B1652" i="4"/>
  <c r="A1652" i="4"/>
  <c r="H1651" i="4"/>
  <c r="G1651" i="4"/>
  <c r="D1651" i="4"/>
  <c r="C1651" i="4"/>
  <c r="B1651" i="4"/>
  <c r="A1651" i="4"/>
  <c r="H1650" i="4"/>
  <c r="G1650" i="4"/>
  <c r="D1650" i="4"/>
  <c r="C1650" i="4"/>
  <c r="B1650" i="4"/>
  <c r="A1650" i="4"/>
  <c r="H1649" i="4"/>
  <c r="G1649" i="4"/>
  <c r="D1649" i="4"/>
  <c r="C1649" i="4"/>
  <c r="B1649" i="4"/>
  <c r="A1649" i="4"/>
  <c r="H1648" i="4"/>
  <c r="G1648" i="4"/>
  <c r="D1648" i="4"/>
  <c r="C1648" i="4"/>
  <c r="B1648" i="4"/>
  <c r="A1648" i="4"/>
  <c r="H1647" i="4"/>
  <c r="G1647" i="4"/>
  <c r="D1647" i="4"/>
  <c r="C1647" i="4"/>
  <c r="B1647" i="4"/>
  <c r="A1647" i="4"/>
  <c r="H1646" i="4"/>
  <c r="G1646" i="4"/>
  <c r="D1646" i="4"/>
  <c r="C1646" i="4"/>
  <c r="B1646" i="4"/>
  <c r="A1646" i="4"/>
  <c r="H1645" i="4"/>
  <c r="G1645" i="4"/>
  <c r="D1645" i="4"/>
  <c r="C1645" i="4"/>
  <c r="B1645" i="4"/>
  <c r="A1645" i="4"/>
  <c r="H1644" i="4"/>
  <c r="G1644" i="4"/>
  <c r="D1644" i="4"/>
  <c r="C1644" i="4"/>
  <c r="B1644" i="4"/>
  <c r="A1644" i="4"/>
  <c r="H1643" i="4"/>
  <c r="G1643" i="4"/>
  <c r="D1643" i="4"/>
  <c r="C1643" i="4"/>
  <c r="B1643" i="4"/>
  <c r="A1643" i="4"/>
  <c r="H1642" i="4"/>
  <c r="G1642" i="4"/>
  <c r="D1642" i="4"/>
  <c r="C1642" i="4"/>
  <c r="B1642" i="4"/>
  <c r="A1642" i="4"/>
  <c r="H1641" i="4"/>
  <c r="G1641" i="4"/>
  <c r="D1641" i="4"/>
  <c r="C1641" i="4"/>
  <c r="B1641" i="4"/>
  <c r="A1641" i="4"/>
  <c r="H1640" i="4"/>
  <c r="G1640" i="4"/>
  <c r="D1640" i="4"/>
  <c r="C1640" i="4"/>
  <c r="B1640" i="4"/>
  <c r="A1640" i="4"/>
  <c r="H1639" i="4"/>
  <c r="G1639" i="4"/>
  <c r="D1639" i="4"/>
  <c r="C1639" i="4"/>
  <c r="B1639" i="4"/>
  <c r="A1639" i="4"/>
  <c r="H1638" i="4"/>
  <c r="G1638" i="4"/>
  <c r="D1638" i="4"/>
  <c r="C1638" i="4"/>
  <c r="B1638" i="4"/>
  <c r="A1638" i="4"/>
  <c r="H1637" i="4"/>
  <c r="G1637" i="4"/>
  <c r="D1637" i="4"/>
  <c r="C1637" i="4"/>
  <c r="B1637" i="4"/>
  <c r="A1637" i="4"/>
  <c r="H1848" i="4"/>
  <c r="G1848" i="4"/>
  <c r="D1848" i="4"/>
  <c r="C1848" i="4"/>
  <c r="B1848" i="4"/>
  <c r="A1848" i="4"/>
  <c r="H1847" i="4"/>
  <c r="G1847" i="4"/>
  <c r="D1847" i="4"/>
  <c r="C1847" i="4"/>
  <c r="B1847" i="4"/>
  <c r="A1847" i="4"/>
  <c r="H1636" i="4"/>
  <c r="G1636" i="4"/>
  <c r="D1636" i="4"/>
  <c r="C1636" i="4"/>
  <c r="B1636" i="4"/>
  <c r="A1636" i="4"/>
  <c r="H1846" i="4"/>
  <c r="G1846" i="4"/>
  <c r="D1846" i="4"/>
  <c r="C1846" i="4"/>
  <c r="B1846" i="4"/>
  <c r="A1846" i="4"/>
  <c r="H1845" i="4"/>
  <c r="G1845" i="4"/>
  <c r="D1845" i="4"/>
  <c r="C1845" i="4"/>
  <c r="B1845" i="4"/>
  <c r="A1845" i="4"/>
  <c r="H1635" i="4"/>
  <c r="G1635" i="4"/>
  <c r="D1635" i="4"/>
  <c r="C1635" i="4"/>
  <c r="B1635" i="4"/>
  <c r="A1635" i="4"/>
  <c r="H1634" i="4"/>
  <c r="G1634" i="4"/>
  <c r="D1634" i="4"/>
  <c r="C1634" i="4"/>
  <c r="B1634" i="4"/>
  <c r="A1634" i="4"/>
  <c r="H1633" i="4"/>
  <c r="G1633" i="4"/>
  <c r="D1633" i="4"/>
  <c r="C1633" i="4"/>
  <c r="B1633" i="4"/>
  <c r="A1633" i="4"/>
  <c r="H1632" i="4"/>
  <c r="G1632" i="4"/>
  <c r="D1632" i="4"/>
  <c r="C1632" i="4"/>
  <c r="B1632" i="4"/>
  <c r="A1632" i="4"/>
  <c r="H1631" i="4"/>
  <c r="G1631" i="4"/>
  <c r="D1631" i="4"/>
  <c r="C1631" i="4"/>
  <c r="B1631" i="4"/>
  <c r="A1631" i="4"/>
  <c r="H1630" i="4"/>
  <c r="G1630" i="4"/>
  <c r="D1630" i="4"/>
  <c r="C1630" i="4"/>
  <c r="B1630" i="4"/>
  <c r="A1630" i="4"/>
  <c r="H1629" i="4"/>
  <c r="G1629" i="4"/>
  <c r="D1629" i="4"/>
  <c r="C1629" i="4"/>
  <c r="B1629" i="4"/>
  <c r="A1629" i="4"/>
  <c r="H1628" i="4"/>
  <c r="G1628" i="4"/>
  <c r="D1628" i="4"/>
  <c r="C1628" i="4"/>
  <c r="B1628" i="4"/>
  <c r="A1628" i="4"/>
  <c r="H1627" i="4"/>
  <c r="G1627" i="4"/>
  <c r="D1627" i="4"/>
  <c r="C1627" i="4"/>
  <c r="B1627" i="4"/>
  <c r="A1627" i="4"/>
  <c r="H1626" i="4"/>
  <c r="G1626" i="4"/>
  <c r="D1626" i="4"/>
  <c r="C1626" i="4"/>
  <c r="B1626" i="4"/>
  <c r="A1626" i="4"/>
  <c r="H1844" i="4"/>
  <c r="G1844" i="4"/>
  <c r="D1844" i="4"/>
  <c r="C1844" i="4"/>
  <c r="B1844" i="4"/>
  <c r="A1844" i="4"/>
  <c r="H1843" i="4"/>
  <c r="G1843" i="4"/>
  <c r="D1843" i="4"/>
  <c r="C1843" i="4"/>
  <c r="B1843" i="4"/>
  <c r="A1843" i="4"/>
  <c r="H1842" i="4"/>
  <c r="G1842" i="4"/>
  <c r="D1842" i="4"/>
  <c r="C1842" i="4"/>
  <c r="B1842" i="4"/>
  <c r="A1842" i="4"/>
  <c r="H1625" i="4"/>
  <c r="G1625" i="4"/>
  <c r="D1625" i="4"/>
  <c r="C1625" i="4"/>
  <c r="B1625" i="4"/>
  <c r="A1625" i="4"/>
  <c r="H1624" i="4"/>
  <c r="G1624" i="4"/>
  <c r="D1624" i="4"/>
  <c r="C1624" i="4"/>
  <c r="B1624" i="4"/>
  <c r="A1624" i="4"/>
  <c r="H1623" i="4"/>
  <c r="G1623" i="4"/>
  <c r="D1623" i="4"/>
  <c r="C1623" i="4"/>
  <c r="B1623" i="4"/>
  <c r="A1623" i="4"/>
  <c r="H1841" i="4"/>
  <c r="G1841" i="4"/>
  <c r="D1841" i="4"/>
  <c r="C1841" i="4"/>
  <c r="B1841" i="4"/>
  <c r="A1841" i="4"/>
  <c r="H1622" i="4"/>
  <c r="G1622" i="4"/>
  <c r="D1622" i="4"/>
  <c r="C1622" i="4"/>
  <c r="B1622" i="4"/>
  <c r="A1622" i="4"/>
  <c r="H1286" i="4"/>
  <c r="G1286" i="4"/>
  <c r="D1286" i="4"/>
  <c r="C1286" i="4"/>
  <c r="B1286" i="4"/>
  <c r="A1286" i="4"/>
  <c r="H1285" i="4"/>
  <c r="G1285" i="4"/>
  <c r="D1285" i="4"/>
  <c r="C1285" i="4"/>
  <c r="B1285" i="4"/>
  <c r="A1285" i="4"/>
  <c r="H1284" i="4"/>
  <c r="G1284" i="4"/>
  <c r="D1284" i="4"/>
  <c r="C1284" i="4"/>
  <c r="B1284" i="4"/>
  <c r="A1284" i="4"/>
  <c r="H1283" i="4"/>
  <c r="G1283" i="4"/>
  <c r="D1283" i="4"/>
  <c r="C1283" i="4"/>
  <c r="B1283" i="4"/>
  <c r="A1283" i="4"/>
  <c r="H1282" i="4"/>
  <c r="G1282" i="4"/>
  <c r="D1282" i="4"/>
  <c r="C1282" i="4"/>
  <c r="B1282" i="4"/>
  <c r="A1282" i="4"/>
  <c r="H1281" i="4"/>
  <c r="G1281" i="4"/>
  <c r="D1281" i="4"/>
  <c r="C1281" i="4"/>
  <c r="B1281" i="4"/>
  <c r="A1281" i="4"/>
  <c r="H1280" i="4"/>
  <c r="G1280" i="4"/>
  <c r="D1280" i="4"/>
  <c r="C1280" i="4"/>
  <c r="B1280" i="4"/>
  <c r="A1280" i="4"/>
  <c r="H1279" i="4"/>
  <c r="G1279" i="4"/>
  <c r="D1279" i="4"/>
  <c r="C1279" i="4"/>
  <c r="B1279" i="4"/>
  <c r="A1279" i="4"/>
  <c r="H1278" i="4"/>
  <c r="G1278" i="4"/>
  <c r="D1278" i="4"/>
  <c r="C1278" i="4"/>
  <c r="B1278" i="4"/>
  <c r="A1278" i="4"/>
  <c r="H1277" i="4"/>
  <c r="G1277" i="4"/>
  <c r="D1277" i="4"/>
  <c r="C1277" i="4"/>
  <c r="B1277" i="4"/>
  <c r="A1277" i="4"/>
  <c r="H1276" i="4"/>
  <c r="G1276" i="4"/>
  <c r="D1276" i="4"/>
  <c r="C1276" i="4"/>
  <c r="B1276" i="4"/>
  <c r="A1276" i="4"/>
  <c r="H1275" i="4"/>
  <c r="G1275" i="4"/>
  <c r="D1275" i="4"/>
  <c r="C1275" i="4"/>
  <c r="B1275" i="4"/>
  <c r="A1275" i="4"/>
  <c r="H1274" i="4"/>
  <c r="G1274" i="4"/>
  <c r="D1274" i="4"/>
  <c r="C1274" i="4"/>
  <c r="B1274" i="4"/>
  <c r="A1274" i="4"/>
  <c r="H1273" i="4"/>
  <c r="G1273" i="4"/>
  <c r="D1273" i="4"/>
  <c r="C1273" i="4"/>
  <c r="B1273" i="4"/>
  <c r="A1273" i="4"/>
  <c r="H1272" i="4"/>
  <c r="G1272" i="4"/>
  <c r="D1272" i="4"/>
  <c r="C1272" i="4"/>
  <c r="B1272" i="4"/>
  <c r="A1272" i="4"/>
  <c r="H1271" i="4"/>
  <c r="G1271" i="4"/>
  <c r="D1271" i="4"/>
  <c r="C1271" i="4"/>
  <c r="B1271" i="4"/>
  <c r="A1271" i="4"/>
  <c r="H1270" i="4"/>
  <c r="G1270" i="4"/>
  <c r="D1270" i="4"/>
  <c r="C1270" i="4"/>
  <c r="B1270" i="4"/>
  <c r="A1270" i="4"/>
  <c r="H1269" i="4"/>
  <c r="G1269" i="4"/>
  <c r="D1269" i="4"/>
  <c r="C1269" i="4"/>
  <c r="B1269" i="4"/>
  <c r="A1269" i="4"/>
  <c r="H1268" i="4"/>
  <c r="G1268" i="4"/>
  <c r="D1268" i="4"/>
  <c r="C1268" i="4"/>
  <c r="B1268" i="4"/>
  <c r="A1268" i="4"/>
  <c r="H1267" i="4"/>
  <c r="G1267" i="4"/>
  <c r="D1267" i="4"/>
  <c r="C1267" i="4"/>
  <c r="B1267" i="4"/>
  <c r="A1267" i="4"/>
  <c r="H1266" i="4"/>
  <c r="G1266" i="4"/>
  <c r="D1266" i="4"/>
  <c r="C1266" i="4"/>
  <c r="B1266" i="4"/>
  <c r="A1266" i="4"/>
  <c r="H1265" i="4"/>
  <c r="G1265" i="4"/>
  <c r="D1265" i="4"/>
  <c r="C1265" i="4"/>
  <c r="B1265" i="4"/>
  <c r="A1265" i="4"/>
  <c r="H1264" i="4"/>
  <c r="G1264" i="4"/>
  <c r="D1264" i="4"/>
  <c r="C1264" i="4"/>
  <c r="B1264" i="4"/>
  <c r="A1264" i="4"/>
  <c r="H1263" i="4"/>
  <c r="G1263" i="4"/>
  <c r="D1263" i="4"/>
  <c r="C1263" i="4"/>
  <c r="B1263" i="4"/>
  <c r="A1263" i="4"/>
  <c r="H1262" i="4"/>
  <c r="G1262" i="4"/>
  <c r="D1262" i="4"/>
  <c r="C1262" i="4"/>
  <c r="B1262" i="4"/>
  <c r="A1262" i="4"/>
  <c r="H1261" i="4"/>
  <c r="G1261" i="4"/>
  <c r="D1261" i="4"/>
  <c r="C1261" i="4"/>
  <c r="B1261" i="4"/>
  <c r="A1261" i="4"/>
  <c r="H1260" i="4"/>
  <c r="G1260" i="4"/>
  <c r="D1260" i="4"/>
  <c r="C1260" i="4"/>
  <c r="B1260" i="4"/>
  <c r="A1260" i="4"/>
  <c r="H1259" i="4"/>
  <c r="G1259" i="4"/>
  <c r="D1259" i="4"/>
  <c r="C1259" i="4"/>
  <c r="B1259" i="4"/>
  <c r="A1259" i="4"/>
  <c r="H1258" i="4"/>
  <c r="G1258" i="4"/>
  <c r="D1258" i="4"/>
  <c r="C1258" i="4"/>
  <c r="B1258" i="4"/>
  <c r="A1258" i="4"/>
  <c r="H1257" i="4"/>
  <c r="G1257" i="4"/>
  <c r="D1257" i="4"/>
  <c r="C1257" i="4"/>
  <c r="B1257" i="4"/>
  <c r="A1257" i="4"/>
  <c r="H1256" i="4"/>
  <c r="G1256" i="4"/>
  <c r="D1256" i="4"/>
  <c r="C1256" i="4"/>
  <c r="B1256" i="4"/>
  <c r="A1256" i="4"/>
  <c r="H1255" i="4"/>
  <c r="G1255" i="4"/>
  <c r="D1255" i="4"/>
  <c r="C1255" i="4"/>
  <c r="B1255" i="4"/>
  <c r="A1255" i="4"/>
  <c r="H1254" i="4"/>
  <c r="G1254" i="4"/>
  <c r="D1254" i="4"/>
  <c r="C1254" i="4"/>
  <c r="B1254" i="4"/>
  <c r="A1254" i="4"/>
  <c r="H1253" i="4"/>
  <c r="G1253" i="4"/>
  <c r="D1253" i="4"/>
  <c r="C1253" i="4"/>
  <c r="B1253" i="4"/>
  <c r="A1253" i="4"/>
  <c r="H1252" i="4"/>
  <c r="G1252" i="4"/>
  <c r="D1252" i="4"/>
  <c r="C1252" i="4"/>
  <c r="B1252" i="4"/>
  <c r="A1252" i="4"/>
  <c r="H1251" i="4"/>
  <c r="G1251" i="4"/>
  <c r="D1251" i="4"/>
  <c r="C1251" i="4"/>
  <c r="B1251" i="4"/>
  <c r="A1251" i="4"/>
  <c r="H1250" i="4"/>
  <c r="G1250" i="4"/>
  <c r="D1250" i="4"/>
  <c r="C1250" i="4"/>
  <c r="B1250" i="4"/>
  <c r="A1250" i="4"/>
  <c r="H1249" i="4"/>
  <c r="G1249" i="4"/>
  <c r="D1249" i="4"/>
  <c r="C1249" i="4"/>
  <c r="B1249" i="4"/>
  <c r="A1249" i="4"/>
  <c r="H1248" i="4"/>
  <c r="G1248" i="4"/>
  <c r="D1248" i="4"/>
  <c r="C1248" i="4"/>
  <c r="B1248" i="4"/>
  <c r="A1248" i="4"/>
  <c r="H1247" i="4"/>
  <c r="G1247" i="4"/>
  <c r="D1247" i="4"/>
  <c r="C1247" i="4"/>
  <c r="B1247" i="4"/>
  <c r="A1247" i="4"/>
  <c r="H1246" i="4"/>
  <c r="G1246" i="4"/>
  <c r="D1246" i="4"/>
  <c r="C1246" i="4"/>
  <c r="B1246" i="4"/>
  <c r="A1246" i="4"/>
  <c r="H1245" i="4"/>
  <c r="G1245" i="4"/>
  <c r="D1245" i="4"/>
  <c r="C1245" i="4"/>
  <c r="B1245" i="4"/>
  <c r="A1245" i="4"/>
  <c r="H1244" i="4"/>
  <c r="G1244" i="4"/>
  <c r="D1244" i="4"/>
  <c r="C1244" i="4"/>
  <c r="B1244" i="4"/>
  <c r="A1244" i="4"/>
  <c r="H1243" i="4"/>
  <c r="G1243" i="4"/>
  <c r="D1243" i="4"/>
  <c r="C1243" i="4"/>
  <c r="B1243" i="4"/>
  <c r="A1243" i="4"/>
  <c r="H1242" i="4"/>
  <c r="G1242" i="4"/>
  <c r="D1242" i="4"/>
  <c r="C1242" i="4"/>
  <c r="B1242" i="4"/>
  <c r="A1242" i="4"/>
  <c r="H1241" i="4"/>
  <c r="G1241" i="4"/>
  <c r="D1241" i="4"/>
  <c r="C1241" i="4"/>
  <c r="B1241" i="4"/>
  <c r="A1241" i="4"/>
  <c r="H1240" i="4"/>
  <c r="G1240" i="4"/>
  <c r="D1240" i="4"/>
  <c r="C1240" i="4"/>
  <c r="B1240" i="4"/>
  <c r="A1240" i="4"/>
  <c r="H1239" i="4"/>
  <c r="G1239" i="4"/>
  <c r="D1239" i="4"/>
  <c r="C1239" i="4"/>
  <c r="B1239" i="4"/>
  <c r="A1239" i="4"/>
  <c r="H1238" i="4"/>
  <c r="G1238" i="4"/>
  <c r="D1238" i="4"/>
  <c r="C1238" i="4"/>
  <c r="B1238" i="4"/>
  <c r="A1238" i="4"/>
  <c r="H1237" i="4"/>
  <c r="G1237" i="4"/>
  <c r="D1237" i="4"/>
  <c r="C1237" i="4"/>
  <c r="B1237" i="4"/>
  <c r="A1237" i="4"/>
  <c r="H1236" i="4"/>
  <c r="G1236" i="4"/>
  <c r="D1236" i="4"/>
  <c r="C1236" i="4"/>
  <c r="B1236" i="4"/>
  <c r="A1236" i="4"/>
  <c r="H1235" i="4"/>
  <c r="G1235" i="4"/>
  <c r="D1235" i="4"/>
  <c r="C1235" i="4"/>
  <c r="B1235" i="4"/>
  <c r="A1235" i="4"/>
  <c r="H1234" i="4"/>
  <c r="G1234" i="4"/>
  <c r="D1234" i="4"/>
  <c r="C1234" i="4"/>
  <c r="B1234" i="4"/>
  <c r="A1234" i="4"/>
  <c r="H1233" i="4"/>
  <c r="G1233" i="4"/>
  <c r="D1233" i="4"/>
  <c r="C1233" i="4"/>
  <c r="B1233" i="4"/>
  <c r="A1233" i="4"/>
  <c r="H1232" i="4"/>
  <c r="G1232" i="4"/>
  <c r="D1232" i="4"/>
  <c r="C1232" i="4"/>
  <c r="B1232" i="4"/>
  <c r="A1232" i="4"/>
  <c r="H1231" i="4"/>
  <c r="G1231" i="4"/>
  <c r="D1231" i="4"/>
  <c r="C1231" i="4"/>
  <c r="B1231" i="4"/>
  <c r="A1231" i="4"/>
  <c r="H1230" i="4"/>
  <c r="G1230" i="4"/>
  <c r="D1230" i="4"/>
  <c r="C1230" i="4"/>
  <c r="B1230" i="4"/>
  <c r="A1230" i="4"/>
  <c r="H1510" i="4"/>
  <c r="G1510" i="4"/>
  <c r="D1510" i="4"/>
  <c r="C1510" i="4"/>
  <c r="B1510" i="4"/>
  <c r="A1510" i="4"/>
  <c r="H1229" i="4"/>
  <c r="G1229" i="4"/>
  <c r="D1229" i="4"/>
  <c r="C1229" i="4"/>
  <c r="B1229" i="4"/>
  <c r="A1229" i="4"/>
  <c r="H1228" i="4"/>
  <c r="G1228" i="4"/>
  <c r="D1228" i="4"/>
  <c r="C1228" i="4"/>
  <c r="B1228" i="4"/>
  <c r="A1228" i="4"/>
  <c r="H1227" i="4"/>
  <c r="G1227" i="4"/>
  <c r="D1227" i="4"/>
  <c r="C1227" i="4"/>
  <c r="B1227" i="4"/>
  <c r="A1227" i="4"/>
  <c r="H1226" i="4"/>
  <c r="G1226" i="4"/>
  <c r="D1226" i="4"/>
  <c r="C1226" i="4"/>
  <c r="B1226" i="4"/>
  <c r="A1226" i="4"/>
  <c r="H1225" i="4"/>
  <c r="G1225" i="4"/>
  <c r="D1225" i="4"/>
  <c r="C1225" i="4"/>
  <c r="B1225" i="4"/>
  <c r="A1225" i="4"/>
  <c r="H1224" i="4"/>
  <c r="G1224" i="4"/>
  <c r="D1224" i="4"/>
  <c r="C1224" i="4"/>
  <c r="B1224" i="4"/>
  <c r="A1224" i="4"/>
  <c r="H1223" i="4"/>
  <c r="G1223" i="4"/>
  <c r="D1223" i="4"/>
  <c r="C1223" i="4"/>
  <c r="B1223" i="4"/>
  <c r="A1223" i="4"/>
  <c r="H1222" i="4"/>
  <c r="G1222" i="4"/>
  <c r="D1222" i="4"/>
  <c r="C1222" i="4"/>
  <c r="B1222" i="4"/>
  <c r="A1222" i="4"/>
  <c r="H1221" i="4"/>
  <c r="G1221" i="4"/>
  <c r="D1221" i="4"/>
  <c r="C1221" i="4"/>
  <c r="B1221" i="4"/>
  <c r="A1221" i="4"/>
  <c r="H1220" i="4"/>
  <c r="G1220" i="4"/>
  <c r="D1220" i="4"/>
  <c r="C1220" i="4"/>
  <c r="B1220" i="4"/>
  <c r="A1220" i="4"/>
  <c r="H1219" i="4"/>
  <c r="G1219" i="4"/>
  <c r="D1219" i="4"/>
  <c r="C1219" i="4"/>
  <c r="B1219" i="4"/>
  <c r="A1219" i="4"/>
  <c r="H1218" i="4"/>
  <c r="G1218" i="4"/>
  <c r="D1218" i="4"/>
  <c r="C1218" i="4"/>
  <c r="B1218" i="4"/>
  <c r="A1218" i="4"/>
  <c r="H1217" i="4"/>
  <c r="G1217" i="4"/>
  <c r="D1217" i="4"/>
  <c r="C1217" i="4"/>
  <c r="B1217" i="4"/>
  <c r="A1217" i="4"/>
  <c r="H1216" i="4"/>
  <c r="G1216" i="4"/>
  <c r="D1216" i="4"/>
  <c r="C1216" i="4"/>
  <c r="B1216" i="4"/>
  <c r="A1216" i="4"/>
  <c r="H1215" i="4"/>
  <c r="G1215" i="4"/>
  <c r="D1215" i="4"/>
  <c r="C1215" i="4"/>
  <c r="B1215" i="4"/>
  <c r="A1215" i="4"/>
  <c r="H1214" i="4"/>
  <c r="G1214" i="4"/>
  <c r="D1214" i="4"/>
  <c r="C1214" i="4"/>
  <c r="B1214" i="4"/>
  <c r="A1214" i="4"/>
  <c r="H1213" i="4"/>
  <c r="G1213" i="4"/>
  <c r="D1213" i="4"/>
  <c r="C1213" i="4"/>
  <c r="B1213" i="4"/>
  <c r="A1213" i="4"/>
  <c r="H1212" i="4"/>
  <c r="G1212" i="4"/>
  <c r="D1212" i="4"/>
  <c r="C1212" i="4"/>
  <c r="B1212" i="4"/>
  <c r="A1212" i="4"/>
  <c r="H1211" i="4"/>
  <c r="G1211" i="4"/>
  <c r="D1211" i="4"/>
  <c r="C1211" i="4"/>
  <c r="B1211" i="4"/>
  <c r="A1211" i="4"/>
  <c r="H1210" i="4"/>
  <c r="G1210" i="4"/>
  <c r="D1210" i="4"/>
  <c r="C1210" i="4"/>
  <c r="B1210" i="4"/>
  <c r="A1210" i="4"/>
  <c r="H1209" i="4"/>
  <c r="G1209" i="4"/>
  <c r="D1209" i="4"/>
  <c r="C1209" i="4"/>
  <c r="B1209" i="4"/>
  <c r="A1209" i="4"/>
  <c r="H1208" i="4"/>
  <c r="G1208" i="4"/>
  <c r="D1208" i="4"/>
  <c r="C1208" i="4"/>
  <c r="B1208" i="4"/>
  <c r="A1208" i="4"/>
  <c r="H1207" i="4"/>
  <c r="G1207" i="4"/>
  <c r="D1207" i="4"/>
  <c r="C1207" i="4"/>
  <c r="B1207" i="4"/>
  <c r="A1207" i="4"/>
  <c r="H1206" i="4"/>
  <c r="G1206" i="4"/>
  <c r="D1206" i="4"/>
  <c r="C1206" i="4"/>
  <c r="B1206" i="4"/>
  <c r="A1206" i="4"/>
  <c r="H1205" i="4"/>
  <c r="G1205" i="4"/>
  <c r="D1205" i="4"/>
  <c r="C1205" i="4"/>
  <c r="B1205" i="4"/>
  <c r="A1205" i="4"/>
  <c r="H1204" i="4"/>
  <c r="G1204" i="4"/>
  <c r="D1204" i="4"/>
  <c r="C1204" i="4"/>
  <c r="B1204" i="4"/>
  <c r="A1204" i="4"/>
  <c r="H1203" i="4"/>
  <c r="G1203" i="4"/>
  <c r="D1203" i="4"/>
  <c r="C1203" i="4"/>
  <c r="B1203" i="4"/>
  <c r="A1203" i="4"/>
  <c r="H1202" i="4"/>
  <c r="G1202" i="4"/>
  <c r="D1202" i="4"/>
  <c r="C1202" i="4"/>
  <c r="B1202" i="4"/>
  <c r="A1202" i="4"/>
  <c r="H1201" i="4"/>
  <c r="G1201" i="4"/>
  <c r="D1201" i="4"/>
  <c r="C1201" i="4"/>
  <c r="B1201" i="4"/>
  <c r="A1201" i="4"/>
  <c r="H1200" i="4"/>
  <c r="G1200" i="4"/>
  <c r="D1200" i="4"/>
  <c r="C1200" i="4"/>
  <c r="B1200" i="4"/>
  <c r="A1200" i="4"/>
  <c r="H1199" i="4"/>
  <c r="G1199" i="4"/>
  <c r="D1199" i="4"/>
  <c r="C1199" i="4"/>
  <c r="B1199" i="4"/>
  <c r="A1199" i="4"/>
  <c r="H1198" i="4"/>
  <c r="G1198" i="4"/>
  <c r="D1198" i="4"/>
  <c r="C1198" i="4"/>
  <c r="B1198" i="4"/>
  <c r="A1198" i="4"/>
  <c r="H1197" i="4"/>
  <c r="G1197" i="4"/>
  <c r="D1197" i="4"/>
  <c r="C1197" i="4"/>
  <c r="B1197" i="4"/>
  <c r="A1197" i="4"/>
  <c r="H1196" i="4"/>
  <c r="G1196" i="4"/>
  <c r="D1196" i="4"/>
  <c r="C1196" i="4"/>
  <c r="B1196" i="4"/>
  <c r="A1196" i="4"/>
  <c r="H1195" i="4"/>
  <c r="G1195" i="4"/>
  <c r="D1195" i="4"/>
  <c r="C1195" i="4"/>
  <c r="B1195" i="4"/>
  <c r="A1195" i="4"/>
  <c r="H1194" i="4"/>
  <c r="G1194" i="4"/>
  <c r="D1194" i="4"/>
  <c r="C1194" i="4"/>
  <c r="B1194" i="4"/>
  <c r="A1194" i="4"/>
  <c r="H1193" i="4"/>
  <c r="G1193" i="4"/>
  <c r="D1193" i="4"/>
  <c r="C1193" i="4"/>
  <c r="B1193" i="4"/>
  <c r="A1193" i="4"/>
  <c r="H1192" i="4"/>
  <c r="G1192" i="4"/>
  <c r="D1192" i="4"/>
  <c r="C1192" i="4"/>
  <c r="B1192" i="4"/>
  <c r="A1192" i="4"/>
  <c r="H1191" i="4"/>
  <c r="G1191" i="4"/>
  <c r="D1191" i="4"/>
  <c r="C1191" i="4"/>
  <c r="B1191" i="4"/>
  <c r="A1191" i="4"/>
  <c r="H1190" i="4"/>
  <c r="G1190" i="4"/>
  <c r="D1190" i="4"/>
  <c r="C1190" i="4"/>
  <c r="B1190" i="4"/>
  <c r="A1190" i="4"/>
  <c r="H1189" i="4"/>
  <c r="G1189" i="4"/>
  <c r="D1189" i="4"/>
  <c r="C1189" i="4"/>
  <c r="B1189" i="4"/>
  <c r="A1189" i="4"/>
  <c r="H1188" i="4"/>
  <c r="G1188" i="4"/>
  <c r="D1188" i="4"/>
  <c r="C1188" i="4"/>
  <c r="B1188" i="4"/>
  <c r="A1188" i="4"/>
  <c r="H1187" i="4"/>
  <c r="G1187" i="4"/>
  <c r="D1187" i="4"/>
  <c r="C1187" i="4"/>
  <c r="B1187" i="4"/>
  <c r="A1187" i="4"/>
  <c r="H1186" i="4"/>
  <c r="G1186" i="4"/>
  <c r="D1186" i="4"/>
  <c r="C1186" i="4"/>
  <c r="B1186" i="4"/>
  <c r="A1186" i="4"/>
  <c r="H1185" i="4"/>
  <c r="G1185" i="4"/>
  <c r="D1185" i="4"/>
  <c r="C1185" i="4"/>
  <c r="B1185" i="4"/>
  <c r="A1185" i="4"/>
  <c r="H1184" i="4"/>
  <c r="G1184" i="4"/>
  <c r="D1184" i="4"/>
  <c r="C1184" i="4"/>
  <c r="B1184" i="4"/>
  <c r="A1184" i="4"/>
  <c r="H1183" i="4"/>
  <c r="G1183" i="4"/>
  <c r="D1183" i="4"/>
  <c r="C1183" i="4"/>
  <c r="B1183" i="4"/>
  <c r="A1183" i="4"/>
  <c r="H1182" i="4"/>
  <c r="G1182" i="4"/>
  <c r="D1182" i="4"/>
  <c r="C1182" i="4"/>
  <c r="B1182" i="4"/>
  <c r="A1182" i="4"/>
  <c r="H1181" i="4"/>
  <c r="G1181" i="4"/>
  <c r="D1181" i="4"/>
  <c r="C1181" i="4"/>
  <c r="B1181" i="4"/>
  <c r="A1181" i="4"/>
  <c r="H1180" i="4"/>
  <c r="G1180" i="4"/>
  <c r="D1180" i="4"/>
  <c r="C1180" i="4"/>
  <c r="B1180" i="4"/>
  <c r="A1180" i="4"/>
  <c r="H1179" i="4"/>
  <c r="G1179" i="4"/>
  <c r="D1179" i="4"/>
  <c r="C1179" i="4"/>
  <c r="B1179" i="4"/>
  <c r="A1179" i="4"/>
  <c r="H1178" i="4"/>
  <c r="G1178" i="4"/>
  <c r="D1178" i="4"/>
  <c r="C1178" i="4"/>
  <c r="B1178" i="4"/>
  <c r="A1178" i="4"/>
  <c r="H1177" i="4"/>
  <c r="G1177" i="4"/>
  <c r="D1177" i="4"/>
  <c r="C1177" i="4"/>
  <c r="B1177" i="4"/>
  <c r="A1177" i="4"/>
  <c r="H1176" i="4"/>
  <c r="G1176" i="4"/>
  <c r="D1176" i="4"/>
  <c r="C1176" i="4"/>
  <c r="B1176" i="4"/>
  <c r="A1176" i="4"/>
  <c r="H1175" i="4"/>
  <c r="G1175" i="4"/>
  <c r="D1175" i="4"/>
  <c r="C1175" i="4"/>
  <c r="B1175" i="4"/>
  <c r="A1175" i="4"/>
  <c r="H1174" i="4"/>
  <c r="G1174" i="4"/>
  <c r="D1174" i="4"/>
  <c r="C1174" i="4"/>
  <c r="B1174" i="4"/>
  <c r="A1174" i="4"/>
  <c r="H1173" i="4"/>
  <c r="G1173" i="4"/>
  <c r="D1173" i="4"/>
  <c r="C1173" i="4"/>
  <c r="B1173" i="4"/>
  <c r="A1173" i="4"/>
  <c r="H1172" i="4"/>
  <c r="G1172" i="4"/>
  <c r="D1172" i="4"/>
  <c r="C1172" i="4"/>
  <c r="B1172" i="4"/>
  <c r="A1172" i="4"/>
  <c r="H1171" i="4"/>
  <c r="G1171" i="4"/>
  <c r="D1171" i="4"/>
  <c r="C1171" i="4"/>
  <c r="B1171" i="4"/>
  <c r="A1171" i="4"/>
  <c r="H1170" i="4"/>
  <c r="G1170" i="4"/>
  <c r="D1170" i="4"/>
  <c r="C1170" i="4"/>
  <c r="B1170" i="4"/>
  <c r="A1170" i="4"/>
  <c r="H1169" i="4"/>
  <c r="G1169" i="4"/>
  <c r="D1169" i="4"/>
  <c r="C1169" i="4"/>
  <c r="B1169" i="4"/>
  <c r="A1169" i="4"/>
  <c r="H1168" i="4"/>
  <c r="G1168" i="4"/>
  <c r="D1168" i="4"/>
  <c r="C1168" i="4"/>
  <c r="B1168" i="4"/>
  <c r="A1168" i="4"/>
  <c r="H1167" i="4"/>
  <c r="G1167" i="4"/>
  <c r="D1167" i="4"/>
  <c r="C1167" i="4"/>
  <c r="B1167" i="4"/>
  <c r="A1167" i="4"/>
  <c r="H1166" i="4"/>
  <c r="G1166" i="4"/>
  <c r="D1166" i="4"/>
  <c r="C1166" i="4"/>
  <c r="B1166" i="4"/>
  <c r="A1166" i="4"/>
  <c r="H1165" i="4"/>
  <c r="G1165" i="4"/>
  <c r="D1165" i="4"/>
  <c r="C1165" i="4"/>
  <c r="B1165" i="4"/>
  <c r="A1165" i="4"/>
  <c r="H1164" i="4"/>
  <c r="G1164" i="4"/>
  <c r="D1164" i="4"/>
  <c r="C1164" i="4"/>
  <c r="B1164" i="4"/>
  <c r="A1164" i="4"/>
  <c r="H1163" i="4"/>
  <c r="G1163" i="4"/>
  <c r="D1163" i="4"/>
  <c r="C1163" i="4"/>
  <c r="B1163" i="4"/>
  <c r="A1163" i="4"/>
  <c r="H1162" i="4"/>
  <c r="G1162" i="4"/>
  <c r="D1162" i="4"/>
  <c r="C1162" i="4"/>
  <c r="B1162" i="4"/>
  <c r="A1162" i="4"/>
  <c r="H1161" i="4"/>
  <c r="G1161" i="4"/>
  <c r="D1161" i="4"/>
  <c r="C1161" i="4"/>
  <c r="B1161" i="4"/>
  <c r="A1161" i="4"/>
  <c r="H1160" i="4"/>
  <c r="G1160" i="4"/>
  <c r="D1160" i="4"/>
  <c r="C1160" i="4"/>
  <c r="B1160" i="4"/>
  <c r="A1160" i="4"/>
  <c r="H1159" i="4"/>
  <c r="G1159" i="4"/>
  <c r="D1159" i="4"/>
  <c r="C1159" i="4"/>
  <c r="B1159" i="4"/>
  <c r="A1159" i="4"/>
  <c r="H1158" i="4"/>
  <c r="G1158" i="4"/>
  <c r="D1158" i="4"/>
  <c r="C1158" i="4"/>
  <c r="B1158" i="4"/>
  <c r="A1158" i="4"/>
  <c r="H1157" i="4"/>
  <c r="G1157" i="4"/>
  <c r="D1157" i="4"/>
  <c r="C1157" i="4"/>
  <c r="B1157" i="4"/>
  <c r="A1157" i="4"/>
  <c r="H1156" i="4"/>
  <c r="G1156" i="4"/>
  <c r="D1156" i="4"/>
  <c r="C1156" i="4"/>
  <c r="B1156" i="4"/>
  <c r="A1156" i="4"/>
  <c r="H1155" i="4"/>
  <c r="G1155" i="4"/>
  <c r="D1155" i="4"/>
  <c r="C1155" i="4"/>
  <c r="B1155" i="4"/>
  <c r="A1155" i="4"/>
  <c r="H1154" i="4"/>
  <c r="G1154" i="4"/>
  <c r="D1154" i="4"/>
  <c r="C1154" i="4"/>
  <c r="B1154" i="4"/>
  <c r="A1154" i="4"/>
  <c r="H1153" i="4"/>
  <c r="G1153" i="4"/>
  <c r="D1153" i="4"/>
  <c r="C1153" i="4"/>
  <c r="B1153" i="4"/>
  <c r="A1153" i="4"/>
  <c r="H1152" i="4"/>
  <c r="G1152" i="4"/>
  <c r="D1152" i="4"/>
  <c r="C1152" i="4"/>
  <c r="B1152" i="4"/>
  <c r="A1152" i="4"/>
  <c r="H1151" i="4"/>
  <c r="G1151" i="4"/>
  <c r="D1151" i="4"/>
  <c r="C1151" i="4"/>
  <c r="B1151" i="4"/>
  <c r="A1151" i="4"/>
  <c r="H1150" i="4"/>
  <c r="G1150" i="4"/>
  <c r="D1150" i="4"/>
  <c r="C1150" i="4"/>
  <c r="B1150" i="4"/>
  <c r="A1150" i="4"/>
  <c r="H1149" i="4"/>
  <c r="G1149" i="4"/>
  <c r="D1149" i="4"/>
  <c r="C1149" i="4"/>
  <c r="B1149" i="4"/>
  <c r="A1149" i="4"/>
  <c r="H1148" i="4"/>
  <c r="G1148" i="4"/>
  <c r="D1148" i="4"/>
  <c r="C1148" i="4"/>
  <c r="B1148" i="4"/>
  <c r="A1148" i="4"/>
  <c r="H1147" i="4"/>
  <c r="G1147" i="4"/>
  <c r="D1147" i="4"/>
  <c r="C1147" i="4"/>
  <c r="B1147" i="4"/>
  <c r="A1147" i="4"/>
  <c r="H1146" i="4"/>
  <c r="G1146" i="4"/>
  <c r="D1146" i="4"/>
  <c r="C1146" i="4"/>
  <c r="B1146" i="4"/>
  <c r="A1146" i="4"/>
  <c r="H1145" i="4"/>
  <c r="G1145" i="4"/>
  <c r="D1145" i="4"/>
  <c r="C1145" i="4"/>
  <c r="B1145" i="4"/>
  <c r="A1145" i="4"/>
  <c r="H1144" i="4"/>
  <c r="G1144" i="4"/>
  <c r="D1144" i="4"/>
  <c r="C1144" i="4"/>
  <c r="B1144" i="4"/>
  <c r="A1144" i="4"/>
  <c r="H1143" i="4"/>
  <c r="G1143" i="4"/>
  <c r="D1143" i="4"/>
  <c r="C1143" i="4"/>
  <c r="B1143" i="4"/>
  <c r="A1143" i="4"/>
  <c r="H1142" i="4"/>
  <c r="G1142" i="4"/>
  <c r="D1142" i="4"/>
  <c r="C1142" i="4"/>
  <c r="B1142" i="4"/>
  <c r="A1142" i="4"/>
  <c r="H1141" i="4"/>
  <c r="G1141" i="4"/>
  <c r="D1141" i="4"/>
  <c r="C1141" i="4"/>
  <c r="B1141" i="4"/>
  <c r="A1141" i="4"/>
  <c r="H1140" i="4"/>
  <c r="G1140" i="4"/>
  <c r="D1140" i="4"/>
  <c r="C1140" i="4"/>
  <c r="B1140" i="4"/>
  <c r="A1140" i="4"/>
  <c r="H1139" i="4"/>
  <c r="G1139" i="4"/>
  <c r="D1139" i="4"/>
  <c r="C1139" i="4"/>
  <c r="B1139" i="4"/>
  <c r="A1139" i="4"/>
  <c r="H1138" i="4"/>
  <c r="G1138" i="4"/>
  <c r="D1138" i="4"/>
  <c r="C1138" i="4"/>
  <c r="B1138" i="4"/>
  <c r="A1138" i="4"/>
  <c r="H1137" i="4"/>
  <c r="G1137" i="4"/>
  <c r="D1137" i="4"/>
  <c r="C1137" i="4"/>
  <c r="B1137" i="4"/>
  <c r="A1137" i="4"/>
  <c r="H1136" i="4"/>
  <c r="G1136" i="4"/>
  <c r="D1136" i="4"/>
  <c r="C1136" i="4"/>
  <c r="B1136" i="4"/>
  <c r="A1136" i="4"/>
  <c r="H1135" i="4"/>
  <c r="G1135" i="4"/>
  <c r="D1135" i="4"/>
  <c r="C1135" i="4"/>
  <c r="B1135" i="4"/>
  <c r="A1135" i="4"/>
  <c r="H1134" i="4"/>
  <c r="G1134" i="4"/>
  <c r="D1134" i="4"/>
  <c r="C1134" i="4"/>
  <c r="B1134" i="4"/>
  <c r="A1134" i="4"/>
  <c r="H1133" i="4"/>
  <c r="G1133" i="4"/>
  <c r="D1133" i="4"/>
  <c r="C1133" i="4"/>
  <c r="B1133" i="4"/>
  <c r="A1133" i="4"/>
  <c r="H1132" i="4"/>
  <c r="G1132" i="4"/>
  <c r="D1132" i="4"/>
  <c r="C1132" i="4"/>
  <c r="B1132" i="4"/>
  <c r="A1132" i="4"/>
  <c r="H1131" i="4"/>
  <c r="G1131" i="4"/>
  <c r="D1131" i="4"/>
  <c r="C1131" i="4"/>
  <c r="B1131" i="4"/>
  <c r="A1131" i="4"/>
  <c r="H1130" i="4"/>
  <c r="G1130" i="4"/>
  <c r="D1130" i="4"/>
  <c r="C1130" i="4"/>
  <c r="B1130" i="4"/>
  <c r="A1130" i="4"/>
  <c r="H1129" i="4"/>
  <c r="G1129" i="4"/>
  <c r="D1129" i="4"/>
  <c r="C1129" i="4"/>
  <c r="B1129" i="4"/>
  <c r="A1129" i="4"/>
  <c r="H1128" i="4"/>
  <c r="G1128" i="4"/>
  <c r="D1128" i="4"/>
  <c r="C1128" i="4"/>
  <c r="B1128" i="4"/>
  <c r="A1128" i="4"/>
  <c r="H1127" i="4"/>
  <c r="G1127" i="4"/>
  <c r="D1127" i="4"/>
  <c r="C1127" i="4"/>
  <c r="B1127" i="4"/>
  <c r="A1127" i="4"/>
  <c r="H1126" i="4"/>
  <c r="G1126" i="4"/>
  <c r="D1126" i="4"/>
  <c r="C1126" i="4"/>
  <c r="B1126" i="4"/>
  <c r="A1126" i="4"/>
  <c r="H1125" i="4"/>
  <c r="G1125" i="4"/>
  <c r="D1125" i="4"/>
  <c r="C1125" i="4"/>
  <c r="B1125" i="4"/>
  <c r="A1125" i="4"/>
  <c r="H1124" i="4"/>
  <c r="G1124" i="4"/>
  <c r="D1124" i="4"/>
  <c r="C1124" i="4"/>
  <c r="B1124" i="4"/>
  <c r="A1124" i="4"/>
  <c r="H1123" i="4"/>
  <c r="G1123" i="4"/>
  <c r="D1123" i="4"/>
  <c r="C1123" i="4"/>
  <c r="B1123" i="4"/>
  <c r="A1123" i="4"/>
  <c r="H1122" i="4"/>
  <c r="G1122" i="4"/>
  <c r="D1122" i="4"/>
  <c r="C1122" i="4"/>
  <c r="B1122" i="4"/>
  <c r="A1122" i="4"/>
  <c r="H1121" i="4"/>
  <c r="G1121" i="4"/>
  <c r="D1121" i="4"/>
  <c r="C1121" i="4"/>
  <c r="B1121" i="4"/>
  <c r="A1121" i="4"/>
  <c r="H1120" i="4"/>
  <c r="G1120" i="4"/>
  <c r="D1120" i="4"/>
  <c r="C1120" i="4"/>
  <c r="B1120" i="4"/>
  <c r="A1120" i="4"/>
  <c r="H1119" i="4"/>
  <c r="G1119" i="4"/>
  <c r="D1119" i="4"/>
  <c r="C1119" i="4"/>
  <c r="B1119" i="4"/>
  <c r="A1119" i="4"/>
  <c r="H1118" i="4"/>
  <c r="G1118" i="4"/>
  <c r="D1118" i="4"/>
  <c r="C1118" i="4"/>
  <c r="B1118" i="4"/>
  <c r="A1118" i="4"/>
  <c r="H1117" i="4"/>
  <c r="G1117" i="4"/>
  <c r="D1117" i="4"/>
  <c r="C1117" i="4"/>
  <c r="B1117" i="4"/>
  <c r="A1117" i="4"/>
  <c r="H1116" i="4"/>
  <c r="G1116" i="4"/>
  <c r="D1116" i="4"/>
  <c r="C1116" i="4"/>
  <c r="B1116" i="4"/>
  <c r="A1116" i="4"/>
  <c r="H1115" i="4"/>
  <c r="G1115" i="4"/>
  <c r="D1115" i="4"/>
  <c r="C1115" i="4"/>
  <c r="B1115" i="4"/>
  <c r="A1115" i="4"/>
  <c r="H1114" i="4"/>
  <c r="G1114" i="4"/>
  <c r="D1114" i="4"/>
  <c r="C1114" i="4"/>
  <c r="B1114" i="4"/>
  <c r="A1114" i="4"/>
  <c r="H1113" i="4"/>
  <c r="G1113" i="4"/>
  <c r="D1113" i="4"/>
  <c r="C1113" i="4"/>
  <c r="B1113" i="4"/>
  <c r="A1113" i="4"/>
  <c r="H1112" i="4"/>
  <c r="G1112" i="4"/>
  <c r="D1112" i="4"/>
  <c r="C1112" i="4"/>
  <c r="B1112" i="4"/>
  <c r="A1112" i="4"/>
  <c r="H1111" i="4"/>
  <c r="G1111" i="4"/>
  <c r="D1111" i="4"/>
  <c r="C1111" i="4"/>
  <c r="B1111" i="4"/>
  <c r="A1111" i="4"/>
  <c r="H1110" i="4"/>
  <c r="G1110" i="4"/>
  <c r="D1110" i="4"/>
  <c r="C1110" i="4"/>
  <c r="B1110" i="4"/>
  <c r="A1110" i="4"/>
  <c r="H1109" i="4"/>
  <c r="G1109" i="4"/>
  <c r="D1109" i="4"/>
  <c r="C1109" i="4"/>
  <c r="B1109" i="4"/>
  <c r="A1109" i="4"/>
  <c r="H1108" i="4"/>
  <c r="G1108" i="4"/>
  <c r="D1108" i="4"/>
  <c r="C1108" i="4"/>
  <c r="B1108" i="4"/>
  <c r="A1108" i="4"/>
  <c r="H1107" i="4"/>
  <c r="G1107" i="4"/>
  <c r="D1107" i="4"/>
  <c r="C1107" i="4"/>
  <c r="B1107" i="4"/>
  <c r="A1107" i="4"/>
  <c r="H1106" i="4"/>
  <c r="G1106" i="4"/>
  <c r="D1106" i="4"/>
  <c r="C1106" i="4"/>
  <c r="B1106" i="4"/>
  <c r="A1106" i="4"/>
  <c r="H1105" i="4"/>
  <c r="G1105" i="4"/>
  <c r="D1105" i="4"/>
  <c r="C1105" i="4"/>
  <c r="B1105" i="4"/>
  <c r="A1105" i="4"/>
  <c r="H1104" i="4"/>
  <c r="G1104" i="4"/>
  <c r="D1104" i="4"/>
  <c r="C1104" i="4"/>
  <c r="B1104" i="4"/>
  <c r="A1104" i="4"/>
  <c r="H1103" i="4"/>
  <c r="G1103" i="4"/>
  <c r="D1103" i="4"/>
  <c r="C1103" i="4"/>
  <c r="B1103" i="4"/>
  <c r="A1103" i="4"/>
  <c r="H1102" i="4"/>
  <c r="G1102" i="4"/>
  <c r="D1102" i="4"/>
  <c r="C1102" i="4"/>
  <c r="B1102" i="4"/>
  <c r="A1102" i="4"/>
  <c r="H1101" i="4"/>
  <c r="G1101" i="4"/>
  <c r="D1101" i="4"/>
  <c r="C1101" i="4"/>
  <c r="B1101" i="4"/>
  <c r="A1101" i="4"/>
  <c r="H1100" i="4"/>
  <c r="G1100" i="4"/>
  <c r="D1100" i="4"/>
  <c r="C1100" i="4"/>
  <c r="B1100" i="4"/>
  <c r="A1100" i="4"/>
  <c r="H1099" i="4"/>
  <c r="G1099" i="4"/>
  <c r="D1099" i="4"/>
  <c r="C1099" i="4"/>
  <c r="B1099" i="4"/>
  <c r="A1099" i="4"/>
  <c r="H1098" i="4"/>
  <c r="G1098" i="4"/>
  <c r="D1098" i="4"/>
  <c r="C1098" i="4"/>
  <c r="B1098" i="4"/>
  <c r="A1098" i="4"/>
  <c r="H1097" i="4"/>
  <c r="G1097" i="4"/>
  <c r="D1097" i="4"/>
  <c r="C1097" i="4"/>
  <c r="B1097" i="4"/>
  <c r="A1097" i="4"/>
  <c r="H1096" i="4"/>
  <c r="G1096" i="4"/>
  <c r="D1096" i="4"/>
  <c r="C1096" i="4"/>
  <c r="B1096" i="4"/>
  <c r="A1096" i="4"/>
  <c r="H1095" i="4"/>
  <c r="G1095" i="4"/>
  <c r="D1095" i="4"/>
  <c r="C1095" i="4"/>
  <c r="B1095" i="4"/>
  <c r="A1095" i="4"/>
  <c r="H1094" i="4"/>
  <c r="G1094" i="4"/>
  <c r="D1094" i="4"/>
  <c r="C1094" i="4"/>
  <c r="B1094" i="4"/>
  <c r="A1094" i="4"/>
  <c r="H1093" i="4"/>
  <c r="G1093" i="4"/>
  <c r="D1093" i="4"/>
  <c r="C1093" i="4"/>
  <c r="B1093" i="4"/>
  <c r="A1093" i="4"/>
  <c r="H1092" i="4"/>
  <c r="G1092" i="4"/>
  <c r="D1092" i="4"/>
  <c r="C1092" i="4"/>
  <c r="B1092" i="4"/>
  <c r="A1092" i="4"/>
  <c r="H1091" i="4"/>
  <c r="G1091" i="4"/>
  <c r="D1091" i="4"/>
  <c r="C1091" i="4"/>
  <c r="B1091" i="4"/>
  <c r="A1091" i="4"/>
  <c r="H1090" i="4"/>
  <c r="G1090" i="4"/>
  <c r="D1090" i="4"/>
  <c r="C1090" i="4"/>
  <c r="B1090" i="4"/>
  <c r="A1090" i="4"/>
  <c r="H1089" i="4"/>
  <c r="G1089" i="4"/>
  <c r="D1089" i="4"/>
  <c r="C1089" i="4"/>
  <c r="B1089" i="4"/>
  <c r="A1089" i="4"/>
  <c r="H1088" i="4"/>
  <c r="G1088" i="4"/>
  <c r="D1088" i="4"/>
  <c r="C1088" i="4"/>
  <c r="B1088" i="4"/>
  <c r="A1088" i="4"/>
  <c r="H1087" i="4"/>
  <c r="G1087" i="4"/>
  <c r="D1087" i="4"/>
  <c r="C1087" i="4"/>
  <c r="B1087" i="4"/>
  <c r="A1087" i="4"/>
  <c r="H1086" i="4"/>
  <c r="G1086" i="4"/>
  <c r="D1086" i="4"/>
  <c r="C1086" i="4"/>
  <c r="B1086" i="4"/>
  <c r="A1086" i="4"/>
  <c r="H1085" i="4"/>
  <c r="G1085" i="4"/>
  <c r="D1085" i="4"/>
  <c r="C1085" i="4"/>
  <c r="B1085" i="4"/>
  <c r="A1085" i="4"/>
  <c r="H1084" i="4"/>
  <c r="G1084" i="4"/>
  <c r="D1084" i="4"/>
  <c r="C1084" i="4"/>
  <c r="B1084" i="4"/>
  <c r="A1084" i="4"/>
  <c r="H1621" i="4"/>
  <c r="G1621" i="4"/>
  <c r="D1621" i="4"/>
  <c r="C1621" i="4"/>
  <c r="B1621" i="4"/>
  <c r="A1621" i="4"/>
  <c r="H1620" i="4"/>
  <c r="G1620" i="4"/>
  <c r="D1620" i="4"/>
  <c r="C1620" i="4"/>
  <c r="B1620" i="4"/>
  <c r="A1620" i="4"/>
  <c r="H1083" i="4"/>
  <c r="G1083" i="4"/>
  <c r="D1083" i="4"/>
  <c r="C1083" i="4"/>
  <c r="B1083" i="4"/>
  <c r="A1083" i="4"/>
  <c r="H1082" i="4"/>
  <c r="G1082" i="4"/>
  <c r="D1082" i="4"/>
  <c r="C1082" i="4"/>
  <c r="B1082" i="4"/>
  <c r="A1082" i="4"/>
  <c r="H1081" i="4"/>
  <c r="G1081" i="4"/>
  <c r="D1081" i="4"/>
  <c r="C1081" i="4"/>
  <c r="B1081" i="4"/>
  <c r="A1081" i="4"/>
  <c r="H1080" i="4"/>
  <c r="G1080" i="4"/>
  <c r="D1080" i="4"/>
  <c r="C1080" i="4"/>
  <c r="B1080" i="4"/>
  <c r="A1080" i="4"/>
  <c r="H1079" i="4"/>
  <c r="G1079" i="4"/>
  <c r="D1079" i="4"/>
  <c r="C1079" i="4"/>
  <c r="B1079" i="4"/>
  <c r="A1079" i="4"/>
  <c r="H1078" i="4"/>
  <c r="G1078" i="4"/>
  <c r="D1078" i="4"/>
  <c r="C1078" i="4"/>
  <c r="B1078" i="4"/>
  <c r="A1078" i="4"/>
  <c r="H1077" i="4"/>
  <c r="G1077" i="4"/>
  <c r="D1077" i="4"/>
  <c r="C1077" i="4"/>
  <c r="B1077" i="4"/>
  <c r="A1077" i="4"/>
  <c r="H1076" i="4"/>
  <c r="G1076" i="4"/>
  <c r="D1076" i="4"/>
  <c r="C1076" i="4"/>
  <c r="B1076" i="4"/>
  <c r="A1076" i="4"/>
  <c r="H1075" i="4"/>
  <c r="G1075" i="4"/>
  <c r="D1075" i="4"/>
  <c r="C1075" i="4"/>
  <c r="B1075" i="4"/>
  <c r="A1075" i="4"/>
  <c r="H1074" i="4"/>
  <c r="G1074" i="4"/>
  <c r="D1074" i="4"/>
  <c r="C1074" i="4"/>
  <c r="B1074" i="4"/>
  <c r="A1074" i="4"/>
  <c r="H1073" i="4"/>
  <c r="G1073" i="4"/>
  <c r="D1073" i="4"/>
  <c r="C1073" i="4"/>
  <c r="B1073" i="4"/>
  <c r="A1073" i="4"/>
  <c r="H1072" i="4"/>
  <c r="G1072" i="4"/>
  <c r="D1072" i="4"/>
  <c r="C1072" i="4"/>
  <c r="B1072" i="4"/>
  <c r="A1072" i="4"/>
  <c r="H1071" i="4"/>
  <c r="G1071" i="4"/>
  <c r="D1071" i="4"/>
  <c r="C1071" i="4"/>
  <c r="B1071" i="4"/>
  <c r="A1071" i="4"/>
  <c r="H1070" i="4"/>
  <c r="G1070" i="4"/>
  <c r="D1070" i="4"/>
  <c r="C1070" i="4"/>
  <c r="B1070" i="4"/>
  <c r="A1070" i="4"/>
  <c r="H1069" i="4"/>
  <c r="G1069" i="4"/>
  <c r="D1069" i="4"/>
  <c r="C1069" i="4"/>
  <c r="B1069" i="4"/>
  <c r="A1069" i="4"/>
  <c r="H1068" i="4"/>
  <c r="G1068" i="4"/>
  <c r="D1068" i="4"/>
  <c r="C1068" i="4"/>
  <c r="B1068" i="4"/>
  <c r="A1068" i="4"/>
  <c r="H1067" i="4"/>
  <c r="G1067" i="4"/>
  <c r="D1067" i="4"/>
  <c r="C1067" i="4"/>
  <c r="B1067" i="4"/>
  <c r="A1067" i="4"/>
  <c r="H1066" i="4"/>
  <c r="G1066" i="4"/>
  <c r="D1066" i="4"/>
  <c r="C1066" i="4"/>
  <c r="B1066" i="4"/>
  <c r="A1066" i="4"/>
  <c r="H1065" i="4"/>
  <c r="G1065" i="4"/>
  <c r="D1065" i="4"/>
  <c r="C1065" i="4"/>
  <c r="B1065" i="4"/>
  <c r="A1065" i="4"/>
  <c r="H1064" i="4"/>
  <c r="G1064" i="4"/>
  <c r="D1064" i="4"/>
  <c r="C1064" i="4"/>
  <c r="B1064" i="4"/>
  <c r="A1064" i="4"/>
  <c r="H1063" i="4"/>
  <c r="G1063" i="4"/>
  <c r="D1063" i="4"/>
  <c r="C1063" i="4"/>
  <c r="B1063" i="4"/>
  <c r="A1063" i="4"/>
  <c r="H1062" i="4"/>
  <c r="G1062" i="4"/>
  <c r="D1062" i="4"/>
  <c r="C1062" i="4"/>
  <c r="B1062" i="4"/>
  <c r="A1062" i="4"/>
  <c r="H1061" i="4"/>
  <c r="G1061" i="4"/>
  <c r="D1061" i="4"/>
  <c r="C1061" i="4"/>
  <c r="B1061" i="4"/>
  <c r="A1061" i="4"/>
  <c r="H1060" i="4"/>
  <c r="G1060" i="4"/>
  <c r="D1060" i="4"/>
  <c r="C1060" i="4"/>
  <c r="B1060" i="4"/>
  <c r="A1060" i="4"/>
  <c r="H1059" i="4"/>
  <c r="G1059" i="4"/>
  <c r="D1059" i="4"/>
  <c r="C1059" i="4"/>
  <c r="B1059" i="4"/>
  <c r="A1059" i="4"/>
  <c r="H1058" i="4"/>
  <c r="G1058" i="4"/>
  <c r="D1058" i="4"/>
  <c r="C1058" i="4"/>
  <c r="B1058" i="4"/>
  <c r="A1058" i="4"/>
  <c r="H1057" i="4"/>
  <c r="G1057" i="4"/>
  <c r="D1057" i="4"/>
  <c r="C1057" i="4"/>
  <c r="B1057" i="4"/>
  <c r="A1057" i="4"/>
  <c r="H1056" i="4"/>
  <c r="G1056" i="4"/>
  <c r="D1056" i="4"/>
  <c r="C1056" i="4"/>
  <c r="B1056" i="4"/>
  <c r="A1056" i="4"/>
  <c r="H1055" i="4"/>
  <c r="G1055" i="4"/>
  <c r="D1055" i="4"/>
  <c r="C1055" i="4"/>
  <c r="B1055" i="4"/>
  <c r="A1055" i="4"/>
  <c r="H1054" i="4"/>
  <c r="G1054" i="4"/>
  <c r="D1054" i="4"/>
  <c r="C1054" i="4"/>
  <c r="B1054" i="4"/>
  <c r="A1054" i="4"/>
  <c r="H1053" i="4"/>
  <c r="G1053" i="4"/>
  <c r="D1053" i="4"/>
  <c r="C1053" i="4"/>
  <c r="B1053" i="4"/>
  <c r="A1053" i="4"/>
  <c r="H1052" i="4"/>
  <c r="G1052" i="4"/>
  <c r="D1052" i="4"/>
  <c r="C1052" i="4"/>
  <c r="B1052" i="4"/>
  <c r="A1052" i="4"/>
  <c r="H1051" i="4"/>
  <c r="G1051" i="4"/>
  <c r="D1051" i="4"/>
  <c r="C1051" i="4"/>
  <c r="B1051" i="4"/>
  <c r="A1051" i="4"/>
  <c r="H1050" i="4"/>
  <c r="G1050" i="4"/>
  <c r="D1050" i="4"/>
  <c r="C1050" i="4"/>
  <c r="B1050" i="4"/>
  <c r="A1050" i="4"/>
  <c r="H1049" i="4"/>
  <c r="G1049" i="4"/>
  <c r="D1049" i="4"/>
  <c r="C1049" i="4"/>
  <c r="B1049" i="4"/>
  <c r="A1049" i="4"/>
  <c r="H1048" i="4"/>
  <c r="G1048" i="4"/>
  <c r="D1048" i="4"/>
  <c r="C1048" i="4"/>
  <c r="B1048" i="4"/>
  <c r="A1048" i="4"/>
  <c r="H1047" i="4"/>
  <c r="G1047" i="4"/>
  <c r="D1047" i="4"/>
  <c r="C1047" i="4"/>
  <c r="B1047" i="4"/>
  <c r="A1047" i="4"/>
  <c r="H1046" i="4"/>
  <c r="G1046" i="4"/>
  <c r="D1046" i="4"/>
  <c r="C1046" i="4"/>
  <c r="B1046" i="4"/>
  <c r="A1046" i="4"/>
  <c r="H1045" i="4"/>
  <c r="G1045" i="4"/>
  <c r="D1045" i="4"/>
  <c r="C1045" i="4"/>
  <c r="B1045" i="4"/>
  <c r="A1045" i="4"/>
  <c r="H1044" i="4"/>
  <c r="G1044" i="4"/>
  <c r="D1044" i="4"/>
  <c r="C1044" i="4"/>
  <c r="B1044" i="4"/>
  <c r="A1044" i="4"/>
  <c r="H1043" i="4"/>
  <c r="G1043" i="4"/>
  <c r="D1043" i="4"/>
  <c r="C1043" i="4"/>
  <c r="B1043" i="4"/>
  <c r="A1043" i="4"/>
  <c r="H1042" i="4"/>
  <c r="G1042" i="4"/>
  <c r="D1042" i="4"/>
  <c r="C1042" i="4"/>
  <c r="B1042" i="4"/>
  <c r="A1042" i="4"/>
  <c r="H1041" i="4"/>
  <c r="G1041" i="4"/>
  <c r="D1041" i="4"/>
  <c r="C1041" i="4"/>
  <c r="B1041" i="4"/>
  <c r="A1041" i="4"/>
  <c r="H1040" i="4"/>
  <c r="G1040" i="4"/>
  <c r="D1040" i="4"/>
  <c r="C1040" i="4"/>
  <c r="B1040" i="4"/>
  <c r="A1040" i="4"/>
  <c r="H1039" i="4"/>
  <c r="G1039" i="4"/>
  <c r="D1039" i="4"/>
  <c r="C1039" i="4"/>
  <c r="B1039" i="4"/>
  <c r="A1039" i="4"/>
  <c r="H1038" i="4"/>
  <c r="G1038" i="4"/>
  <c r="D1038" i="4"/>
  <c r="C1038" i="4"/>
  <c r="B1038" i="4"/>
  <c r="A1038" i="4"/>
  <c r="H1037" i="4"/>
  <c r="G1037" i="4"/>
  <c r="D1037" i="4"/>
  <c r="C1037" i="4"/>
  <c r="B1037" i="4"/>
  <c r="A1037" i="4"/>
  <c r="H1036" i="4"/>
  <c r="G1036" i="4"/>
  <c r="D1036" i="4"/>
  <c r="C1036" i="4"/>
  <c r="B1036" i="4"/>
  <c r="A1036" i="4"/>
  <c r="H1035" i="4"/>
  <c r="G1035" i="4"/>
  <c r="D1035" i="4"/>
  <c r="C1035" i="4"/>
  <c r="B1035" i="4"/>
  <c r="A1035" i="4"/>
  <c r="H1034" i="4"/>
  <c r="G1034" i="4"/>
  <c r="D1034" i="4"/>
  <c r="C1034" i="4"/>
  <c r="B1034" i="4"/>
  <c r="A1034" i="4"/>
  <c r="H1033" i="4"/>
  <c r="G1033" i="4"/>
  <c r="D1033" i="4"/>
  <c r="C1033" i="4"/>
  <c r="B1033" i="4"/>
  <c r="A1033" i="4"/>
  <c r="H1032" i="4"/>
  <c r="G1032" i="4"/>
  <c r="D1032" i="4"/>
  <c r="C1032" i="4"/>
  <c r="B1032" i="4"/>
  <c r="A1032" i="4"/>
  <c r="H1031" i="4"/>
  <c r="G1031" i="4"/>
  <c r="D1031" i="4"/>
  <c r="C1031" i="4"/>
  <c r="B1031" i="4"/>
  <c r="A1031" i="4"/>
  <c r="H1030" i="4"/>
  <c r="G1030" i="4"/>
  <c r="D1030" i="4"/>
  <c r="C1030" i="4"/>
  <c r="B1030" i="4"/>
  <c r="A1030" i="4"/>
  <c r="H1029" i="4"/>
  <c r="G1029" i="4"/>
  <c r="D1029" i="4"/>
  <c r="C1029" i="4"/>
  <c r="B1029" i="4"/>
  <c r="A1029" i="4"/>
  <c r="H1028" i="4"/>
  <c r="G1028" i="4"/>
  <c r="D1028" i="4"/>
  <c r="C1028" i="4"/>
  <c r="B1028" i="4"/>
  <c r="A1028" i="4"/>
  <c r="H1027" i="4"/>
  <c r="G1027" i="4"/>
  <c r="D1027" i="4"/>
  <c r="C1027" i="4"/>
  <c r="B1027" i="4"/>
  <c r="A1027" i="4"/>
  <c r="H1026" i="4"/>
  <c r="G1026" i="4"/>
  <c r="D1026" i="4"/>
  <c r="C1026" i="4"/>
  <c r="B1026" i="4"/>
  <c r="A1026" i="4"/>
  <c r="H1025" i="4"/>
  <c r="G1025" i="4"/>
  <c r="D1025" i="4"/>
  <c r="C1025" i="4"/>
  <c r="B1025" i="4"/>
  <c r="A1025" i="4"/>
  <c r="H1024" i="4"/>
  <c r="G1024" i="4"/>
  <c r="D1024" i="4"/>
  <c r="C1024" i="4"/>
  <c r="B1024" i="4"/>
  <c r="A1024" i="4"/>
  <c r="H1023" i="4"/>
  <c r="G1023" i="4"/>
  <c r="D1023" i="4"/>
  <c r="C1023" i="4"/>
  <c r="B1023" i="4"/>
  <c r="A1023" i="4"/>
  <c r="H1022" i="4"/>
  <c r="G1022" i="4"/>
  <c r="D1022" i="4"/>
  <c r="C1022" i="4"/>
  <c r="B1022" i="4"/>
  <c r="A1022" i="4"/>
  <c r="H1021" i="4"/>
  <c r="G1021" i="4"/>
  <c r="D1021" i="4"/>
  <c r="C1021" i="4"/>
  <c r="B1021" i="4"/>
  <c r="A1021" i="4"/>
  <c r="H1020" i="4"/>
  <c r="G1020" i="4"/>
  <c r="D1020" i="4"/>
  <c r="C1020" i="4"/>
  <c r="B1020" i="4"/>
  <c r="A1020" i="4"/>
  <c r="H1019" i="4"/>
  <c r="G1019" i="4"/>
  <c r="D1019" i="4"/>
  <c r="C1019" i="4"/>
  <c r="B1019" i="4"/>
  <c r="A1019" i="4"/>
  <c r="H1018" i="4"/>
  <c r="G1018" i="4"/>
  <c r="D1018" i="4"/>
  <c r="C1018" i="4"/>
  <c r="B1018" i="4"/>
  <c r="A1018" i="4"/>
  <c r="H1017" i="4"/>
  <c r="G1017" i="4"/>
  <c r="D1017" i="4"/>
  <c r="C1017" i="4"/>
  <c r="B1017" i="4"/>
  <c r="A1017" i="4"/>
  <c r="H1016" i="4"/>
  <c r="G1016" i="4"/>
  <c r="D1016" i="4"/>
  <c r="C1016" i="4"/>
  <c r="B1016" i="4"/>
  <c r="A1016" i="4"/>
  <c r="H1015" i="4"/>
  <c r="G1015" i="4"/>
  <c r="D1015" i="4"/>
  <c r="C1015" i="4"/>
  <c r="B1015" i="4"/>
  <c r="A1015" i="4"/>
  <c r="H1014" i="4"/>
  <c r="G1014" i="4"/>
  <c r="D1014" i="4"/>
  <c r="C1014" i="4"/>
  <c r="B1014" i="4"/>
  <c r="A1014" i="4"/>
  <c r="H1013" i="4"/>
  <c r="G1013" i="4"/>
  <c r="D1013" i="4"/>
  <c r="C1013" i="4"/>
  <c r="B1013" i="4"/>
  <c r="A1013" i="4"/>
  <c r="H1012" i="4"/>
  <c r="G1012" i="4"/>
  <c r="D1012" i="4"/>
  <c r="C1012" i="4"/>
  <c r="B1012" i="4"/>
  <c r="A1012" i="4"/>
  <c r="H1011" i="4"/>
  <c r="G1011" i="4"/>
  <c r="D1011" i="4"/>
  <c r="C1011" i="4"/>
  <c r="B1011" i="4"/>
  <c r="A1011" i="4"/>
  <c r="H1010" i="4"/>
  <c r="G1010" i="4"/>
  <c r="D1010" i="4"/>
  <c r="C1010" i="4"/>
  <c r="B1010" i="4"/>
  <c r="A1010" i="4"/>
  <c r="H1009" i="4"/>
  <c r="G1009" i="4"/>
  <c r="D1009" i="4"/>
  <c r="C1009" i="4"/>
  <c r="B1009" i="4"/>
  <c r="A1009" i="4"/>
  <c r="H1008" i="4"/>
  <c r="G1008" i="4"/>
  <c r="D1008" i="4"/>
  <c r="C1008" i="4"/>
  <c r="B1008" i="4"/>
  <c r="A1008" i="4"/>
  <c r="H1007" i="4"/>
  <c r="G1007" i="4"/>
  <c r="D1007" i="4"/>
  <c r="C1007" i="4"/>
  <c r="B1007" i="4"/>
  <c r="A1007" i="4"/>
  <c r="H115" i="4"/>
  <c r="G115" i="4"/>
  <c r="D115" i="4"/>
  <c r="C115" i="4"/>
  <c r="B115" i="4"/>
  <c r="A115" i="4"/>
  <c r="H114" i="4"/>
  <c r="G114" i="4"/>
  <c r="D114" i="4"/>
  <c r="C114" i="4"/>
  <c r="B114" i="4"/>
  <c r="A114" i="4"/>
  <c r="H113" i="4"/>
  <c r="G113" i="4"/>
  <c r="D113" i="4"/>
  <c r="C113" i="4"/>
  <c r="B113" i="4"/>
  <c r="A113" i="4"/>
  <c r="H112" i="4"/>
  <c r="G112" i="4"/>
  <c r="D112" i="4"/>
  <c r="C112" i="4"/>
  <c r="B112" i="4"/>
  <c r="A112" i="4"/>
  <c r="H111" i="4"/>
  <c r="G111" i="4"/>
  <c r="D111" i="4"/>
  <c r="C111" i="4"/>
  <c r="B111" i="4"/>
  <c r="A111" i="4"/>
  <c r="H110" i="4"/>
  <c r="G110" i="4"/>
  <c r="D110" i="4"/>
  <c r="C110" i="4"/>
  <c r="B110" i="4"/>
  <c r="A110" i="4"/>
  <c r="H109" i="4"/>
  <c r="G109" i="4"/>
  <c r="D109" i="4"/>
  <c r="C109" i="4"/>
  <c r="B109" i="4"/>
  <c r="A109" i="4"/>
  <c r="H108" i="4"/>
  <c r="G108" i="4"/>
  <c r="D108" i="4"/>
  <c r="C108" i="4"/>
  <c r="B108" i="4"/>
  <c r="A108" i="4"/>
  <c r="H107" i="4"/>
  <c r="G107" i="4"/>
  <c r="D107" i="4"/>
  <c r="C107" i="4"/>
  <c r="B107" i="4"/>
  <c r="A107" i="4"/>
  <c r="H106" i="4"/>
  <c r="G106" i="4"/>
  <c r="D106" i="4"/>
  <c r="C106" i="4"/>
  <c r="B106" i="4"/>
  <c r="A106" i="4"/>
  <c r="H105" i="4"/>
  <c r="G105" i="4"/>
  <c r="D105" i="4"/>
  <c r="C105" i="4"/>
  <c r="B105" i="4"/>
  <c r="A105" i="4"/>
  <c r="H104" i="4"/>
  <c r="G104" i="4"/>
  <c r="D104" i="4"/>
  <c r="C104" i="4"/>
  <c r="B104" i="4"/>
  <c r="A104" i="4"/>
  <c r="H103" i="4"/>
  <c r="G103" i="4"/>
  <c r="D103" i="4"/>
  <c r="C103" i="4"/>
  <c r="B103" i="4"/>
  <c r="A103" i="4"/>
  <c r="H102" i="4"/>
  <c r="G102" i="4"/>
  <c r="D102" i="4"/>
  <c r="C102" i="4"/>
  <c r="B102" i="4"/>
  <c r="A102" i="4"/>
  <c r="H101" i="4"/>
  <c r="G101" i="4"/>
  <c r="D101" i="4"/>
  <c r="C101" i="4"/>
  <c r="B101" i="4"/>
  <c r="A101" i="4"/>
  <c r="H100" i="4"/>
  <c r="G100" i="4"/>
  <c r="D100" i="4"/>
  <c r="C100" i="4"/>
  <c r="B100" i="4"/>
  <c r="A100" i="4"/>
  <c r="H99" i="4"/>
  <c r="G99" i="4"/>
  <c r="D99" i="4"/>
  <c r="C99" i="4"/>
  <c r="B99" i="4"/>
  <c r="A99" i="4"/>
  <c r="H98" i="4"/>
  <c r="G98" i="4"/>
  <c r="D98" i="4"/>
  <c r="C98" i="4"/>
  <c r="B98" i="4"/>
  <c r="A98" i="4"/>
  <c r="H1840" i="4"/>
  <c r="G1840" i="4"/>
  <c r="D1840" i="4"/>
  <c r="C1840" i="4"/>
  <c r="B1840" i="4"/>
  <c r="A1840" i="4"/>
  <c r="H1839" i="4"/>
  <c r="G1839" i="4"/>
  <c r="D1839" i="4"/>
  <c r="C1839" i="4"/>
  <c r="B1839" i="4"/>
  <c r="A1839" i="4"/>
  <c r="H1838" i="4"/>
  <c r="G1838" i="4"/>
  <c r="D1838" i="4"/>
  <c r="C1838" i="4"/>
  <c r="B1838" i="4"/>
  <c r="A1838" i="4"/>
  <c r="H1006" i="4"/>
  <c r="G1006" i="4"/>
  <c r="D1006" i="4"/>
  <c r="C1006" i="4"/>
  <c r="B1006" i="4"/>
  <c r="A1006" i="4"/>
  <c r="H1005" i="4"/>
  <c r="G1005" i="4"/>
  <c r="D1005" i="4"/>
  <c r="C1005" i="4"/>
  <c r="B1005" i="4"/>
  <c r="A1005" i="4"/>
  <c r="H1004" i="4"/>
  <c r="G1004" i="4"/>
  <c r="D1004" i="4"/>
  <c r="C1004" i="4"/>
  <c r="B1004" i="4"/>
  <c r="A1004" i="4"/>
  <c r="H1003" i="4"/>
  <c r="G1003" i="4"/>
  <c r="D1003" i="4"/>
  <c r="C1003" i="4"/>
  <c r="B1003" i="4"/>
  <c r="A1003" i="4"/>
  <c r="H1002" i="4"/>
  <c r="G1002" i="4"/>
  <c r="D1002" i="4"/>
  <c r="C1002" i="4"/>
  <c r="B1002" i="4"/>
  <c r="A1002" i="4"/>
  <c r="H1001" i="4"/>
  <c r="G1001" i="4"/>
  <c r="D1001" i="4"/>
  <c r="C1001" i="4"/>
  <c r="B1001" i="4"/>
  <c r="A1001" i="4"/>
  <c r="H1000" i="4"/>
  <c r="G1000" i="4"/>
  <c r="D1000" i="4"/>
  <c r="C1000" i="4"/>
  <c r="B1000" i="4"/>
  <c r="A1000" i="4"/>
  <c r="H999" i="4"/>
  <c r="G999" i="4"/>
  <c r="D999" i="4"/>
  <c r="C999" i="4"/>
  <c r="B999" i="4"/>
  <c r="A999" i="4"/>
  <c r="H998" i="4"/>
  <c r="G998" i="4"/>
  <c r="D998" i="4"/>
  <c r="C998" i="4"/>
  <c r="B998" i="4"/>
  <c r="A998" i="4"/>
  <c r="H997" i="4"/>
  <c r="G997" i="4"/>
  <c r="D997" i="4"/>
  <c r="C997" i="4"/>
  <c r="B997" i="4"/>
  <c r="A997" i="4"/>
  <c r="H996" i="4"/>
  <c r="G996" i="4"/>
  <c r="D996" i="4"/>
  <c r="C996" i="4"/>
  <c r="B996" i="4"/>
  <c r="A996" i="4"/>
  <c r="H995" i="4"/>
  <c r="G995" i="4"/>
  <c r="D995" i="4"/>
  <c r="C995" i="4"/>
  <c r="B995" i="4"/>
  <c r="A995" i="4"/>
  <c r="H994" i="4"/>
  <c r="G994" i="4"/>
  <c r="D994" i="4"/>
  <c r="C994" i="4"/>
  <c r="B994" i="4"/>
  <c r="A994" i="4"/>
  <c r="H993" i="4"/>
  <c r="G993" i="4"/>
  <c r="D993" i="4"/>
  <c r="C993" i="4"/>
  <c r="B993" i="4"/>
  <c r="A993" i="4"/>
  <c r="H992" i="4"/>
  <c r="G992" i="4"/>
  <c r="D992" i="4"/>
  <c r="C992" i="4"/>
  <c r="B992" i="4"/>
  <c r="A992" i="4"/>
  <c r="H991" i="4"/>
  <c r="G991" i="4"/>
  <c r="D991" i="4"/>
  <c r="C991" i="4"/>
  <c r="B991" i="4"/>
  <c r="A991" i="4"/>
  <c r="H990" i="4"/>
  <c r="G990" i="4"/>
  <c r="D990" i="4"/>
  <c r="C990" i="4"/>
  <c r="B990" i="4"/>
  <c r="A990" i="4"/>
  <c r="H989" i="4"/>
  <c r="G989" i="4"/>
  <c r="D989" i="4"/>
  <c r="C989" i="4"/>
  <c r="B989" i="4"/>
  <c r="A989" i="4"/>
  <c r="H988" i="4"/>
  <c r="G988" i="4"/>
  <c r="D988" i="4"/>
  <c r="C988" i="4"/>
  <c r="B988" i="4"/>
  <c r="A988" i="4"/>
  <c r="H987" i="4"/>
  <c r="G987" i="4"/>
  <c r="D987" i="4"/>
  <c r="C987" i="4"/>
  <c r="B987" i="4"/>
  <c r="A987" i="4"/>
  <c r="H986" i="4"/>
  <c r="G986" i="4"/>
  <c r="D986" i="4"/>
  <c r="C986" i="4"/>
  <c r="B986" i="4"/>
  <c r="A986" i="4"/>
  <c r="H985" i="4"/>
  <c r="G985" i="4"/>
  <c r="D985" i="4"/>
  <c r="C985" i="4"/>
  <c r="B985" i="4"/>
  <c r="A985" i="4"/>
  <c r="H984" i="4"/>
  <c r="G984" i="4"/>
  <c r="D984" i="4"/>
  <c r="C984" i="4"/>
  <c r="B984" i="4"/>
  <c r="A984" i="4"/>
  <c r="H983" i="4"/>
  <c r="G983" i="4"/>
  <c r="D983" i="4"/>
  <c r="C983" i="4"/>
  <c r="B983" i="4"/>
  <c r="A983" i="4"/>
  <c r="H982" i="4"/>
  <c r="G982" i="4"/>
  <c r="D982" i="4"/>
  <c r="C982" i="4"/>
  <c r="B982" i="4"/>
  <c r="A982" i="4"/>
  <c r="H981" i="4"/>
  <c r="G981" i="4"/>
  <c r="D981" i="4"/>
  <c r="C981" i="4"/>
  <c r="B981" i="4"/>
  <c r="A981" i="4"/>
  <c r="H980" i="4"/>
  <c r="G980" i="4"/>
  <c r="D980" i="4"/>
  <c r="C980" i="4"/>
  <c r="B980" i="4"/>
  <c r="A980" i="4"/>
  <c r="H979" i="4"/>
  <c r="G979" i="4"/>
  <c r="D979" i="4"/>
  <c r="C979" i="4"/>
  <c r="B979" i="4"/>
  <c r="A979" i="4"/>
  <c r="H978" i="4"/>
  <c r="G978" i="4"/>
  <c r="D978" i="4"/>
  <c r="C978" i="4"/>
  <c r="B978" i="4"/>
  <c r="A978" i="4"/>
  <c r="H977" i="4"/>
  <c r="G977" i="4"/>
  <c r="D977" i="4"/>
  <c r="C977" i="4"/>
  <c r="B977" i="4"/>
  <c r="A977" i="4"/>
  <c r="H976" i="4"/>
  <c r="G976" i="4"/>
  <c r="D976" i="4"/>
  <c r="C976" i="4"/>
  <c r="B976" i="4"/>
  <c r="A976" i="4"/>
  <c r="H975" i="4"/>
  <c r="G975" i="4"/>
  <c r="D975" i="4"/>
  <c r="C975" i="4"/>
  <c r="B975" i="4"/>
  <c r="A975" i="4"/>
  <c r="H974" i="4"/>
  <c r="G974" i="4"/>
  <c r="D974" i="4"/>
  <c r="C974" i="4"/>
  <c r="B974" i="4"/>
  <c r="A974" i="4"/>
  <c r="H973" i="4"/>
  <c r="G973" i="4"/>
  <c r="D973" i="4"/>
  <c r="C973" i="4"/>
  <c r="B973" i="4"/>
  <c r="A973" i="4"/>
  <c r="H972" i="4"/>
  <c r="G972" i="4"/>
  <c r="D972" i="4"/>
  <c r="C972" i="4"/>
  <c r="B972" i="4"/>
  <c r="A972" i="4"/>
  <c r="H971" i="4"/>
  <c r="G971" i="4"/>
  <c r="D971" i="4"/>
  <c r="C971" i="4"/>
  <c r="B971" i="4"/>
  <c r="A971" i="4"/>
  <c r="H970" i="4"/>
  <c r="G970" i="4"/>
  <c r="D970" i="4"/>
  <c r="C970" i="4"/>
  <c r="B970" i="4"/>
  <c r="A970" i="4"/>
  <c r="H969" i="4"/>
  <c r="G969" i="4"/>
  <c r="D969" i="4"/>
  <c r="C969" i="4"/>
  <c r="B969" i="4"/>
  <c r="A969" i="4"/>
  <c r="H968" i="4"/>
  <c r="G968" i="4"/>
  <c r="D968" i="4"/>
  <c r="C968" i="4"/>
  <c r="B968" i="4"/>
  <c r="A968" i="4"/>
  <c r="H967" i="4"/>
  <c r="G967" i="4"/>
  <c r="D967" i="4"/>
  <c r="C967" i="4"/>
  <c r="B967" i="4"/>
  <c r="A967" i="4"/>
  <c r="H966" i="4"/>
  <c r="G966" i="4"/>
  <c r="D966" i="4"/>
  <c r="C966" i="4"/>
  <c r="B966" i="4"/>
  <c r="A966" i="4"/>
  <c r="H965" i="4"/>
  <c r="G965" i="4"/>
  <c r="D965" i="4"/>
  <c r="C965" i="4"/>
  <c r="B965" i="4"/>
  <c r="A965" i="4"/>
  <c r="H964" i="4"/>
  <c r="G964" i="4"/>
  <c r="D964" i="4"/>
  <c r="C964" i="4"/>
  <c r="B964" i="4"/>
  <c r="A964" i="4"/>
  <c r="H963" i="4"/>
  <c r="G963" i="4"/>
  <c r="D963" i="4"/>
  <c r="C963" i="4"/>
  <c r="B963" i="4"/>
  <c r="A963" i="4"/>
  <c r="H962" i="4"/>
  <c r="G962" i="4"/>
  <c r="D962" i="4"/>
  <c r="C962" i="4"/>
  <c r="B962" i="4"/>
  <c r="A962" i="4"/>
  <c r="H961" i="4"/>
  <c r="G961" i="4"/>
  <c r="D961" i="4"/>
  <c r="C961" i="4"/>
  <c r="B961" i="4"/>
  <c r="A961" i="4"/>
  <c r="H960" i="4"/>
  <c r="G960" i="4"/>
  <c r="D960" i="4"/>
  <c r="C960" i="4"/>
  <c r="B960" i="4"/>
  <c r="A960" i="4"/>
  <c r="H959" i="4"/>
  <c r="G959" i="4"/>
  <c r="D959" i="4"/>
  <c r="C959" i="4"/>
  <c r="B959" i="4"/>
  <c r="A959" i="4"/>
  <c r="H958" i="4"/>
  <c r="G958" i="4"/>
  <c r="D958" i="4"/>
  <c r="C958" i="4"/>
  <c r="B958" i="4"/>
  <c r="A958" i="4"/>
  <c r="H957" i="4"/>
  <c r="G957" i="4"/>
  <c r="D957" i="4"/>
  <c r="C957" i="4"/>
  <c r="B957" i="4"/>
  <c r="A957" i="4"/>
  <c r="H956" i="4"/>
  <c r="G956" i="4"/>
  <c r="D956" i="4"/>
  <c r="C956" i="4"/>
  <c r="B956" i="4"/>
  <c r="A956" i="4"/>
  <c r="H955" i="4"/>
  <c r="G955" i="4"/>
  <c r="D955" i="4"/>
  <c r="C955" i="4"/>
  <c r="B955" i="4"/>
  <c r="A955" i="4"/>
  <c r="H954" i="4"/>
  <c r="G954" i="4"/>
  <c r="D954" i="4"/>
  <c r="C954" i="4"/>
  <c r="B954" i="4"/>
  <c r="A954" i="4"/>
  <c r="H953" i="4"/>
  <c r="G953" i="4"/>
  <c r="D953" i="4"/>
  <c r="C953" i="4"/>
  <c r="B953" i="4"/>
  <c r="A953" i="4"/>
  <c r="H952" i="4"/>
  <c r="G952" i="4"/>
  <c r="D952" i="4"/>
  <c r="C952" i="4"/>
  <c r="B952" i="4"/>
  <c r="A952" i="4"/>
  <c r="H951" i="4"/>
  <c r="G951" i="4"/>
  <c r="D951" i="4"/>
  <c r="C951" i="4"/>
  <c r="B951" i="4"/>
  <c r="A951" i="4"/>
  <c r="H950" i="4"/>
  <c r="G950" i="4"/>
  <c r="D950" i="4"/>
  <c r="C950" i="4"/>
  <c r="B950" i="4"/>
  <c r="A950" i="4"/>
  <c r="H949" i="4"/>
  <c r="G949" i="4"/>
  <c r="D949" i="4"/>
  <c r="C949" i="4"/>
  <c r="B949" i="4"/>
  <c r="A949" i="4"/>
  <c r="H948" i="4"/>
  <c r="G948" i="4"/>
  <c r="D948" i="4"/>
  <c r="C948" i="4"/>
  <c r="B948" i="4"/>
  <c r="A948" i="4"/>
  <c r="H947" i="4"/>
  <c r="G947" i="4"/>
  <c r="D947" i="4"/>
  <c r="C947" i="4"/>
  <c r="B947" i="4"/>
  <c r="A947" i="4"/>
  <c r="H946" i="4"/>
  <c r="G946" i="4"/>
  <c r="D946" i="4"/>
  <c r="C946" i="4"/>
  <c r="B946" i="4"/>
  <c r="A946" i="4"/>
  <c r="H945" i="4"/>
  <c r="G945" i="4"/>
  <c r="D945" i="4"/>
  <c r="C945" i="4"/>
  <c r="B945" i="4"/>
  <c r="A945" i="4"/>
  <c r="H944" i="4"/>
  <c r="G944" i="4"/>
  <c r="D944" i="4"/>
  <c r="C944" i="4"/>
  <c r="B944" i="4"/>
  <c r="A944" i="4"/>
  <c r="H943" i="4"/>
  <c r="G943" i="4"/>
  <c r="D943" i="4"/>
  <c r="C943" i="4"/>
  <c r="B943" i="4"/>
  <c r="A943" i="4"/>
  <c r="H942" i="4"/>
  <c r="G942" i="4"/>
  <c r="D942" i="4"/>
  <c r="C942" i="4"/>
  <c r="B942" i="4"/>
  <c r="A942" i="4"/>
  <c r="H941" i="4"/>
  <c r="G941" i="4"/>
  <c r="D941" i="4"/>
  <c r="C941" i="4"/>
  <c r="B941" i="4"/>
  <c r="A941" i="4"/>
  <c r="H940" i="4"/>
  <c r="G940" i="4"/>
  <c r="D940" i="4"/>
  <c r="C940" i="4"/>
  <c r="B940" i="4"/>
  <c r="A940" i="4"/>
  <c r="H939" i="4"/>
  <c r="G939" i="4"/>
  <c r="D939" i="4"/>
  <c r="C939" i="4"/>
  <c r="B939" i="4"/>
  <c r="A939" i="4"/>
  <c r="H938" i="4"/>
  <c r="G938" i="4"/>
  <c r="D938" i="4"/>
  <c r="C938" i="4"/>
  <c r="B938" i="4"/>
  <c r="A938" i="4"/>
  <c r="H937" i="4"/>
  <c r="G937" i="4"/>
  <c r="D937" i="4"/>
  <c r="C937" i="4"/>
  <c r="B937" i="4"/>
  <c r="A937" i="4"/>
  <c r="H936" i="4"/>
  <c r="G936" i="4"/>
  <c r="D936" i="4"/>
  <c r="C936" i="4"/>
  <c r="B936" i="4"/>
  <c r="A936" i="4"/>
  <c r="H935" i="4"/>
  <c r="G935" i="4"/>
  <c r="D935" i="4"/>
  <c r="C935" i="4"/>
  <c r="B935" i="4"/>
  <c r="A935" i="4"/>
  <c r="H934" i="4"/>
  <c r="G934" i="4"/>
  <c r="D934" i="4"/>
  <c r="C934" i="4"/>
  <c r="B934" i="4"/>
  <c r="A934" i="4"/>
  <c r="H933" i="4"/>
  <c r="G933" i="4"/>
  <c r="D933" i="4"/>
  <c r="C933" i="4"/>
  <c r="B933" i="4"/>
  <c r="A933" i="4"/>
  <c r="H932" i="4"/>
  <c r="G932" i="4"/>
  <c r="D932" i="4"/>
  <c r="C932" i="4"/>
  <c r="B932" i="4"/>
  <c r="A932" i="4"/>
  <c r="H931" i="4"/>
  <c r="G931" i="4"/>
  <c r="D931" i="4"/>
  <c r="C931" i="4"/>
  <c r="B931" i="4"/>
  <c r="A931" i="4"/>
  <c r="H930" i="4"/>
  <c r="G930" i="4"/>
  <c r="D930" i="4"/>
  <c r="C930" i="4"/>
  <c r="B930" i="4"/>
  <c r="A930" i="4"/>
  <c r="H929" i="4"/>
  <c r="G929" i="4"/>
  <c r="D929" i="4"/>
  <c r="C929" i="4"/>
  <c r="B929" i="4"/>
  <c r="A929" i="4"/>
  <c r="H928" i="4"/>
  <c r="G928" i="4"/>
  <c r="D928" i="4"/>
  <c r="C928" i="4"/>
  <c r="B928" i="4"/>
  <c r="A928" i="4"/>
  <c r="H927" i="4"/>
  <c r="G927" i="4"/>
  <c r="D927" i="4"/>
  <c r="C927" i="4"/>
  <c r="B927" i="4"/>
  <c r="A927" i="4"/>
  <c r="H926" i="4"/>
  <c r="G926" i="4"/>
  <c r="D926" i="4"/>
  <c r="C926" i="4"/>
  <c r="B926" i="4"/>
  <c r="A926" i="4"/>
  <c r="H925" i="4"/>
  <c r="G925" i="4"/>
  <c r="D925" i="4"/>
  <c r="C925" i="4"/>
  <c r="B925" i="4"/>
  <c r="A925" i="4"/>
  <c r="H924" i="4"/>
  <c r="G924" i="4"/>
  <c r="D924" i="4"/>
  <c r="C924" i="4"/>
  <c r="B924" i="4"/>
  <c r="A924" i="4"/>
  <c r="H923" i="4"/>
  <c r="G923" i="4"/>
  <c r="D923" i="4"/>
  <c r="C923" i="4"/>
  <c r="B923" i="4"/>
  <c r="A923" i="4"/>
  <c r="H922" i="4"/>
  <c r="G922" i="4"/>
  <c r="D922" i="4"/>
  <c r="C922" i="4"/>
  <c r="B922" i="4"/>
  <c r="A922" i="4"/>
  <c r="H921" i="4"/>
  <c r="G921" i="4"/>
  <c r="D921" i="4"/>
  <c r="C921" i="4"/>
  <c r="B921" i="4"/>
  <c r="A921" i="4"/>
  <c r="H920" i="4"/>
  <c r="G920" i="4"/>
  <c r="D920" i="4"/>
  <c r="C920" i="4"/>
  <c r="B920" i="4"/>
  <c r="A920" i="4"/>
  <c r="H919" i="4"/>
  <c r="G919" i="4"/>
  <c r="D919" i="4"/>
  <c r="C919" i="4"/>
  <c r="B919" i="4"/>
  <c r="A919" i="4"/>
  <c r="H918" i="4"/>
  <c r="G918" i="4"/>
  <c r="D918" i="4"/>
  <c r="C918" i="4"/>
  <c r="B918" i="4"/>
  <c r="A918" i="4"/>
  <c r="H917" i="4"/>
  <c r="G917" i="4"/>
  <c r="D917" i="4"/>
  <c r="C917" i="4"/>
  <c r="B917" i="4"/>
  <c r="A917" i="4"/>
  <c r="H916" i="4"/>
  <c r="G916" i="4"/>
  <c r="D916" i="4"/>
  <c r="C916" i="4"/>
  <c r="B916" i="4"/>
  <c r="A916" i="4"/>
  <c r="H915" i="4"/>
  <c r="G915" i="4"/>
  <c r="D915" i="4"/>
  <c r="C915" i="4"/>
  <c r="B915" i="4"/>
  <c r="A915" i="4"/>
  <c r="H914" i="4"/>
  <c r="G914" i="4"/>
  <c r="D914" i="4"/>
  <c r="C914" i="4"/>
  <c r="B914" i="4"/>
  <c r="A914" i="4"/>
  <c r="H913" i="4"/>
  <c r="G913" i="4"/>
  <c r="D913" i="4"/>
  <c r="C913" i="4"/>
  <c r="B913" i="4"/>
  <c r="A913" i="4"/>
  <c r="H912" i="4"/>
  <c r="G912" i="4"/>
  <c r="D912" i="4"/>
  <c r="C912" i="4"/>
  <c r="B912" i="4"/>
  <c r="A912" i="4"/>
  <c r="H911" i="4"/>
  <c r="G911" i="4"/>
  <c r="D911" i="4"/>
  <c r="C911" i="4"/>
  <c r="B911" i="4"/>
  <c r="A911" i="4"/>
  <c r="H910" i="4"/>
  <c r="G910" i="4"/>
  <c r="D910" i="4"/>
  <c r="C910" i="4"/>
  <c r="B910" i="4"/>
  <c r="A910" i="4"/>
  <c r="H909" i="4"/>
  <c r="G909" i="4"/>
  <c r="D909" i="4"/>
  <c r="C909" i="4"/>
  <c r="B909" i="4"/>
  <c r="A909" i="4"/>
  <c r="H908" i="4"/>
  <c r="G908" i="4"/>
  <c r="D908" i="4"/>
  <c r="C908" i="4"/>
  <c r="B908" i="4"/>
  <c r="A908" i="4"/>
  <c r="H907" i="4"/>
  <c r="G907" i="4"/>
  <c r="D907" i="4"/>
  <c r="C907" i="4"/>
  <c r="B907" i="4"/>
  <c r="A907" i="4"/>
  <c r="H906" i="4"/>
  <c r="G906" i="4"/>
  <c r="D906" i="4"/>
  <c r="C906" i="4"/>
  <c r="B906" i="4"/>
  <c r="A906" i="4"/>
  <c r="H905" i="4"/>
  <c r="G905" i="4"/>
  <c r="D905" i="4"/>
  <c r="C905" i="4"/>
  <c r="B905" i="4"/>
  <c r="A905" i="4"/>
  <c r="H904" i="4"/>
  <c r="G904" i="4"/>
  <c r="D904" i="4"/>
  <c r="C904" i="4"/>
  <c r="B904" i="4"/>
  <c r="A904" i="4"/>
  <c r="H903" i="4"/>
  <c r="G903" i="4"/>
  <c r="D903" i="4"/>
  <c r="C903" i="4"/>
  <c r="B903" i="4"/>
  <c r="A903" i="4"/>
  <c r="H902" i="4"/>
  <c r="G902" i="4"/>
  <c r="D902" i="4"/>
  <c r="C902" i="4"/>
  <c r="B902" i="4"/>
  <c r="A902" i="4"/>
  <c r="H901" i="4"/>
  <c r="G901" i="4"/>
  <c r="D901" i="4"/>
  <c r="C901" i="4"/>
  <c r="B901" i="4"/>
  <c r="A901" i="4"/>
  <c r="H900" i="4"/>
  <c r="G900" i="4"/>
  <c r="D900" i="4"/>
  <c r="C900" i="4"/>
  <c r="B900" i="4"/>
  <c r="A900" i="4"/>
  <c r="H899" i="4"/>
  <c r="G899" i="4"/>
  <c r="D899" i="4"/>
  <c r="C899" i="4"/>
  <c r="B899" i="4"/>
  <c r="A899" i="4"/>
  <c r="H898" i="4"/>
  <c r="G898" i="4"/>
  <c r="D898" i="4"/>
  <c r="C898" i="4"/>
  <c r="B898" i="4"/>
  <c r="A898" i="4"/>
  <c r="H897" i="4"/>
  <c r="G897" i="4"/>
  <c r="D897" i="4"/>
  <c r="C897" i="4"/>
  <c r="B897" i="4"/>
  <c r="A897" i="4"/>
  <c r="H896" i="4"/>
  <c r="G896" i="4"/>
  <c r="D896" i="4"/>
  <c r="C896" i="4"/>
  <c r="B896" i="4"/>
  <c r="A896" i="4"/>
  <c r="H895" i="4"/>
  <c r="G895" i="4"/>
  <c r="D895" i="4"/>
  <c r="C895" i="4"/>
  <c r="B895" i="4"/>
  <c r="A895" i="4"/>
  <c r="H894" i="4"/>
  <c r="G894" i="4"/>
  <c r="D894" i="4"/>
  <c r="C894" i="4"/>
  <c r="B894" i="4"/>
  <c r="A894" i="4"/>
  <c r="H893" i="4"/>
  <c r="G893" i="4"/>
  <c r="D893" i="4"/>
  <c r="C893" i="4"/>
  <c r="B893" i="4"/>
  <c r="A893" i="4"/>
  <c r="H892" i="4"/>
  <c r="G892" i="4"/>
  <c r="D892" i="4"/>
  <c r="C892" i="4"/>
  <c r="B892" i="4"/>
  <c r="A892" i="4"/>
  <c r="H891" i="4"/>
  <c r="G891" i="4"/>
  <c r="D891" i="4"/>
  <c r="C891" i="4"/>
  <c r="B891" i="4"/>
  <c r="A891" i="4"/>
  <c r="H890" i="4"/>
  <c r="G890" i="4"/>
  <c r="D890" i="4"/>
  <c r="C890" i="4"/>
  <c r="B890" i="4"/>
  <c r="A890" i="4"/>
  <c r="H889" i="4"/>
  <c r="G889" i="4"/>
  <c r="D889" i="4"/>
  <c r="C889" i="4"/>
  <c r="B889" i="4"/>
  <c r="A889" i="4"/>
  <c r="H888" i="4"/>
  <c r="G888" i="4"/>
  <c r="D888" i="4"/>
  <c r="C888" i="4"/>
  <c r="B888" i="4"/>
  <c r="A888" i="4"/>
  <c r="H887" i="4"/>
  <c r="G887" i="4"/>
  <c r="D887" i="4"/>
  <c r="C887" i="4"/>
  <c r="B887" i="4"/>
  <c r="A887" i="4"/>
  <c r="H886" i="4"/>
  <c r="G886" i="4"/>
  <c r="D886" i="4"/>
  <c r="C886" i="4"/>
  <c r="B886" i="4"/>
  <c r="A886" i="4"/>
  <c r="H885" i="4"/>
  <c r="G885" i="4"/>
  <c r="D885" i="4"/>
  <c r="C885" i="4"/>
  <c r="B885" i="4"/>
  <c r="A885" i="4"/>
  <c r="H884" i="4"/>
  <c r="G884" i="4"/>
  <c r="D884" i="4"/>
  <c r="C884" i="4"/>
  <c r="B884" i="4"/>
  <c r="A884" i="4"/>
  <c r="H883" i="4"/>
  <c r="G883" i="4"/>
  <c r="D883" i="4"/>
  <c r="C883" i="4"/>
  <c r="B883" i="4"/>
  <c r="A883" i="4"/>
  <c r="H882" i="4"/>
  <c r="G882" i="4"/>
  <c r="D882" i="4"/>
  <c r="C882" i="4"/>
  <c r="B882" i="4"/>
  <c r="A882" i="4"/>
  <c r="H881" i="4"/>
  <c r="G881" i="4"/>
  <c r="D881" i="4"/>
  <c r="C881" i="4"/>
  <c r="B881" i="4"/>
  <c r="A881" i="4"/>
  <c r="H880" i="4"/>
  <c r="G880" i="4"/>
  <c r="D880" i="4"/>
  <c r="C880" i="4"/>
  <c r="B880" i="4"/>
  <c r="A880" i="4"/>
  <c r="H879" i="4"/>
  <c r="G879" i="4"/>
  <c r="D879" i="4"/>
  <c r="C879" i="4"/>
  <c r="B879" i="4"/>
  <c r="A879" i="4"/>
  <c r="H878" i="4"/>
  <c r="G878" i="4"/>
  <c r="D878" i="4"/>
  <c r="C878" i="4"/>
  <c r="B878" i="4"/>
  <c r="A878" i="4"/>
  <c r="H877" i="4"/>
  <c r="G877" i="4"/>
  <c r="D877" i="4"/>
  <c r="C877" i="4"/>
  <c r="B877" i="4"/>
  <c r="A877" i="4"/>
  <c r="H876" i="4"/>
  <c r="G876" i="4"/>
  <c r="D876" i="4"/>
  <c r="C876" i="4"/>
  <c r="B876" i="4"/>
  <c r="A876" i="4"/>
  <c r="H875" i="4"/>
  <c r="G875" i="4"/>
  <c r="D875" i="4"/>
  <c r="C875" i="4"/>
  <c r="B875" i="4"/>
  <c r="A875" i="4"/>
  <c r="H874" i="4"/>
  <c r="G874" i="4"/>
  <c r="D874" i="4"/>
  <c r="C874" i="4"/>
  <c r="B874" i="4"/>
  <c r="A874" i="4"/>
  <c r="H873" i="4"/>
  <c r="G873" i="4"/>
  <c r="D873" i="4"/>
  <c r="C873" i="4"/>
  <c r="B873" i="4"/>
  <c r="A873" i="4"/>
  <c r="H872" i="4"/>
  <c r="G872" i="4"/>
  <c r="D872" i="4"/>
  <c r="C872" i="4"/>
  <c r="B872" i="4"/>
  <c r="A872" i="4"/>
  <c r="H871" i="4"/>
  <c r="G871" i="4"/>
  <c r="D871" i="4"/>
  <c r="C871" i="4"/>
  <c r="B871" i="4"/>
  <c r="A871" i="4"/>
  <c r="H870" i="4"/>
  <c r="G870" i="4"/>
  <c r="D870" i="4"/>
  <c r="C870" i="4"/>
  <c r="B870" i="4"/>
  <c r="A870" i="4"/>
  <c r="H869" i="4"/>
  <c r="G869" i="4"/>
  <c r="D869" i="4"/>
  <c r="C869" i="4"/>
  <c r="B869" i="4"/>
  <c r="A869" i="4"/>
  <c r="H868" i="4"/>
  <c r="G868" i="4"/>
  <c r="D868" i="4"/>
  <c r="C868" i="4"/>
  <c r="B868" i="4"/>
  <c r="A868" i="4"/>
  <c r="H867" i="4"/>
  <c r="G867" i="4"/>
  <c r="D867" i="4"/>
  <c r="C867" i="4"/>
  <c r="B867" i="4"/>
  <c r="A867" i="4"/>
  <c r="H866" i="4"/>
  <c r="G866" i="4"/>
  <c r="D866" i="4"/>
  <c r="C866" i="4"/>
  <c r="B866" i="4"/>
  <c r="A866" i="4"/>
  <c r="H865" i="4"/>
  <c r="G865" i="4"/>
  <c r="D865" i="4"/>
  <c r="C865" i="4"/>
  <c r="B865" i="4"/>
  <c r="A865" i="4"/>
  <c r="H864" i="4"/>
  <c r="G864" i="4"/>
  <c r="D864" i="4"/>
  <c r="C864" i="4"/>
  <c r="B864" i="4"/>
  <c r="A864" i="4"/>
  <c r="H863" i="4"/>
  <c r="G863" i="4"/>
  <c r="D863" i="4"/>
  <c r="C863" i="4"/>
  <c r="B863" i="4"/>
  <c r="A863" i="4"/>
  <c r="H862" i="4"/>
  <c r="G862" i="4"/>
  <c r="D862" i="4"/>
  <c r="C862" i="4"/>
  <c r="B862" i="4"/>
  <c r="A862" i="4"/>
  <c r="H861" i="4"/>
  <c r="G861" i="4"/>
  <c r="D861" i="4"/>
  <c r="C861" i="4"/>
  <c r="B861" i="4"/>
  <c r="A861" i="4"/>
  <c r="H860" i="4"/>
  <c r="G860" i="4"/>
  <c r="D860" i="4"/>
  <c r="C860" i="4"/>
  <c r="B860" i="4"/>
  <c r="A860" i="4"/>
  <c r="H859" i="4"/>
  <c r="G859" i="4"/>
  <c r="D859" i="4"/>
  <c r="C859" i="4"/>
  <c r="B859" i="4"/>
  <c r="A859" i="4"/>
  <c r="H858" i="4"/>
  <c r="G858" i="4"/>
  <c r="D858" i="4"/>
  <c r="C858" i="4"/>
  <c r="B858" i="4"/>
  <c r="A858" i="4"/>
  <c r="H857" i="4"/>
  <c r="G857" i="4"/>
  <c r="D857" i="4"/>
  <c r="C857" i="4"/>
  <c r="B857" i="4"/>
  <c r="A857" i="4"/>
  <c r="H856" i="4"/>
  <c r="G856" i="4"/>
  <c r="D856" i="4"/>
  <c r="C856" i="4"/>
  <c r="B856" i="4"/>
  <c r="A856" i="4"/>
  <c r="H855" i="4"/>
  <c r="G855" i="4"/>
  <c r="D855" i="4"/>
  <c r="C855" i="4"/>
  <c r="B855" i="4"/>
  <c r="A855" i="4"/>
  <c r="H854" i="4"/>
  <c r="G854" i="4"/>
  <c r="D854" i="4"/>
  <c r="C854" i="4"/>
  <c r="B854" i="4"/>
  <c r="A854" i="4"/>
  <c r="H853" i="4"/>
  <c r="G853" i="4"/>
  <c r="D853" i="4"/>
  <c r="C853" i="4"/>
  <c r="B853" i="4"/>
  <c r="A853" i="4"/>
  <c r="H97" i="4"/>
  <c r="G97" i="4"/>
  <c r="D97" i="4"/>
  <c r="C97" i="4"/>
  <c r="B97" i="4"/>
  <c r="A97" i="4"/>
  <c r="H852" i="4"/>
  <c r="G852" i="4"/>
  <c r="D852" i="4"/>
  <c r="C852" i="4"/>
  <c r="B852" i="4"/>
  <c r="A852" i="4"/>
  <c r="H851" i="4"/>
  <c r="G851" i="4"/>
  <c r="D851" i="4"/>
  <c r="C851" i="4"/>
  <c r="B851" i="4"/>
  <c r="A851" i="4"/>
  <c r="H850" i="4"/>
  <c r="G850" i="4"/>
  <c r="D850" i="4"/>
  <c r="C850" i="4"/>
  <c r="B850" i="4"/>
  <c r="A850" i="4"/>
  <c r="H849" i="4"/>
  <c r="G849" i="4"/>
  <c r="D849" i="4"/>
  <c r="C849" i="4"/>
  <c r="B849" i="4"/>
  <c r="A849" i="4"/>
  <c r="H848" i="4"/>
  <c r="G848" i="4"/>
  <c r="D848" i="4"/>
  <c r="C848" i="4"/>
  <c r="B848" i="4"/>
  <c r="A848" i="4"/>
  <c r="H847" i="4"/>
  <c r="G847" i="4"/>
  <c r="D847" i="4"/>
  <c r="C847" i="4"/>
  <c r="B847" i="4"/>
  <c r="A847" i="4"/>
  <c r="H846" i="4"/>
  <c r="G846" i="4"/>
  <c r="D846" i="4"/>
  <c r="C846" i="4"/>
  <c r="B846" i="4"/>
  <c r="A846" i="4"/>
  <c r="H845" i="4"/>
  <c r="G845" i="4"/>
  <c r="D845" i="4"/>
  <c r="C845" i="4"/>
  <c r="B845" i="4"/>
  <c r="A845" i="4"/>
  <c r="H844" i="4"/>
  <c r="G844" i="4"/>
  <c r="D844" i="4"/>
  <c r="C844" i="4"/>
  <c r="B844" i="4"/>
  <c r="A844" i="4"/>
  <c r="H843" i="4"/>
  <c r="G843" i="4"/>
  <c r="D843" i="4"/>
  <c r="C843" i="4"/>
  <c r="B843" i="4"/>
  <c r="A843" i="4"/>
  <c r="H842" i="4"/>
  <c r="G842" i="4"/>
  <c r="D842" i="4"/>
  <c r="C842" i="4"/>
  <c r="B842" i="4"/>
  <c r="A842" i="4"/>
  <c r="H841" i="4"/>
  <c r="G841" i="4"/>
  <c r="D841" i="4"/>
  <c r="C841" i="4"/>
  <c r="B841" i="4"/>
  <c r="A841" i="4"/>
  <c r="H840" i="4"/>
  <c r="G840" i="4"/>
  <c r="D840" i="4"/>
  <c r="C840" i="4"/>
  <c r="B840" i="4"/>
  <c r="A840" i="4"/>
  <c r="H839" i="4"/>
  <c r="G839" i="4"/>
  <c r="D839" i="4"/>
  <c r="C839" i="4"/>
  <c r="B839" i="4"/>
  <c r="A839" i="4"/>
  <c r="H838" i="4"/>
  <c r="G838" i="4"/>
  <c r="D838" i="4"/>
  <c r="C838" i="4"/>
  <c r="B838" i="4"/>
  <c r="A838" i="4"/>
  <c r="H837" i="4"/>
  <c r="G837" i="4"/>
  <c r="D837" i="4"/>
  <c r="C837" i="4"/>
  <c r="B837" i="4"/>
  <c r="A837" i="4"/>
  <c r="H836" i="4"/>
  <c r="G836" i="4"/>
  <c r="D836" i="4"/>
  <c r="C836" i="4"/>
  <c r="B836" i="4"/>
  <c r="A836" i="4"/>
  <c r="H835" i="4"/>
  <c r="G835" i="4"/>
  <c r="D835" i="4"/>
  <c r="C835" i="4"/>
  <c r="B835" i="4"/>
  <c r="A835" i="4"/>
  <c r="H834" i="4"/>
  <c r="G834" i="4"/>
  <c r="D834" i="4"/>
  <c r="C834" i="4"/>
  <c r="B834" i="4"/>
  <c r="A834" i="4"/>
  <c r="H833" i="4"/>
  <c r="G833" i="4"/>
  <c r="D833" i="4"/>
  <c r="C833" i="4"/>
  <c r="B833" i="4"/>
  <c r="A833" i="4"/>
  <c r="H832" i="4"/>
  <c r="G832" i="4"/>
  <c r="D832" i="4"/>
  <c r="C832" i="4"/>
  <c r="B832" i="4"/>
  <c r="A832" i="4"/>
  <c r="H831" i="4"/>
  <c r="G831" i="4"/>
  <c r="D831" i="4"/>
  <c r="C831" i="4"/>
  <c r="B831" i="4"/>
  <c r="A831" i="4"/>
  <c r="H830" i="4"/>
  <c r="G830" i="4"/>
  <c r="D830" i="4"/>
  <c r="C830" i="4"/>
  <c r="B830" i="4"/>
  <c r="A830" i="4"/>
  <c r="H829" i="4"/>
  <c r="G829" i="4"/>
  <c r="D829" i="4"/>
  <c r="C829" i="4"/>
  <c r="B829" i="4"/>
  <c r="A829" i="4"/>
  <c r="H828" i="4"/>
  <c r="G828" i="4"/>
  <c r="D828" i="4"/>
  <c r="C828" i="4"/>
  <c r="B828" i="4"/>
  <c r="A828" i="4"/>
  <c r="H827" i="4"/>
  <c r="G827" i="4"/>
  <c r="D827" i="4"/>
  <c r="C827" i="4"/>
  <c r="B827" i="4"/>
  <c r="A827" i="4"/>
  <c r="H826" i="4"/>
  <c r="G826" i="4"/>
  <c r="D826" i="4"/>
  <c r="C826" i="4"/>
  <c r="B826" i="4"/>
  <c r="A826" i="4"/>
  <c r="H825" i="4"/>
  <c r="G825" i="4"/>
  <c r="D825" i="4"/>
  <c r="C825" i="4"/>
  <c r="B825" i="4"/>
  <c r="A825" i="4"/>
  <c r="H824" i="4"/>
  <c r="G824" i="4"/>
  <c r="D824" i="4"/>
  <c r="C824" i="4"/>
  <c r="B824" i="4"/>
  <c r="A824" i="4"/>
  <c r="H823" i="4"/>
  <c r="G823" i="4"/>
  <c r="D823" i="4"/>
  <c r="C823" i="4"/>
  <c r="B823" i="4"/>
  <c r="A823" i="4"/>
  <c r="H822" i="4"/>
  <c r="G822" i="4"/>
  <c r="D822" i="4"/>
  <c r="C822" i="4"/>
  <c r="B822" i="4"/>
  <c r="A822" i="4"/>
  <c r="H821" i="4"/>
  <c r="G821" i="4"/>
  <c r="D821" i="4"/>
  <c r="C821" i="4"/>
  <c r="B821" i="4"/>
  <c r="A821" i="4"/>
  <c r="H820" i="4"/>
  <c r="G820" i="4"/>
  <c r="D820" i="4"/>
  <c r="C820" i="4"/>
  <c r="B820" i="4"/>
  <c r="A820" i="4"/>
  <c r="H819" i="4"/>
  <c r="G819" i="4"/>
  <c r="D819" i="4"/>
  <c r="C819" i="4"/>
  <c r="B819" i="4"/>
  <c r="A819" i="4"/>
  <c r="H818" i="4"/>
  <c r="G818" i="4"/>
  <c r="D818" i="4"/>
  <c r="C818" i="4"/>
  <c r="B818" i="4"/>
  <c r="A818" i="4"/>
  <c r="H817" i="4"/>
  <c r="G817" i="4"/>
  <c r="D817" i="4"/>
  <c r="C817" i="4"/>
  <c r="B817" i="4"/>
  <c r="A817" i="4"/>
  <c r="H816" i="4"/>
  <c r="G816" i="4"/>
  <c r="D816" i="4"/>
  <c r="C816" i="4"/>
  <c r="B816" i="4"/>
  <c r="A816" i="4"/>
  <c r="H815" i="4"/>
  <c r="G815" i="4"/>
  <c r="D815" i="4"/>
  <c r="C815" i="4"/>
  <c r="B815" i="4"/>
  <c r="A815" i="4"/>
  <c r="H814" i="4"/>
  <c r="G814" i="4"/>
  <c r="D814" i="4"/>
  <c r="C814" i="4"/>
  <c r="B814" i="4"/>
  <c r="A814" i="4"/>
  <c r="H813" i="4"/>
  <c r="G813" i="4"/>
  <c r="D813" i="4"/>
  <c r="C813" i="4"/>
  <c r="B813" i="4"/>
  <c r="A813" i="4"/>
  <c r="H812" i="4"/>
  <c r="G812" i="4"/>
  <c r="D812" i="4"/>
  <c r="C812" i="4"/>
  <c r="B812" i="4"/>
  <c r="A812" i="4"/>
  <c r="H811" i="4"/>
  <c r="G811" i="4"/>
  <c r="D811" i="4"/>
  <c r="C811" i="4"/>
  <c r="B811" i="4"/>
  <c r="A811" i="4"/>
  <c r="H810" i="4"/>
  <c r="G810" i="4"/>
  <c r="D810" i="4"/>
  <c r="C810" i="4"/>
  <c r="B810" i="4"/>
  <c r="A810" i="4"/>
  <c r="H809" i="4"/>
  <c r="G809" i="4"/>
  <c r="D809" i="4"/>
  <c r="C809" i="4"/>
  <c r="B809" i="4"/>
  <c r="A809" i="4"/>
  <c r="H808" i="4"/>
  <c r="G808" i="4"/>
  <c r="D808" i="4"/>
  <c r="C808" i="4"/>
  <c r="B808" i="4"/>
  <c r="A808" i="4"/>
  <c r="H807" i="4"/>
  <c r="G807" i="4"/>
  <c r="D807" i="4"/>
  <c r="C807" i="4"/>
  <c r="B807" i="4"/>
  <c r="A807" i="4"/>
  <c r="H806" i="4"/>
  <c r="G806" i="4"/>
  <c r="D806" i="4"/>
  <c r="C806" i="4"/>
  <c r="B806" i="4"/>
  <c r="A806" i="4"/>
  <c r="H805" i="4"/>
  <c r="G805" i="4"/>
  <c r="D805" i="4"/>
  <c r="C805" i="4"/>
  <c r="B805" i="4"/>
  <c r="A805" i="4"/>
  <c r="H804" i="4"/>
  <c r="G804" i="4"/>
  <c r="D804" i="4"/>
  <c r="C804" i="4"/>
  <c r="B804" i="4"/>
  <c r="A804" i="4"/>
  <c r="H803" i="4"/>
  <c r="G803" i="4"/>
  <c r="D803" i="4"/>
  <c r="C803" i="4"/>
  <c r="B803" i="4"/>
  <c r="A803" i="4"/>
  <c r="H802" i="4"/>
  <c r="G802" i="4"/>
  <c r="D802" i="4"/>
  <c r="C802" i="4"/>
  <c r="B802" i="4"/>
  <c r="A802" i="4"/>
  <c r="H801" i="4"/>
  <c r="G801" i="4"/>
  <c r="D801" i="4"/>
  <c r="C801" i="4"/>
  <c r="B801" i="4"/>
  <c r="A801" i="4"/>
  <c r="H800" i="4"/>
  <c r="G800" i="4"/>
  <c r="D800" i="4"/>
  <c r="C800" i="4"/>
  <c r="B800" i="4"/>
  <c r="A800" i="4"/>
  <c r="H799" i="4"/>
  <c r="G799" i="4"/>
  <c r="D799" i="4"/>
  <c r="C799" i="4"/>
  <c r="B799" i="4"/>
  <c r="A799" i="4"/>
  <c r="H798" i="4"/>
  <c r="G798" i="4"/>
  <c r="D798" i="4"/>
  <c r="C798" i="4"/>
  <c r="B798" i="4"/>
  <c r="A798" i="4"/>
  <c r="H797" i="4"/>
  <c r="G797" i="4"/>
  <c r="D797" i="4"/>
  <c r="C797" i="4"/>
  <c r="B797" i="4"/>
  <c r="A797" i="4"/>
  <c r="H796" i="4"/>
  <c r="G796" i="4"/>
  <c r="D796" i="4"/>
  <c r="C796" i="4"/>
  <c r="B796" i="4"/>
  <c r="A796" i="4"/>
  <c r="H795" i="4"/>
  <c r="G795" i="4"/>
  <c r="D795" i="4"/>
  <c r="C795" i="4"/>
  <c r="B795" i="4"/>
  <c r="A795" i="4"/>
  <c r="H794" i="4"/>
  <c r="G794" i="4"/>
  <c r="D794" i="4"/>
  <c r="C794" i="4"/>
  <c r="B794" i="4"/>
  <c r="A794" i="4"/>
  <c r="H793" i="4"/>
  <c r="G793" i="4"/>
  <c r="D793" i="4"/>
  <c r="C793" i="4"/>
  <c r="B793" i="4"/>
  <c r="A793" i="4"/>
  <c r="H792" i="4"/>
  <c r="G792" i="4"/>
  <c r="D792" i="4"/>
  <c r="C792" i="4"/>
  <c r="B792" i="4"/>
  <c r="A792" i="4"/>
  <c r="H791" i="4"/>
  <c r="G791" i="4"/>
  <c r="D791" i="4"/>
  <c r="C791" i="4"/>
  <c r="B791" i="4"/>
  <c r="A791" i="4"/>
  <c r="H790" i="4"/>
  <c r="G790" i="4"/>
  <c r="D790" i="4"/>
  <c r="C790" i="4"/>
  <c r="B790" i="4"/>
  <c r="A790" i="4"/>
  <c r="H789" i="4"/>
  <c r="G789" i="4"/>
  <c r="D789" i="4"/>
  <c r="C789" i="4"/>
  <c r="B789" i="4"/>
  <c r="A789" i="4"/>
  <c r="H788" i="4"/>
  <c r="G788" i="4"/>
  <c r="D788" i="4"/>
  <c r="C788" i="4"/>
  <c r="B788" i="4"/>
  <c r="A788" i="4"/>
  <c r="H787" i="4"/>
  <c r="G787" i="4"/>
  <c r="D787" i="4"/>
  <c r="C787" i="4"/>
  <c r="B787" i="4"/>
  <c r="A787" i="4"/>
  <c r="H786" i="4"/>
  <c r="G786" i="4"/>
  <c r="D786" i="4"/>
  <c r="C786" i="4"/>
  <c r="B786" i="4"/>
  <c r="A786" i="4"/>
  <c r="H785" i="4"/>
  <c r="G785" i="4"/>
  <c r="D785" i="4"/>
  <c r="C785" i="4"/>
  <c r="B785" i="4"/>
  <c r="A785" i="4"/>
  <c r="H784" i="4"/>
  <c r="G784" i="4"/>
  <c r="D784" i="4"/>
  <c r="C784" i="4"/>
  <c r="B784" i="4"/>
  <c r="A784" i="4"/>
  <c r="H783" i="4"/>
  <c r="G783" i="4"/>
  <c r="D783" i="4"/>
  <c r="C783" i="4"/>
  <c r="B783" i="4"/>
  <c r="A783" i="4"/>
  <c r="H782" i="4"/>
  <c r="G782" i="4"/>
  <c r="D782" i="4"/>
  <c r="C782" i="4"/>
  <c r="B782" i="4"/>
  <c r="A782" i="4"/>
  <c r="H781" i="4"/>
  <c r="G781" i="4"/>
  <c r="D781" i="4"/>
  <c r="C781" i="4"/>
  <c r="B781" i="4"/>
  <c r="A781" i="4"/>
  <c r="H780" i="4"/>
  <c r="G780" i="4"/>
  <c r="D780" i="4"/>
  <c r="C780" i="4"/>
  <c r="B780" i="4"/>
  <c r="A780" i="4"/>
  <c r="H779" i="4"/>
  <c r="G779" i="4"/>
  <c r="D779" i="4"/>
  <c r="C779" i="4"/>
  <c r="B779" i="4"/>
  <c r="A779" i="4"/>
  <c r="H778" i="4"/>
  <c r="G778" i="4"/>
  <c r="D778" i="4"/>
  <c r="C778" i="4"/>
  <c r="B778" i="4"/>
  <c r="A778" i="4"/>
  <c r="H777" i="4"/>
  <c r="G777" i="4"/>
  <c r="D777" i="4"/>
  <c r="C777" i="4"/>
  <c r="B777" i="4"/>
  <c r="A777" i="4"/>
  <c r="H776" i="4"/>
  <c r="G776" i="4"/>
  <c r="D776" i="4"/>
  <c r="C776" i="4"/>
  <c r="B776" i="4"/>
  <c r="A776" i="4"/>
  <c r="H775" i="4"/>
  <c r="G775" i="4"/>
  <c r="D775" i="4"/>
  <c r="C775" i="4"/>
  <c r="B775" i="4"/>
  <c r="A775" i="4"/>
  <c r="H774" i="4"/>
  <c r="G774" i="4"/>
  <c r="D774" i="4"/>
  <c r="C774" i="4"/>
  <c r="B774" i="4"/>
  <c r="A774" i="4"/>
  <c r="H773" i="4"/>
  <c r="G773" i="4"/>
  <c r="D773" i="4"/>
  <c r="C773" i="4"/>
  <c r="B773" i="4"/>
  <c r="A773" i="4"/>
  <c r="H772" i="4"/>
  <c r="G772" i="4"/>
  <c r="D772" i="4"/>
  <c r="C772" i="4"/>
  <c r="B772" i="4"/>
  <c r="A772" i="4"/>
  <c r="H771" i="4"/>
  <c r="G771" i="4"/>
  <c r="D771" i="4"/>
  <c r="C771" i="4"/>
  <c r="B771" i="4"/>
  <c r="A771" i="4"/>
  <c r="H770" i="4"/>
  <c r="G770" i="4"/>
  <c r="D770" i="4"/>
  <c r="C770" i="4"/>
  <c r="B770" i="4"/>
  <c r="A770" i="4"/>
  <c r="H769" i="4"/>
  <c r="G769" i="4"/>
  <c r="D769" i="4"/>
  <c r="C769" i="4"/>
  <c r="B769" i="4"/>
  <c r="A769" i="4"/>
  <c r="H768" i="4"/>
  <c r="G768" i="4"/>
  <c r="D768" i="4"/>
  <c r="C768" i="4"/>
  <c r="B768" i="4"/>
  <c r="A768" i="4"/>
  <c r="H767" i="4"/>
  <c r="G767" i="4"/>
  <c r="D767" i="4"/>
  <c r="C767" i="4"/>
  <c r="B767" i="4"/>
  <c r="A767" i="4"/>
  <c r="H766" i="4"/>
  <c r="G766" i="4"/>
  <c r="D766" i="4"/>
  <c r="C766" i="4"/>
  <c r="B766" i="4"/>
  <c r="A766" i="4"/>
  <c r="H765" i="4"/>
  <c r="G765" i="4"/>
  <c r="D765" i="4"/>
  <c r="C765" i="4"/>
  <c r="B765" i="4"/>
  <c r="A765" i="4"/>
  <c r="H764" i="4"/>
  <c r="G764" i="4"/>
  <c r="D764" i="4"/>
  <c r="C764" i="4"/>
  <c r="B764" i="4"/>
  <c r="A764" i="4"/>
  <c r="H763" i="4"/>
  <c r="G763" i="4"/>
  <c r="D763" i="4"/>
  <c r="C763" i="4"/>
  <c r="B763" i="4"/>
  <c r="A763" i="4"/>
  <c r="H762" i="4"/>
  <c r="G762" i="4"/>
  <c r="D762" i="4"/>
  <c r="C762" i="4"/>
  <c r="B762" i="4"/>
  <c r="A762" i="4"/>
  <c r="H761" i="4"/>
  <c r="G761" i="4"/>
  <c r="D761" i="4"/>
  <c r="C761" i="4"/>
  <c r="B761" i="4"/>
  <c r="A761" i="4"/>
  <c r="H760" i="4"/>
  <c r="G760" i="4"/>
  <c r="D760" i="4"/>
  <c r="C760" i="4"/>
  <c r="B760" i="4"/>
  <c r="A760" i="4"/>
  <c r="H759" i="4"/>
  <c r="G759" i="4"/>
  <c r="D759" i="4"/>
  <c r="C759" i="4"/>
  <c r="B759" i="4"/>
  <c r="A759" i="4"/>
  <c r="H758" i="4"/>
  <c r="G758" i="4"/>
  <c r="D758" i="4"/>
  <c r="C758" i="4"/>
  <c r="B758" i="4"/>
  <c r="A758" i="4"/>
  <c r="H757" i="4"/>
  <c r="G757" i="4"/>
  <c r="D757" i="4"/>
  <c r="C757" i="4"/>
  <c r="B757" i="4"/>
  <c r="A757" i="4"/>
  <c r="H756" i="4"/>
  <c r="G756" i="4"/>
  <c r="D756" i="4"/>
  <c r="C756" i="4"/>
  <c r="B756" i="4"/>
  <c r="A756" i="4"/>
  <c r="H755" i="4"/>
  <c r="G755" i="4"/>
  <c r="D755" i="4"/>
  <c r="C755" i="4"/>
  <c r="B755" i="4"/>
  <c r="A755" i="4"/>
  <c r="H754" i="4"/>
  <c r="G754" i="4"/>
  <c r="D754" i="4"/>
  <c r="C754" i="4"/>
  <c r="B754" i="4"/>
  <c r="A754" i="4"/>
  <c r="H753" i="4"/>
  <c r="G753" i="4"/>
  <c r="D753" i="4"/>
  <c r="C753" i="4"/>
  <c r="B753" i="4"/>
  <c r="A753" i="4"/>
  <c r="H752" i="4"/>
  <c r="G752" i="4"/>
  <c r="D752" i="4"/>
  <c r="C752" i="4"/>
  <c r="B752" i="4"/>
  <c r="A752" i="4"/>
  <c r="H751" i="4"/>
  <c r="G751" i="4"/>
  <c r="D751" i="4"/>
  <c r="C751" i="4"/>
  <c r="B751" i="4"/>
  <c r="A751" i="4"/>
  <c r="H750" i="4"/>
  <c r="G750" i="4"/>
  <c r="D750" i="4"/>
  <c r="C750" i="4"/>
  <c r="B750" i="4"/>
  <c r="A750" i="4"/>
  <c r="H749" i="4"/>
  <c r="G749" i="4"/>
  <c r="D749" i="4"/>
  <c r="C749" i="4"/>
  <c r="B749" i="4"/>
  <c r="A749" i="4"/>
  <c r="H748" i="4"/>
  <c r="G748" i="4"/>
  <c r="D748" i="4"/>
  <c r="C748" i="4"/>
  <c r="B748" i="4"/>
  <c r="A748" i="4"/>
  <c r="H747" i="4"/>
  <c r="G747" i="4"/>
  <c r="D747" i="4"/>
  <c r="C747" i="4"/>
  <c r="B747" i="4"/>
  <c r="A747" i="4"/>
  <c r="H746" i="4"/>
  <c r="G746" i="4"/>
  <c r="D746" i="4"/>
  <c r="C746" i="4"/>
  <c r="B746" i="4"/>
  <c r="A746" i="4"/>
  <c r="H745" i="4"/>
  <c r="G745" i="4"/>
  <c r="D745" i="4"/>
  <c r="C745" i="4"/>
  <c r="B745" i="4"/>
  <c r="A745" i="4"/>
  <c r="H744" i="4"/>
  <c r="G744" i="4"/>
  <c r="D744" i="4"/>
  <c r="C744" i="4"/>
  <c r="B744" i="4"/>
  <c r="A744" i="4"/>
  <c r="H743" i="4"/>
  <c r="G743" i="4"/>
  <c r="D743" i="4"/>
  <c r="C743" i="4"/>
  <c r="B743" i="4"/>
  <c r="A743" i="4"/>
  <c r="H742" i="4"/>
  <c r="G742" i="4"/>
  <c r="D742" i="4"/>
  <c r="C742" i="4"/>
  <c r="B742" i="4"/>
  <c r="A742" i="4"/>
  <c r="H741" i="4"/>
  <c r="G741" i="4"/>
  <c r="D741" i="4"/>
  <c r="C741" i="4"/>
  <c r="B741" i="4"/>
  <c r="A741" i="4"/>
  <c r="H740" i="4"/>
  <c r="G740" i="4"/>
  <c r="D740" i="4"/>
  <c r="C740" i="4"/>
  <c r="B740" i="4"/>
  <c r="A740" i="4"/>
  <c r="H739" i="4"/>
  <c r="G739" i="4"/>
  <c r="D739" i="4"/>
  <c r="C739" i="4"/>
  <c r="B739" i="4"/>
  <c r="A739" i="4"/>
  <c r="H738" i="4"/>
  <c r="G738" i="4"/>
  <c r="D738" i="4"/>
  <c r="C738" i="4"/>
  <c r="B738" i="4"/>
  <c r="A738" i="4"/>
  <c r="H737" i="4"/>
  <c r="G737" i="4"/>
  <c r="D737" i="4"/>
  <c r="C737" i="4"/>
  <c r="B737" i="4"/>
  <c r="A737" i="4"/>
  <c r="H736" i="4"/>
  <c r="G736" i="4"/>
  <c r="D736" i="4"/>
  <c r="C736" i="4"/>
  <c r="B736" i="4"/>
  <c r="A736" i="4"/>
  <c r="H735" i="4"/>
  <c r="G735" i="4"/>
  <c r="D735" i="4"/>
  <c r="C735" i="4"/>
  <c r="B735" i="4"/>
  <c r="A735" i="4"/>
  <c r="H734" i="4"/>
  <c r="G734" i="4"/>
  <c r="D734" i="4"/>
  <c r="C734" i="4"/>
  <c r="B734" i="4"/>
  <c r="A734" i="4"/>
  <c r="H733" i="4"/>
  <c r="G733" i="4"/>
  <c r="D733" i="4"/>
  <c r="C733" i="4"/>
  <c r="B733" i="4"/>
  <c r="A733" i="4"/>
  <c r="H732" i="4"/>
  <c r="G732" i="4"/>
  <c r="D732" i="4"/>
  <c r="C732" i="4"/>
  <c r="B732" i="4"/>
  <c r="A732" i="4"/>
  <c r="H731" i="4"/>
  <c r="G731" i="4"/>
  <c r="D731" i="4"/>
  <c r="C731" i="4"/>
  <c r="B731" i="4"/>
  <c r="A731" i="4"/>
  <c r="H730" i="4"/>
  <c r="G730" i="4"/>
  <c r="D730" i="4"/>
  <c r="C730" i="4"/>
  <c r="B730" i="4"/>
  <c r="A730" i="4"/>
  <c r="H729" i="4"/>
  <c r="G729" i="4"/>
  <c r="D729" i="4"/>
  <c r="C729" i="4"/>
  <c r="B729" i="4"/>
  <c r="A729" i="4"/>
  <c r="H728" i="4"/>
  <c r="G728" i="4"/>
  <c r="D728" i="4"/>
  <c r="C728" i="4"/>
  <c r="B728" i="4"/>
  <c r="A728" i="4"/>
  <c r="H727" i="4"/>
  <c r="G727" i="4"/>
  <c r="D727" i="4"/>
  <c r="C727" i="4"/>
  <c r="B727" i="4"/>
  <c r="A727" i="4"/>
  <c r="H726" i="4"/>
  <c r="G726" i="4"/>
  <c r="D726" i="4"/>
  <c r="C726" i="4"/>
  <c r="B726" i="4"/>
  <c r="A726" i="4"/>
  <c r="H725" i="4"/>
  <c r="G725" i="4"/>
  <c r="D725" i="4"/>
  <c r="C725" i="4"/>
  <c r="B725" i="4"/>
  <c r="A725" i="4"/>
  <c r="H724" i="4"/>
  <c r="G724" i="4"/>
  <c r="D724" i="4"/>
  <c r="C724" i="4"/>
  <c r="B724" i="4"/>
  <c r="A724" i="4"/>
  <c r="H723" i="4"/>
  <c r="G723" i="4"/>
  <c r="D723" i="4"/>
  <c r="C723" i="4"/>
  <c r="B723" i="4"/>
  <c r="A723" i="4"/>
  <c r="H722" i="4"/>
  <c r="G722" i="4"/>
  <c r="D722" i="4"/>
  <c r="C722" i="4"/>
  <c r="B722" i="4"/>
  <c r="A722" i="4"/>
  <c r="H721" i="4"/>
  <c r="G721" i="4"/>
  <c r="D721" i="4"/>
  <c r="C721" i="4"/>
  <c r="B721" i="4"/>
  <c r="A721" i="4"/>
  <c r="H720" i="4"/>
  <c r="G720" i="4"/>
  <c r="D720" i="4"/>
  <c r="C720" i="4"/>
  <c r="B720" i="4"/>
  <c r="A720" i="4"/>
  <c r="H719" i="4"/>
  <c r="G719" i="4"/>
  <c r="D719" i="4"/>
  <c r="C719" i="4"/>
  <c r="B719" i="4"/>
  <c r="A719" i="4"/>
  <c r="H718" i="4"/>
  <c r="G718" i="4"/>
  <c r="D718" i="4"/>
  <c r="C718" i="4"/>
  <c r="B718" i="4"/>
  <c r="A718" i="4"/>
  <c r="H717" i="4"/>
  <c r="G717" i="4"/>
  <c r="D717" i="4"/>
  <c r="C717" i="4"/>
  <c r="B717" i="4"/>
  <c r="A717" i="4"/>
  <c r="H716" i="4"/>
  <c r="G716" i="4"/>
  <c r="D716" i="4"/>
  <c r="C716" i="4"/>
  <c r="B716" i="4"/>
  <c r="A716" i="4"/>
  <c r="H715" i="4"/>
  <c r="G715" i="4"/>
  <c r="D715" i="4"/>
  <c r="C715" i="4"/>
  <c r="B715" i="4"/>
  <c r="A715" i="4"/>
  <c r="H714" i="4"/>
  <c r="G714" i="4"/>
  <c r="D714" i="4"/>
  <c r="C714" i="4"/>
  <c r="B714" i="4"/>
  <c r="A714" i="4"/>
  <c r="H713" i="4"/>
  <c r="G713" i="4"/>
  <c r="D713" i="4"/>
  <c r="C713" i="4"/>
  <c r="B713" i="4"/>
  <c r="A713" i="4"/>
  <c r="H712" i="4"/>
  <c r="G712" i="4"/>
  <c r="D712" i="4"/>
  <c r="C712" i="4"/>
  <c r="B712" i="4"/>
  <c r="A712" i="4"/>
  <c r="H711" i="4"/>
  <c r="G711" i="4"/>
  <c r="D711" i="4"/>
  <c r="C711" i="4"/>
  <c r="B711" i="4"/>
  <c r="A711" i="4"/>
  <c r="H710" i="4"/>
  <c r="G710" i="4"/>
  <c r="D710" i="4"/>
  <c r="C710" i="4"/>
  <c r="B710" i="4"/>
  <c r="A710" i="4"/>
  <c r="H709" i="4"/>
  <c r="G709" i="4"/>
  <c r="D709" i="4"/>
  <c r="C709" i="4"/>
  <c r="B709" i="4"/>
  <c r="A709" i="4"/>
  <c r="H708" i="4"/>
  <c r="G708" i="4"/>
  <c r="D708" i="4"/>
  <c r="C708" i="4"/>
  <c r="B708" i="4"/>
  <c r="A708" i="4"/>
  <c r="H707" i="4"/>
  <c r="G707" i="4"/>
  <c r="D707" i="4"/>
  <c r="C707" i="4"/>
  <c r="B707" i="4"/>
  <c r="A707" i="4"/>
  <c r="H706" i="4"/>
  <c r="G706" i="4"/>
  <c r="D706" i="4"/>
  <c r="C706" i="4"/>
  <c r="B706" i="4"/>
  <c r="A706" i="4"/>
  <c r="H705" i="4"/>
  <c r="G705" i="4"/>
  <c r="D705" i="4"/>
  <c r="C705" i="4"/>
  <c r="B705" i="4"/>
  <c r="A705" i="4"/>
  <c r="H704" i="4"/>
  <c r="G704" i="4"/>
  <c r="D704" i="4"/>
  <c r="C704" i="4"/>
  <c r="B704" i="4"/>
  <c r="A704" i="4"/>
  <c r="H703" i="4"/>
  <c r="G703" i="4"/>
  <c r="D703" i="4"/>
  <c r="C703" i="4"/>
  <c r="B703" i="4"/>
  <c r="A703" i="4"/>
  <c r="H702" i="4"/>
  <c r="G702" i="4"/>
  <c r="D702" i="4"/>
  <c r="C702" i="4"/>
  <c r="B702" i="4"/>
  <c r="A702" i="4"/>
  <c r="H701" i="4"/>
  <c r="G701" i="4"/>
  <c r="D701" i="4"/>
  <c r="C701" i="4"/>
  <c r="B701" i="4"/>
  <c r="A701" i="4"/>
  <c r="H700" i="4"/>
  <c r="G700" i="4"/>
  <c r="D700" i="4"/>
  <c r="C700" i="4"/>
  <c r="B700" i="4"/>
  <c r="A700" i="4"/>
  <c r="H699" i="4"/>
  <c r="G699" i="4"/>
  <c r="D699" i="4"/>
  <c r="C699" i="4"/>
  <c r="B699" i="4"/>
  <c r="A699" i="4"/>
  <c r="H698" i="4"/>
  <c r="G698" i="4"/>
  <c r="D698" i="4"/>
  <c r="C698" i="4"/>
  <c r="B698" i="4"/>
  <c r="A698" i="4"/>
  <c r="H697" i="4"/>
  <c r="G697" i="4"/>
  <c r="D697" i="4"/>
  <c r="C697" i="4"/>
  <c r="B697" i="4"/>
  <c r="A697" i="4"/>
  <c r="H696" i="4"/>
  <c r="G696" i="4"/>
  <c r="D696" i="4"/>
  <c r="C696" i="4"/>
  <c r="B696" i="4"/>
  <c r="A696" i="4"/>
  <c r="H695" i="4"/>
  <c r="G695" i="4"/>
  <c r="D695" i="4"/>
  <c r="C695" i="4"/>
  <c r="B695" i="4"/>
  <c r="A695" i="4"/>
  <c r="H694" i="4"/>
  <c r="G694" i="4"/>
  <c r="D694" i="4"/>
  <c r="C694" i="4"/>
  <c r="B694" i="4"/>
  <c r="A694" i="4"/>
  <c r="H693" i="4"/>
  <c r="G693" i="4"/>
  <c r="D693" i="4"/>
  <c r="C693" i="4"/>
  <c r="B693" i="4"/>
  <c r="A693" i="4"/>
  <c r="H692" i="4"/>
  <c r="G692" i="4"/>
  <c r="D692" i="4"/>
  <c r="C692" i="4"/>
  <c r="B692" i="4"/>
  <c r="A692" i="4"/>
  <c r="H691" i="4"/>
  <c r="G691" i="4"/>
  <c r="D691" i="4"/>
  <c r="C691" i="4"/>
  <c r="B691" i="4"/>
  <c r="A691" i="4"/>
  <c r="H690" i="4"/>
  <c r="G690" i="4"/>
  <c r="D690" i="4"/>
  <c r="C690" i="4"/>
  <c r="B690" i="4"/>
  <c r="A690" i="4"/>
  <c r="H689" i="4"/>
  <c r="G689" i="4"/>
  <c r="D689" i="4"/>
  <c r="C689" i="4"/>
  <c r="B689" i="4"/>
  <c r="A689" i="4"/>
  <c r="H688" i="4"/>
  <c r="G688" i="4"/>
  <c r="D688" i="4"/>
  <c r="C688" i="4"/>
  <c r="B688" i="4"/>
  <c r="A688" i="4"/>
  <c r="H687" i="4"/>
  <c r="G687" i="4"/>
  <c r="D687" i="4"/>
  <c r="C687" i="4"/>
  <c r="B687" i="4"/>
  <c r="A687" i="4"/>
  <c r="H686" i="4"/>
  <c r="G686" i="4"/>
  <c r="D686" i="4"/>
  <c r="C686" i="4"/>
  <c r="B686" i="4"/>
  <c r="A686" i="4"/>
  <c r="H685" i="4"/>
  <c r="G685" i="4"/>
  <c r="D685" i="4"/>
  <c r="C685" i="4"/>
  <c r="B685" i="4"/>
  <c r="A685" i="4"/>
  <c r="H684" i="4"/>
  <c r="G684" i="4"/>
  <c r="D684" i="4"/>
  <c r="C684" i="4"/>
  <c r="B684" i="4"/>
  <c r="A684" i="4"/>
  <c r="H683" i="4"/>
  <c r="G683" i="4"/>
  <c r="D683" i="4"/>
  <c r="C683" i="4"/>
  <c r="B683" i="4"/>
  <c r="A683" i="4"/>
  <c r="H682" i="4"/>
  <c r="G682" i="4"/>
  <c r="D682" i="4"/>
  <c r="C682" i="4"/>
  <c r="B682" i="4"/>
  <c r="A682" i="4"/>
  <c r="H681" i="4"/>
  <c r="G681" i="4"/>
  <c r="D681" i="4"/>
  <c r="C681" i="4"/>
  <c r="B681" i="4"/>
  <c r="A681" i="4"/>
  <c r="H680" i="4"/>
  <c r="G680" i="4"/>
  <c r="D680" i="4"/>
  <c r="C680" i="4"/>
  <c r="B680" i="4"/>
  <c r="A680" i="4"/>
  <c r="H679" i="4"/>
  <c r="G679" i="4"/>
  <c r="D679" i="4"/>
  <c r="C679" i="4"/>
  <c r="B679" i="4"/>
  <c r="A679" i="4"/>
  <c r="H678" i="4"/>
  <c r="G678" i="4"/>
  <c r="D678" i="4"/>
  <c r="C678" i="4"/>
  <c r="B678" i="4"/>
  <c r="A678" i="4"/>
  <c r="H677" i="4"/>
  <c r="G677" i="4"/>
  <c r="D677" i="4"/>
  <c r="C677" i="4"/>
  <c r="B677" i="4"/>
  <c r="A677" i="4"/>
  <c r="H676" i="4"/>
  <c r="G676" i="4"/>
  <c r="D676" i="4"/>
  <c r="C676" i="4"/>
  <c r="B676" i="4"/>
  <c r="A676" i="4"/>
  <c r="H675" i="4"/>
  <c r="G675" i="4"/>
  <c r="D675" i="4"/>
  <c r="C675" i="4"/>
  <c r="B675" i="4"/>
  <c r="A675" i="4"/>
  <c r="H674" i="4"/>
  <c r="G674" i="4"/>
  <c r="D674" i="4"/>
  <c r="C674" i="4"/>
  <c r="B674" i="4"/>
  <c r="A674" i="4"/>
  <c r="H673" i="4"/>
  <c r="G673" i="4"/>
  <c r="D673" i="4"/>
  <c r="C673" i="4"/>
  <c r="B673" i="4"/>
  <c r="A673" i="4"/>
  <c r="H672" i="4"/>
  <c r="G672" i="4"/>
  <c r="D672" i="4"/>
  <c r="C672" i="4"/>
  <c r="B672" i="4"/>
  <c r="A672" i="4"/>
  <c r="H671" i="4"/>
  <c r="G671" i="4"/>
  <c r="D671" i="4"/>
  <c r="C671" i="4"/>
  <c r="B671" i="4"/>
  <c r="A671" i="4"/>
  <c r="H670" i="4"/>
  <c r="G670" i="4"/>
  <c r="D670" i="4"/>
  <c r="C670" i="4"/>
  <c r="B670" i="4"/>
  <c r="A670" i="4"/>
  <c r="H669" i="4"/>
  <c r="G669" i="4"/>
  <c r="D669" i="4"/>
  <c r="C669" i="4"/>
  <c r="B669" i="4"/>
  <c r="A669" i="4"/>
  <c r="H668" i="4"/>
  <c r="G668" i="4"/>
  <c r="D668" i="4"/>
  <c r="C668" i="4"/>
  <c r="B668" i="4"/>
  <c r="A668" i="4"/>
  <c r="H667" i="4"/>
  <c r="G667" i="4"/>
  <c r="D667" i="4"/>
  <c r="C667" i="4"/>
  <c r="B667" i="4"/>
  <c r="A667" i="4"/>
  <c r="H666" i="4"/>
  <c r="G666" i="4"/>
  <c r="D666" i="4"/>
  <c r="C666" i="4"/>
  <c r="B666" i="4"/>
  <c r="A666" i="4"/>
  <c r="H665" i="4"/>
  <c r="G665" i="4"/>
  <c r="D665" i="4"/>
  <c r="C665" i="4"/>
  <c r="B665" i="4"/>
  <c r="A665" i="4"/>
  <c r="H664" i="4"/>
  <c r="G664" i="4"/>
  <c r="D664" i="4"/>
  <c r="C664" i="4"/>
  <c r="B664" i="4"/>
  <c r="A664" i="4"/>
  <c r="H663" i="4"/>
  <c r="G663" i="4"/>
  <c r="D663" i="4"/>
  <c r="C663" i="4"/>
  <c r="B663" i="4"/>
  <c r="A663" i="4"/>
  <c r="H662" i="4"/>
  <c r="G662" i="4"/>
  <c r="D662" i="4"/>
  <c r="C662" i="4"/>
  <c r="B662" i="4"/>
  <c r="A662" i="4"/>
  <c r="H661" i="4"/>
  <c r="G661" i="4"/>
  <c r="D661" i="4"/>
  <c r="C661" i="4"/>
  <c r="B661" i="4"/>
  <c r="A661" i="4"/>
  <c r="H660" i="4"/>
  <c r="G660" i="4"/>
  <c r="D660" i="4"/>
  <c r="C660" i="4"/>
  <c r="B660" i="4"/>
  <c r="A660" i="4"/>
  <c r="H659" i="4"/>
  <c r="G659" i="4"/>
  <c r="D659" i="4"/>
  <c r="C659" i="4"/>
  <c r="B659" i="4"/>
  <c r="A659" i="4"/>
  <c r="H658" i="4"/>
  <c r="G658" i="4"/>
  <c r="D658" i="4"/>
  <c r="C658" i="4"/>
  <c r="B658" i="4"/>
  <c r="A658" i="4"/>
  <c r="H657" i="4"/>
  <c r="G657" i="4"/>
  <c r="D657" i="4"/>
  <c r="C657" i="4"/>
  <c r="B657" i="4"/>
  <c r="A657" i="4"/>
  <c r="H656" i="4"/>
  <c r="G656" i="4"/>
  <c r="D656" i="4"/>
  <c r="C656" i="4"/>
  <c r="B656" i="4"/>
  <c r="A656" i="4"/>
  <c r="H655" i="4"/>
  <c r="G655" i="4"/>
  <c r="D655" i="4"/>
  <c r="C655" i="4"/>
  <c r="B655" i="4"/>
  <c r="A655" i="4"/>
  <c r="H1619" i="4"/>
  <c r="G1619" i="4"/>
  <c r="D1619" i="4"/>
  <c r="C1619" i="4"/>
  <c r="B1619" i="4"/>
  <c r="A1619" i="4"/>
  <c r="H654" i="4"/>
  <c r="G654" i="4"/>
  <c r="D654" i="4"/>
  <c r="C654" i="4"/>
  <c r="B654" i="4"/>
  <c r="A654" i="4"/>
  <c r="H653" i="4"/>
  <c r="G653" i="4"/>
  <c r="D653" i="4"/>
  <c r="C653" i="4"/>
  <c r="B653" i="4"/>
  <c r="A653" i="4"/>
  <c r="H1704" i="2"/>
  <c r="G1704" i="2"/>
  <c r="D1704" i="2"/>
  <c r="C1704" i="2"/>
  <c r="B1704" i="2"/>
  <c r="A1704" i="2"/>
  <c r="H1703" i="2"/>
  <c r="G1703" i="2"/>
  <c r="D1703" i="2"/>
  <c r="C1703" i="2"/>
  <c r="B1703" i="2"/>
  <c r="A1703" i="2"/>
  <c r="H1702" i="2"/>
  <c r="G1702" i="2"/>
  <c r="D1702" i="2"/>
  <c r="C1702" i="2"/>
  <c r="B1702" i="2"/>
  <c r="A1702" i="2"/>
  <c r="H1701" i="2"/>
  <c r="G1701" i="2"/>
  <c r="D1701" i="2"/>
  <c r="C1701" i="2"/>
  <c r="B1701" i="2"/>
  <c r="A1701" i="2"/>
  <c r="H1700" i="2"/>
  <c r="G1700" i="2"/>
  <c r="D1700" i="2"/>
  <c r="C1700" i="2"/>
  <c r="B1700" i="2"/>
  <c r="A1700" i="2"/>
  <c r="H1699" i="2"/>
  <c r="G1699" i="2"/>
  <c r="D1699" i="2"/>
  <c r="C1699" i="2"/>
  <c r="B1699" i="2"/>
  <c r="A1699" i="2"/>
  <c r="H1698" i="2"/>
  <c r="G1698" i="2"/>
  <c r="D1698" i="2"/>
  <c r="C1698" i="2"/>
  <c r="B1698" i="2"/>
  <c r="A1698" i="2"/>
  <c r="H1697" i="2"/>
  <c r="G1697" i="2"/>
  <c r="D1697" i="2"/>
  <c r="C1697" i="2"/>
  <c r="B1697" i="2"/>
  <c r="A1697" i="2"/>
  <c r="H257" i="2"/>
  <c r="G257" i="2"/>
  <c r="D257" i="2"/>
  <c r="C257" i="2"/>
  <c r="B257" i="2"/>
  <c r="A257" i="2"/>
  <c r="H256" i="2"/>
  <c r="G256" i="2"/>
  <c r="D256" i="2"/>
  <c r="C256" i="2"/>
  <c r="B256" i="2"/>
  <c r="A256" i="2"/>
  <c r="H255" i="2"/>
  <c r="G255" i="2"/>
  <c r="D255" i="2"/>
  <c r="C255" i="2"/>
  <c r="B255" i="2"/>
  <c r="A255" i="2"/>
  <c r="H254" i="2"/>
  <c r="G254" i="2"/>
  <c r="D254" i="2"/>
  <c r="C254" i="2"/>
  <c r="B254" i="2"/>
  <c r="A254" i="2"/>
  <c r="H253" i="2"/>
  <c r="G253" i="2"/>
  <c r="D253" i="2"/>
  <c r="C253" i="2"/>
  <c r="B253" i="2"/>
  <c r="A253" i="2"/>
  <c r="H252" i="2"/>
  <c r="G252" i="2"/>
  <c r="D252" i="2"/>
  <c r="C252" i="2"/>
  <c r="B252" i="2"/>
  <c r="A252" i="2"/>
  <c r="H251" i="2"/>
  <c r="G251" i="2"/>
  <c r="D251" i="2"/>
  <c r="C251" i="2"/>
  <c r="B251" i="2"/>
  <c r="A251" i="2"/>
  <c r="H250" i="2"/>
  <c r="G250" i="2"/>
  <c r="D250" i="2"/>
  <c r="C250" i="2"/>
  <c r="B250" i="2"/>
  <c r="A250" i="2"/>
  <c r="H249" i="2"/>
  <c r="G249" i="2"/>
  <c r="D249" i="2"/>
  <c r="C249" i="2"/>
  <c r="B249" i="2"/>
  <c r="A249" i="2"/>
  <c r="H248" i="2"/>
  <c r="G248" i="2"/>
  <c r="D248" i="2"/>
  <c r="C248" i="2"/>
  <c r="B248" i="2"/>
  <c r="A248" i="2"/>
  <c r="H247" i="2"/>
  <c r="G247" i="2"/>
  <c r="D247" i="2"/>
  <c r="C247" i="2"/>
  <c r="B247" i="2"/>
  <c r="A247" i="2"/>
  <c r="H246" i="2"/>
  <c r="G246" i="2"/>
  <c r="D246" i="2"/>
  <c r="C246" i="2"/>
  <c r="B246" i="2"/>
  <c r="A246" i="2"/>
  <c r="H245" i="2"/>
  <c r="G245" i="2"/>
  <c r="D245" i="2"/>
  <c r="C245" i="2"/>
  <c r="B245" i="2"/>
  <c r="A245" i="2"/>
  <c r="H244" i="2"/>
  <c r="G244" i="2"/>
  <c r="D244" i="2"/>
  <c r="C244" i="2"/>
  <c r="B244" i="2"/>
  <c r="A244" i="2"/>
  <c r="H243" i="2"/>
  <c r="G243" i="2"/>
  <c r="D243" i="2"/>
  <c r="C243" i="2"/>
  <c r="B243" i="2"/>
  <c r="A243" i="2"/>
  <c r="H242" i="2"/>
  <c r="G242" i="2"/>
  <c r="D242" i="2"/>
  <c r="C242" i="2"/>
  <c r="B242" i="2"/>
  <c r="A242" i="2"/>
  <c r="H241" i="2"/>
  <c r="G241" i="2"/>
  <c r="D241" i="2"/>
  <c r="C241" i="2"/>
  <c r="B241" i="2"/>
  <c r="A241" i="2"/>
  <c r="H240" i="2"/>
  <c r="G240" i="2"/>
  <c r="D240" i="2"/>
  <c r="C240" i="2"/>
  <c r="B240" i="2"/>
  <c r="A240" i="2"/>
  <c r="H239" i="2"/>
  <c r="G239" i="2"/>
  <c r="D239" i="2"/>
  <c r="C239" i="2"/>
  <c r="B239" i="2"/>
  <c r="A239" i="2"/>
  <c r="H238" i="2"/>
  <c r="G238" i="2"/>
  <c r="D238" i="2"/>
  <c r="C238" i="2"/>
  <c r="B238" i="2"/>
  <c r="A238" i="2"/>
  <c r="H237" i="2"/>
  <c r="G237" i="2"/>
  <c r="D237" i="2"/>
  <c r="C237" i="2"/>
  <c r="B237" i="2"/>
  <c r="A237" i="2"/>
  <c r="H236" i="2"/>
  <c r="G236" i="2"/>
  <c r="D236" i="2"/>
  <c r="C236" i="2"/>
  <c r="B236" i="2"/>
  <c r="A236" i="2"/>
  <c r="H235" i="2"/>
  <c r="G235" i="2"/>
  <c r="D235" i="2"/>
  <c r="C235" i="2"/>
  <c r="B235" i="2"/>
  <c r="A235" i="2"/>
  <c r="H234" i="2"/>
  <c r="G234" i="2"/>
  <c r="D234" i="2"/>
  <c r="C234" i="2"/>
  <c r="B234" i="2"/>
  <c r="A234" i="2"/>
  <c r="H233" i="2"/>
  <c r="G233" i="2"/>
  <c r="D233" i="2"/>
  <c r="C233" i="2"/>
  <c r="B233" i="2"/>
  <c r="A233" i="2"/>
  <c r="H232" i="2"/>
  <c r="G232" i="2"/>
  <c r="D232" i="2"/>
  <c r="C232" i="2"/>
  <c r="B232" i="2"/>
  <c r="A232" i="2"/>
  <c r="H231" i="2"/>
  <c r="G231" i="2"/>
  <c r="D231" i="2"/>
  <c r="C231" i="2"/>
  <c r="B231" i="2"/>
  <c r="A231" i="2"/>
  <c r="H230" i="2"/>
  <c r="G230" i="2"/>
  <c r="D230" i="2"/>
  <c r="C230" i="2"/>
  <c r="B230" i="2"/>
  <c r="A230" i="2"/>
  <c r="H229" i="2"/>
  <c r="G229" i="2"/>
  <c r="D229" i="2"/>
  <c r="C229" i="2"/>
  <c r="B229" i="2"/>
  <c r="A229" i="2"/>
  <c r="H228" i="2"/>
  <c r="G228" i="2"/>
  <c r="D228" i="2"/>
  <c r="C228" i="2"/>
  <c r="B228" i="2"/>
  <c r="A228" i="2"/>
  <c r="H227" i="2"/>
  <c r="G227" i="2"/>
  <c r="D227" i="2"/>
  <c r="C227" i="2"/>
  <c r="B227" i="2"/>
  <c r="A227" i="2"/>
  <c r="H226" i="2"/>
  <c r="G226" i="2"/>
  <c r="D226" i="2"/>
  <c r="C226" i="2"/>
  <c r="B226" i="2"/>
  <c r="A226" i="2"/>
  <c r="H225" i="2"/>
  <c r="G225" i="2"/>
  <c r="D225" i="2"/>
  <c r="C225" i="2"/>
  <c r="B225" i="2"/>
  <c r="A225" i="2"/>
  <c r="H224" i="2"/>
  <c r="G224" i="2"/>
  <c r="D224" i="2"/>
  <c r="C224" i="2"/>
  <c r="B224" i="2"/>
  <c r="A224" i="2"/>
  <c r="H223" i="2"/>
  <c r="G223" i="2"/>
  <c r="D223" i="2"/>
  <c r="C223" i="2"/>
  <c r="B223" i="2"/>
  <c r="A223" i="2"/>
  <c r="H222" i="2"/>
  <c r="G222" i="2"/>
  <c r="D222" i="2"/>
  <c r="C222" i="2"/>
  <c r="B222" i="2"/>
  <c r="A222" i="2"/>
  <c r="H221" i="2"/>
  <c r="G221" i="2"/>
  <c r="D221" i="2"/>
  <c r="C221" i="2"/>
  <c r="B221" i="2"/>
  <c r="A221" i="2"/>
  <c r="H220" i="2"/>
  <c r="G220" i="2"/>
  <c r="D220" i="2"/>
  <c r="C220" i="2"/>
  <c r="B220" i="2"/>
  <c r="A220" i="2"/>
  <c r="H219" i="2"/>
  <c r="G219" i="2"/>
  <c r="D219" i="2"/>
  <c r="C219" i="2"/>
  <c r="B219" i="2"/>
  <c r="A219" i="2"/>
  <c r="H218" i="2"/>
  <c r="G218" i="2"/>
  <c r="D218" i="2"/>
  <c r="C218" i="2"/>
  <c r="B218" i="2"/>
  <c r="A218" i="2"/>
  <c r="H217" i="2"/>
  <c r="G217" i="2"/>
  <c r="D217" i="2"/>
  <c r="C217" i="2"/>
  <c r="B217" i="2"/>
  <c r="A217" i="2"/>
  <c r="H216" i="2"/>
  <c r="G216" i="2"/>
  <c r="D216" i="2"/>
  <c r="C216" i="2"/>
  <c r="B216" i="2"/>
  <c r="A216" i="2"/>
  <c r="H215" i="2"/>
  <c r="G215" i="2"/>
  <c r="D215" i="2"/>
  <c r="C215" i="2"/>
  <c r="B215" i="2"/>
  <c r="A215" i="2"/>
  <c r="H214" i="2"/>
  <c r="G214" i="2"/>
  <c r="D214" i="2"/>
  <c r="C214" i="2"/>
  <c r="B214" i="2"/>
  <c r="A214" i="2"/>
  <c r="H213" i="2"/>
  <c r="G213" i="2"/>
  <c r="D213" i="2"/>
  <c r="C213" i="2"/>
  <c r="B213" i="2"/>
  <c r="A213" i="2"/>
  <c r="H212" i="2"/>
  <c r="G212" i="2"/>
  <c r="D212" i="2"/>
  <c r="C212" i="2"/>
  <c r="B212" i="2"/>
  <c r="A212" i="2"/>
  <c r="H211" i="2"/>
  <c r="G211" i="2"/>
  <c r="D211" i="2"/>
  <c r="C211" i="2"/>
  <c r="B211" i="2"/>
  <c r="A211" i="2"/>
  <c r="H210" i="2"/>
  <c r="G210" i="2"/>
  <c r="D210" i="2"/>
  <c r="C210" i="2"/>
  <c r="B210" i="2"/>
  <c r="A210" i="2"/>
  <c r="H209" i="2"/>
  <c r="G209" i="2"/>
  <c r="D209" i="2"/>
  <c r="C209" i="2"/>
  <c r="B209" i="2"/>
  <c r="A209" i="2"/>
  <c r="H208" i="2"/>
  <c r="G208" i="2"/>
  <c r="D208" i="2"/>
  <c r="C208" i="2"/>
  <c r="B208" i="2"/>
  <c r="A208" i="2"/>
  <c r="H207" i="2"/>
  <c r="G207" i="2"/>
  <c r="D207" i="2"/>
  <c r="C207" i="2"/>
  <c r="B207" i="2"/>
  <c r="A207" i="2"/>
  <c r="H206" i="2"/>
  <c r="G206" i="2"/>
  <c r="D206" i="2"/>
  <c r="C206" i="2"/>
  <c r="B206" i="2"/>
  <c r="A206" i="2"/>
  <c r="H205" i="2"/>
  <c r="G205" i="2"/>
  <c r="D205" i="2"/>
  <c r="C205" i="2"/>
  <c r="B205" i="2"/>
  <c r="A205" i="2"/>
  <c r="H204" i="2"/>
  <c r="G204" i="2"/>
  <c r="D204" i="2"/>
  <c r="C204" i="2"/>
  <c r="B204" i="2"/>
  <c r="A204" i="2"/>
  <c r="H203" i="2"/>
  <c r="G203" i="2"/>
  <c r="D203" i="2"/>
  <c r="C203" i="2"/>
  <c r="B203" i="2"/>
  <c r="A203" i="2"/>
  <c r="H202" i="2"/>
  <c r="G202" i="2"/>
  <c r="D202" i="2"/>
  <c r="C202" i="2"/>
  <c r="B202" i="2"/>
  <c r="A202" i="2"/>
  <c r="H201" i="2"/>
  <c r="G201" i="2"/>
  <c r="D201" i="2"/>
  <c r="C201" i="2"/>
  <c r="B201" i="2"/>
  <c r="A201" i="2"/>
  <c r="H200" i="2"/>
  <c r="G200" i="2"/>
  <c r="D200" i="2"/>
  <c r="C200" i="2"/>
  <c r="B200" i="2"/>
  <c r="A200" i="2"/>
  <c r="H199" i="2"/>
  <c r="G199" i="2"/>
  <c r="D199" i="2"/>
  <c r="C199" i="2"/>
  <c r="B199" i="2"/>
  <c r="A199" i="2"/>
  <c r="H198" i="2"/>
  <c r="G198" i="2"/>
  <c r="D198" i="2"/>
  <c r="C198" i="2"/>
  <c r="B198" i="2"/>
  <c r="A198" i="2"/>
  <c r="H197" i="2"/>
  <c r="G197" i="2"/>
  <c r="D197" i="2"/>
  <c r="C197" i="2"/>
  <c r="B197" i="2"/>
  <c r="A197" i="2"/>
  <c r="H196" i="2"/>
  <c r="G196" i="2"/>
  <c r="D196" i="2"/>
  <c r="C196" i="2"/>
  <c r="B196" i="2"/>
  <c r="A196" i="2"/>
  <c r="H195" i="2"/>
  <c r="G195" i="2"/>
  <c r="D195" i="2"/>
  <c r="C195" i="2"/>
  <c r="B195" i="2"/>
  <c r="A195" i="2"/>
  <c r="H194" i="2"/>
  <c r="G194" i="2"/>
  <c r="D194" i="2"/>
  <c r="C194" i="2"/>
  <c r="B194" i="2"/>
  <c r="A194" i="2"/>
  <c r="H193" i="2"/>
  <c r="G193" i="2"/>
  <c r="D193" i="2"/>
  <c r="C193" i="2"/>
  <c r="B193" i="2"/>
  <c r="A193" i="2"/>
  <c r="H192" i="2"/>
  <c r="G192" i="2"/>
  <c r="D192" i="2"/>
  <c r="C192" i="2"/>
  <c r="B192" i="2"/>
  <c r="A192" i="2"/>
  <c r="H191" i="2"/>
  <c r="G191" i="2"/>
  <c r="D191" i="2"/>
  <c r="C191" i="2"/>
  <c r="B191" i="2"/>
  <c r="A191" i="2"/>
  <c r="H190" i="2"/>
  <c r="G190" i="2"/>
  <c r="D190" i="2"/>
  <c r="C190" i="2"/>
  <c r="B190" i="2"/>
  <c r="A190" i="2"/>
  <c r="H189" i="2"/>
  <c r="G189" i="2"/>
  <c r="D189" i="2"/>
  <c r="C189" i="2"/>
  <c r="B189" i="2"/>
  <c r="A189" i="2"/>
  <c r="H188" i="2"/>
  <c r="G188" i="2"/>
  <c r="D188" i="2"/>
  <c r="C188" i="2"/>
  <c r="B188" i="2"/>
  <c r="A188" i="2"/>
  <c r="H187" i="2"/>
  <c r="G187" i="2"/>
  <c r="D187" i="2"/>
  <c r="C187" i="2"/>
  <c r="B187" i="2"/>
  <c r="A187" i="2"/>
  <c r="H186" i="2"/>
  <c r="G186" i="2"/>
  <c r="D186" i="2"/>
  <c r="C186" i="2"/>
  <c r="B186" i="2"/>
  <c r="A186" i="2"/>
  <c r="H1696" i="2"/>
  <c r="G1696" i="2"/>
  <c r="D1696" i="2"/>
  <c r="C1696" i="2"/>
  <c r="B1696" i="2"/>
  <c r="A1696" i="2"/>
  <c r="H1695" i="2"/>
  <c r="G1695" i="2"/>
  <c r="D1695" i="2"/>
  <c r="C1695" i="2"/>
  <c r="B1695" i="2"/>
  <c r="A1695" i="2"/>
  <c r="H1694" i="2"/>
  <c r="G1694" i="2"/>
  <c r="D1694" i="2"/>
  <c r="C1694" i="2"/>
  <c r="B1694" i="2"/>
  <c r="A1694" i="2"/>
  <c r="H1693" i="2"/>
  <c r="G1693" i="2"/>
  <c r="D1693" i="2"/>
  <c r="C1693" i="2"/>
  <c r="B1693" i="2"/>
  <c r="A1693" i="2"/>
  <c r="H1692" i="2"/>
  <c r="G1692" i="2"/>
  <c r="D1692" i="2"/>
  <c r="C1692" i="2"/>
  <c r="B1692" i="2"/>
  <c r="A1692" i="2"/>
  <c r="H1691" i="2"/>
  <c r="G1691" i="2"/>
  <c r="D1691" i="2"/>
  <c r="C1691" i="2"/>
  <c r="B1691" i="2"/>
  <c r="A1691" i="2"/>
  <c r="H1690" i="2"/>
  <c r="G1690" i="2"/>
  <c r="D1690" i="2"/>
  <c r="C1690" i="2"/>
  <c r="B1690" i="2"/>
  <c r="A1690" i="2"/>
  <c r="H1689" i="2"/>
  <c r="G1689" i="2"/>
  <c r="D1689" i="2"/>
  <c r="C1689" i="2"/>
  <c r="B1689" i="2"/>
  <c r="A1689" i="2"/>
  <c r="H1850" i="2"/>
  <c r="G1850" i="2"/>
  <c r="D1850" i="2"/>
  <c r="C1850" i="2"/>
  <c r="B1850" i="2"/>
  <c r="A1850" i="2"/>
  <c r="H1849" i="2"/>
  <c r="G1849" i="2"/>
  <c r="D1849" i="2"/>
  <c r="C1849" i="2"/>
  <c r="B1849" i="2"/>
  <c r="A1849" i="2"/>
  <c r="H1848" i="2"/>
  <c r="G1848" i="2"/>
  <c r="D1848" i="2"/>
  <c r="C1848" i="2"/>
  <c r="B1848" i="2"/>
  <c r="A1848" i="2"/>
  <c r="H1847" i="2"/>
  <c r="G1847" i="2"/>
  <c r="D1847" i="2"/>
  <c r="C1847" i="2"/>
  <c r="B1847" i="2"/>
  <c r="A1847" i="2"/>
  <c r="H1846" i="2"/>
  <c r="G1846" i="2"/>
  <c r="D1846" i="2"/>
  <c r="C1846" i="2"/>
  <c r="B1846" i="2"/>
  <c r="A1846" i="2"/>
  <c r="H1845" i="2"/>
  <c r="G1845" i="2"/>
  <c r="D1845" i="2"/>
  <c r="C1845" i="2"/>
  <c r="B1845" i="2"/>
  <c r="A1845" i="2"/>
  <c r="H1844" i="2"/>
  <c r="G1844" i="2"/>
  <c r="D1844" i="2"/>
  <c r="C1844" i="2"/>
  <c r="B1844" i="2"/>
  <c r="A1844" i="2"/>
  <c r="H1843" i="2"/>
  <c r="G1843" i="2"/>
  <c r="D1843" i="2"/>
  <c r="C1843" i="2"/>
  <c r="B1843" i="2"/>
  <c r="A1843" i="2"/>
  <c r="H1842" i="2"/>
  <c r="G1842" i="2"/>
  <c r="D1842" i="2"/>
  <c r="C1842" i="2"/>
  <c r="B1842" i="2"/>
  <c r="A1842" i="2"/>
  <c r="H1841" i="2"/>
  <c r="G1841" i="2"/>
  <c r="D1841" i="2"/>
  <c r="C1841" i="2"/>
  <c r="B1841" i="2"/>
  <c r="A1841" i="2"/>
  <c r="H185" i="2"/>
  <c r="G185" i="2"/>
  <c r="D185" i="2"/>
  <c r="C185" i="2"/>
  <c r="B185" i="2"/>
  <c r="A185" i="2"/>
  <c r="H1840" i="2"/>
  <c r="G1840" i="2"/>
  <c r="D1840" i="2"/>
  <c r="C1840" i="2"/>
  <c r="B1840" i="2"/>
  <c r="A1840" i="2"/>
  <c r="H1839" i="2"/>
  <c r="G1839" i="2"/>
  <c r="D1839" i="2"/>
  <c r="C1839" i="2"/>
  <c r="B1839" i="2"/>
  <c r="A1839" i="2"/>
  <c r="H1838" i="2"/>
  <c r="G1838" i="2"/>
  <c r="D1838" i="2"/>
  <c r="C1838" i="2"/>
  <c r="B1838" i="2"/>
  <c r="A1838" i="2"/>
  <c r="H1688" i="2"/>
  <c r="G1688" i="2"/>
  <c r="D1688" i="2"/>
  <c r="C1688" i="2"/>
  <c r="B1688" i="2"/>
  <c r="A1688" i="2"/>
  <c r="H1837" i="2"/>
  <c r="G1837" i="2"/>
  <c r="D1837" i="2"/>
  <c r="C1837" i="2"/>
  <c r="B1837" i="2"/>
  <c r="A1837" i="2"/>
  <c r="H1836" i="2"/>
  <c r="G1836" i="2"/>
  <c r="D1836" i="2"/>
  <c r="C1836" i="2"/>
  <c r="B1836" i="2"/>
  <c r="A1836" i="2"/>
  <c r="H1835" i="2"/>
  <c r="G1835" i="2"/>
  <c r="D1835" i="2"/>
  <c r="C1835" i="2"/>
  <c r="B1835" i="2"/>
  <c r="A1835" i="2"/>
  <c r="H1834" i="2"/>
  <c r="G1834" i="2"/>
  <c r="D1834" i="2"/>
  <c r="C1834" i="2"/>
  <c r="B1834" i="2"/>
  <c r="A1834" i="2"/>
  <c r="H1833" i="2"/>
  <c r="G1833" i="2"/>
  <c r="D1833" i="2"/>
  <c r="C1833" i="2"/>
  <c r="B1833" i="2"/>
  <c r="A1833" i="2"/>
  <c r="H1832" i="2"/>
  <c r="G1832" i="2"/>
  <c r="D1832" i="2"/>
  <c r="C1832" i="2"/>
  <c r="B1832" i="2"/>
  <c r="A1832" i="2"/>
  <c r="H1831" i="2"/>
  <c r="G1831" i="2"/>
  <c r="D1831" i="2"/>
  <c r="C1831" i="2"/>
  <c r="B1831" i="2"/>
  <c r="A1831" i="2"/>
  <c r="H1712" i="2"/>
  <c r="G1712" i="2"/>
  <c r="D1712" i="2"/>
  <c r="C1712" i="2"/>
  <c r="B1712" i="2"/>
  <c r="A1712" i="2"/>
  <c r="H1830" i="2"/>
  <c r="G1830" i="2"/>
  <c r="D1830" i="2"/>
  <c r="C1830" i="2"/>
  <c r="B1830" i="2"/>
  <c r="A1830" i="2"/>
  <c r="H1829" i="2"/>
  <c r="G1829" i="2"/>
  <c r="D1829" i="2"/>
  <c r="C1829" i="2"/>
  <c r="B1829" i="2"/>
  <c r="A1829" i="2"/>
  <c r="H1687" i="2"/>
  <c r="G1687" i="2"/>
  <c r="D1687" i="2"/>
  <c r="C1687" i="2"/>
  <c r="B1687" i="2"/>
  <c r="A1687" i="2"/>
  <c r="H1828" i="2"/>
  <c r="G1828" i="2"/>
  <c r="D1828" i="2"/>
  <c r="C1828" i="2"/>
  <c r="B1828" i="2"/>
  <c r="A1828" i="2"/>
  <c r="H184" i="2"/>
  <c r="G184" i="2"/>
  <c r="D184" i="2"/>
  <c r="C184" i="2"/>
  <c r="B184" i="2"/>
  <c r="A184" i="2"/>
  <c r="H183" i="2"/>
  <c r="G183" i="2"/>
  <c r="D183" i="2"/>
  <c r="C183" i="2"/>
  <c r="B183" i="2"/>
  <c r="A183" i="2"/>
  <c r="H182" i="2"/>
  <c r="G182" i="2"/>
  <c r="D182" i="2"/>
  <c r="C182" i="2"/>
  <c r="B182" i="2"/>
  <c r="A182" i="2"/>
  <c r="H181" i="2"/>
  <c r="G181" i="2"/>
  <c r="D181" i="2"/>
  <c r="C181" i="2"/>
  <c r="B181" i="2"/>
  <c r="A181" i="2"/>
  <c r="H180" i="2"/>
  <c r="G180" i="2"/>
  <c r="D180" i="2"/>
  <c r="C180" i="2"/>
  <c r="B180" i="2"/>
  <c r="A180" i="2"/>
  <c r="H179" i="2"/>
  <c r="G179" i="2"/>
  <c r="D179" i="2"/>
  <c r="C179" i="2"/>
  <c r="B179" i="2"/>
  <c r="A179" i="2"/>
  <c r="H1750" i="2"/>
  <c r="G1750" i="2"/>
  <c r="D1750" i="2"/>
  <c r="C1750" i="2"/>
  <c r="B1750" i="2"/>
  <c r="A1750" i="2"/>
  <c r="H178" i="2"/>
  <c r="G178" i="2"/>
  <c r="D178" i="2"/>
  <c r="C178" i="2"/>
  <c r="B178" i="2"/>
  <c r="A178" i="2"/>
  <c r="H177" i="2"/>
  <c r="G177" i="2"/>
  <c r="D177" i="2"/>
  <c r="C177" i="2"/>
  <c r="B177" i="2"/>
  <c r="A177" i="2"/>
  <c r="H176" i="2"/>
  <c r="G176" i="2"/>
  <c r="D176" i="2"/>
  <c r="C176" i="2"/>
  <c r="B176" i="2"/>
  <c r="A176" i="2"/>
  <c r="H175" i="2"/>
  <c r="G175" i="2"/>
  <c r="D175" i="2"/>
  <c r="C175" i="2"/>
  <c r="B175" i="2"/>
  <c r="A175" i="2"/>
  <c r="H174" i="2"/>
  <c r="G174" i="2"/>
  <c r="D174" i="2"/>
  <c r="C174" i="2"/>
  <c r="B174" i="2"/>
  <c r="A174" i="2"/>
  <c r="H173" i="2"/>
  <c r="G173" i="2"/>
  <c r="D173" i="2"/>
  <c r="C173" i="2"/>
  <c r="B173" i="2"/>
  <c r="A173" i="2"/>
  <c r="H172" i="2"/>
  <c r="G172" i="2"/>
  <c r="D172" i="2"/>
  <c r="C172" i="2"/>
  <c r="B172" i="2"/>
  <c r="A172" i="2"/>
  <c r="H171" i="2"/>
  <c r="G171" i="2"/>
  <c r="D171" i="2"/>
  <c r="C171" i="2"/>
  <c r="B171" i="2"/>
  <c r="A171" i="2"/>
  <c r="H170" i="2"/>
  <c r="G170" i="2"/>
  <c r="D170" i="2"/>
  <c r="C170" i="2"/>
  <c r="B170" i="2"/>
  <c r="A170" i="2"/>
  <c r="H169" i="2"/>
  <c r="G169" i="2"/>
  <c r="D169" i="2"/>
  <c r="C169" i="2"/>
  <c r="B169" i="2"/>
  <c r="A169" i="2"/>
  <c r="H168" i="2"/>
  <c r="G168" i="2"/>
  <c r="D168" i="2"/>
  <c r="C168" i="2"/>
  <c r="B168" i="2"/>
  <c r="A168" i="2"/>
  <c r="H72" i="2"/>
  <c r="G72" i="2"/>
  <c r="D72" i="2"/>
  <c r="C72" i="2"/>
  <c r="B72" i="2"/>
  <c r="A72" i="2"/>
  <c r="H1862" i="2"/>
  <c r="G1862" i="2"/>
  <c r="D1862" i="2"/>
  <c r="C1862" i="2"/>
  <c r="B1862" i="2"/>
  <c r="A1862" i="2"/>
  <c r="H1558" i="2"/>
  <c r="G1558" i="2"/>
  <c r="D1558" i="2"/>
  <c r="C1558" i="2"/>
  <c r="B1558" i="2"/>
  <c r="A1558" i="2"/>
  <c r="H1714" i="2"/>
  <c r="G1714" i="2"/>
  <c r="D1714" i="2"/>
  <c r="C1714" i="2"/>
  <c r="B1714" i="2"/>
  <c r="A1714" i="2"/>
  <c r="H516" i="2"/>
  <c r="G516" i="2"/>
  <c r="D516" i="2"/>
  <c r="C516" i="2"/>
  <c r="B516" i="2"/>
  <c r="A516" i="2"/>
  <c r="H515" i="2"/>
  <c r="G515" i="2"/>
  <c r="D515" i="2"/>
  <c r="C515" i="2"/>
  <c r="B515" i="2"/>
  <c r="A515" i="2"/>
  <c r="H318" i="2"/>
  <c r="G318" i="2"/>
  <c r="D318" i="2"/>
  <c r="C318" i="2"/>
  <c r="B318" i="2"/>
  <c r="A318" i="2"/>
  <c r="H17" i="2"/>
  <c r="G17" i="2"/>
  <c r="D17" i="2"/>
  <c r="C17" i="2"/>
  <c r="B17" i="2"/>
  <c r="A17" i="2"/>
  <c r="H1522" i="2"/>
  <c r="G1522" i="2"/>
  <c r="D1522" i="2"/>
  <c r="C1522" i="2"/>
  <c r="B1522" i="2"/>
  <c r="A1522" i="2"/>
  <c r="H417" i="2"/>
  <c r="G417" i="2"/>
  <c r="D417" i="2"/>
  <c r="C417" i="2"/>
  <c r="B417" i="2"/>
  <c r="A417" i="2"/>
  <c r="H1534" i="2"/>
  <c r="G1534" i="2"/>
  <c r="D1534" i="2"/>
  <c r="C1534" i="2"/>
  <c r="B1534" i="2"/>
  <c r="A1534" i="2"/>
  <c r="H1673" i="2"/>
  <c r="G1673" i="2"/>
  <c r="D1673" i="2"/>
  <c r="C1673" i="2"/>
  <c r="B1673" i="2"/>
  <c r="A1673" i="2"/>
  <c r="H1476" i="2"/>
  <c r="G1476" i="2"/>
  <c r="D1476" i="2"/>
  <c r="C1476" i="2"/>
  <c r="B1476" i="2"/>
  <c r="A1476" i="2"/>
  <c r="H416" i="2"/>
  <c r="G416" i="2"/>
  <c r="D416" i="2"/>
  <c r="C416" i="2"/>
  <c r="B416" i="2"/>
  <c r="A416" i="2"/>
  <c r="H1438" i="2"/>
  <c r="G1438" i="2"/>
  <c r="D1438" i="2"/>
  <c r="C1438" i="2"/>
  <c r="B1438" i="2"/>
  <c r="A1438" i="2"/>
  <c r="H1794" i="2"/>
  <c r="G1794" i="2"/>
  <c r="D1794" i="2"/>
  <c r="C1794" i="2"/>
  <c r="B1794" i="2"/>
  <c r="A1794" i="2"/>
  <c r="H313" i="2"/>
  <c r="G313" i="2"/>
  <c r="D313" i="2"/>
  <c r="C313" i="2"/>
  <c r="B313" i="2"/>
  <c r="A313" i="2"/>
  <c r="H839" i="2"/>
  <c r="G839" i="2"/>
  <c r="D839" i="2"/>
  <c r="C839" i="2"/>
  <c r="B839" i="2"/>
  <c r="A839" i="2"/>
  <c r="H676" i="2"/>
  <c r="G676" i="2"/>
  <c r="D676" i="2"/>
  <c r="C676" i="2"/>
  <c r="B676" i="2"/>
  <c r="A676" i="2"/>
  <c r="H312" i="2"/>
  <c r="G312" i="2"/>
  <c r="D312" i="2"/>
  <c r="C312" i="2"/>
  <c r="B312" i="2"/>
  <c r="A312" i="2"/>
  <c r="H1719" i="2"/>
  <c r="G1719" i="2"/>
  <c r="D1719" i="2"/>
  <c r="C1719" i="2"/>
  <c r="B1719" i="2"/>
  <c r="A1719" i="2"/>
  <c r="H1449" i="2"/>
  <c r="G1449" i="2"/>
  <c r="D1449" i="2"/>
  <c r="C1449" i="2"/>
  <c r="B1449" i="2"/>
  <c r="A1449" i="2"/>
  <c r="H563" i="2"/>
  <c r="G563" i="2"/>
  <c r="D563" i="2"/>
  <c r="C563" i="2"/>
  <c r="B563" i="2"/>
  <c r="A563" i="2"/>
  <c r="H1414" i="2"/>
  <c r="G1414" i="2"/>
  <c r="D1414" i="2"/>
  <c r="C1414" i="2"/>
  <c r="B1414" i="2"/>
  <c r="A1414" i="2"/>
  <c r="H10" i="2"/>
  <c r="G10" i="2"/>
  <c r="D10" i="2"/>
  <c r="C10" i="2"/>
  <c r="B10" i="2"/>
  <c r="A10" i="2"/>
  <c r="H272" i="2"/>
  <c r="G272" i="2"/>
  <c r="D272" i="2"/>
  <c r="C272" i="2"/>
  <c r="B272" i="2"/>
  <c r="A272" i="2"/>
  <c r="H1567" i="2"/>
  <c r="G1567" i="2"/>
  <c r="D1567" i="2"/>
  <c r="C1567" i="2"/>
  <c r="B1567" i="2"/>
  <c r="A1567" i="2"/>
  <c r="H323" i="2"/>
  <c r="G323" i="2"/>
  <c r="D323" i="2"/>
  <c r="C323" i="2"/>
  <c r="B323" i="2"/>
  <c r="A323" i="2"/>
  <c r="H701" i="2"/>
  <c r="G701" i="2"/>
  <c r="D701" i="2"/>
  <c r="C701" i="2"/>
  <c r="B701" i="2"/>
  <c r="A701" i="2"/>
  <c r="H844" i="2"/>
  <c r="G844" i="2"/>
  <c r="D844" i="2"/>
  <c r="C844" i="2"/>
  <c r="B844" i="2"/>
  <c r="A844" i="2"/>
  <c r="H1793" i="2"/>
  <c r="G1793" i="2"/>
  <c r="D1793" i="2"/>
  <c r="C1793" i="2"/>
  <c r="B1793" i="2"/>
  <c r="A1793" i="2"/>
  <c r="H1468" i="2"/>
  <c r="G1468" i="2"/>
  <c r="D1468" i="2"/>
  <c r="C1468" i="2"/>
  <c r="B1468" i="2"/>
  <c r="A1468" i="2"/>
  <c r="H524" i="2"/>
  <c r="G524" i="2"/>
  <c r="D524" i="2"/>
  <c r="C524" i="2"/>
  <c r="B524" i="2"/>
  <c r="A524" i="2"/>
  <c r="H1418" i="2"/>
  <c r="G1418" i="2"/>
  <c r="D1418" i="2"/>
  <c r="C1418" i="2"/>
  <c r="B1418" i="2"/>
  <c r="A1418" i="2"/>
  <c r="H699" i="2"/>
  <c r="G699" i="2"/>
  <c r="D699" i="2"/>
  <c r="C699" i="2"/>
  <c r="B699" i="2"/>
  <c r="A699" i="2"/>
  <c r="H1461" i="2"/>
  <c r="G1461" i="2"/>
  <c r="D1461" i="2"/>
  <c r="C1461" i="2"/>
  <c r="B1461" i="2"/>
  <c r="A1461" i="2"/>
  <c r="H1727" i="2"/>
  <c r="G1727" i="2"/>
  <c r="D1727" i="2"/>
  <c r="C1727" i="2"/>
  <c r="B1727" i="2"/>
  <c r="A1727" i="2"/>
  <c r="H594" i="2"/>
  <c r="G594" i="2"/>
  <c r="D594" i="2"/>
  <c r="C594" i="2"/>
  <c r="B594" i="2"/>
  <c r="A594" i="2"/>
  <c r="H1467" i="2"/>
  <c r="G1467" i="2"/>
  <c r="D1467" i="2"/>
  <c r="C1467" i="2"/>
  <c r="B1467" i="2"/>
  <c r="A1467" i="2"/>
  <c r="H1413" i="2"/>
  <c r="G1413" i="2"/>
  <c r="D1413" i="2"/>
  <c r="C1413" i="2"/>
  <c r="B1413" i="2"/>
  <c r="A1413" i="2"/>
  <c r="H1755" i="2"/>
  <c r="G1755" i="2"/>
  <c r="D1755" i="2"/>
  <c r="C1755" i="2"/>
  <c r="B1755" i="2"/>
  <c r="A1755" i="2"/>
  <c r="H1397" i="2"/>
  <c r="G1397" i="2"/>
  <c r="D1397" i="2"/>
  <c r="C1397" i="2"/>
  <c r="B1397" i="2"/>
  <c r="A1397" i="2"/>
  <c r="H1563" i="2"/>
  <c r="G1563" i="2"/>
  <c r="D1563" i="2"/>
  <c r="C1563" i="2"/>
  <c r="B1563" i="2"/>
  <c r="A1563" i="2"/>
  <c r="H1726" i="2"/>
  <c r="G1726" i="2"/>
  <c r="D1726" i="2"/>
  <c r="C1726" i="2"/>
  <c r="B1726" i="2"/>
  <c r="A1726" i="2"/>
  <c r="H1521" i="2"/>
  <c r="G1521" i="2"/>
  <c r="D1521" i="2"/>
  <c r="C1521" i="2"/>
  <c r="B1521" i="2"/>
  <c r="A1521" i="2"/>
  <c r="H415" i="2"/>
  <c r="G415" i="2"/>
  <c r="D415" i="2"/>
  <c r="C415" i="2"/>
  <c r="B415" i="2"/>
  <c r="A415" i="2"/>
  <c r="H1524" i="2"/>
  <c r="G1524" i="2"/>
  <c r="D1524" i="2"/>
  <c r="C1524" i="2"/>
  <c r="B1524" i="2"/>
  <c r="A1524" i="2"/>
  <c r="H1814" i="2"/>
  <c r="G1814" i="2"/>
  <c r="D1814" i="2"/>
  <c r="C1814" i="2"/>
  <c r="B1814" i="2"/>
  <c r="A1814" i="2"/>
  <c r="H1674" i="2"/>
  <c r="G1674" i="2"/>
  <c r="D1674" i="2"/>
  <c r="C1674" i="2"/>
  <c r="B1674" i="2"/>
  <c r="A1674" i="2"/>
  <c r="H7" i="2"/>
  <c r="G7" i="2"/>
  <c r="D7" i="2"/>
  <c r="C7" i="2"/>
  <c r="B7" i="2"/>
  <c r="A7" i="2"/>
  <c r="H1557" i="2"/>
  <c r="G1557" i="2"/>
  <c r="D1557" i="2"/>
  <c r="C1557" i="2"/>
  <c r="B1557" i="2"/>
  <c r="A1557" i="2"/>
  <c r="H702" i="2"/>
  <c r="G702" i="2"/>
  <c r="D702" i="2"/>
  <c r="C702" i="2"/>
  <c r="B702" i="2"/>
  <c r="A702" i="2"/>
  <c r="H291" i="2"/>
  <c r="G291" i="2"/>
  <c r="D291" i="2"/>
  <c r="C291" i="2"/>
  <c r="B291" i="2"/>
  <c r="A291" i="2"/>
  <c r="H1792" i="2"/>
  <c r="G1792" i="2"/>
  <c r="D1792" i="2"/>
  <c r="C1792" i="2"/>
  <c r="B1792" i="2"/>
  <c r="A1792" i="2"/>
  <c r="H1525" i="2"/>
  <c r="G1525" i="2"/>
  <c r="D1525" i="2"/>
  <c r="C1525" i="2"/>
  <c r="B1525" i="2"/>
  <c r="A1525" i="2"/>
  <c r="H843" i="2"/>
  <c r="G843" i="2"/>
  <c r="D843" i="2"/>
  <c r="C843" i="2"/>
  <c r="B843" i="2"/>
  <c r="A843" i="2"/>
  <c r="H593" i="2"/>
  <c r="G593" i="2"/>
  <c r="D593" i="2"/>
  <c r="C593" i="2"/>
  <c r="B593" i="2"/>
  <c r="A593" i="2"/>
  <c r="H1448" i="2"/>
  <c r="G1448" i="2"/>
  <c r="D1448" i="2"/>
  <c r="C1448" i="2"/>
  <c r="B1448" i="2"/>
  <c r="A1448" i="2"/>
  <c r="H1745" i="2"/>
  <c r="G1745" i="2"/>
  <c r="D1745" i="2"/>
  <c r="C1745" i="2"/>
  <c r="B1745" i="2"/>
  <c r="A1745" i="2"/>
  <c r="H592" i="2"/>
  <c r="G592" i="2"/>
  <c r="D592" i="2"/>
  <c r="C592" i="2"/>
  <c r="B592" i="2"/>
  <c r="A592" i="2"/>
  <c r="H1802" i="2"/>
  <c r="G1802" i="2"/>
  <c r="D1802" i="2"/>
  <c r="C1802" i="2"/>
  <c r="B1802" i="2"/>
  <c r="A1802" i="2"/>
  <c r="H1775" i="2"/>
  <c r="G1775" i="2"/>
  <c r="D1775" i="2"/>
  <c r="C1775" i="2"/>
  <c r="B1775" i="2"/>
  <c r="A1775" i="2"/>
  <c r="H1800" i="2"/>
  <c r="G1800" i="2"/>
  <c r="D1800" i="2"/>
  <c r="C1800" i="2"/>
  <c r="B1800" i="2"/>
  <c r="A1800" i="2"/>
  <c r="H1566" i="2"/>
  <c r="G1566" i="2"/>
  <c r="D1566" i="2"/>
  <c r="C1566" i="2"/>
  <c r="B1566" i="2"/>
  <c r="A1566" i="2"/>
  <c r="H1861" i="2"/>
  <c r="G1861" i="2"/>
  <c r="D1861" i="2"/>
  <c r="C1861" i="2"/>
  <c r="B1861" i="2"/>
  <c r="A1861" i="2"/>
  <c r="H1791" i="2"/>
  <c r="G1791" i="2"/>
  <c r="D1791" i="2"/>
  <c r="C1791" i="2"/>
  <c r="B1791" i="2"/>
  <c r="A1791" i="2"/>
  <c r="H1568" i="2"/>
  <c r="G1568" i="2"/>
  <c r="D1568" i="2"/>
  <c r="C1568" i="2"/>
  <c r="B1568" i="2"/>
  <c r="A1568" i="2"/>
  <c r="H700" i="2"/>
  <c r="G700" i="2"/>
  <c r="D700" i="2"/>
  <c r="C700" i="2"/>
  <c r="B700" i="2"/>
  <c r="A700" i="2"/>
  <c r="H1442" i="2"/>
  <c r="G1442" i="2"/>
  <c r="D1442" i="2"/>
  <c r="C1442" i="2"/>
  <c r="B1442" i="2"/>
  <c r="A1442" i="2"/>
  <c r="H591" i="2"/>
  <c r="G591" i="2"/>
  <c r="D591" i="2"/>
  <c r="C591" i="2"/>
  <c r="B591" i="2"/>
  <c r="A591" i="2"/>
  <c r="H1718" i="2"/>
  <c r="G1718" i="2"/>
  <c r="D1718" i="2"/>
  <c r="C1718" i="2"/>
  <c r="B1718" i="2"/>
  <c r="A1718" i="2"/>
  <c r="H266" i="2"/>
  <c r="G266" i="2"/>
  <c r="D266" i="2"/>
  <c r="C266" i="2"/>
  <c r="B266" i="2"/>
  <c r="A266" i="2"/>
  <c r="H311" i="2"/>
  <c r="G311" i="2"/>
  <c r="D311" i="2"/>
  <c r="C311" i="2"/>
  <c r="B311" i="2"/>
  <c r="A311" i="2"/>
  <c r="H9" i="2"/>
  <c r="G9" i="2"/>
  <c r="D9" i="2"/>
  <c r="C9" i="2"/>
  <c r="B9" i="2"/>
  <c r="A9" i="2"/>
  <c r="H259" i="2"/>
  <c r="G259" i="2"/>
  <c r="D259" i="2"/>
  <c r="C259" i="2"/>
  <c r="B259" i="2"/>
  <c r="A259" i="2"/>
  <c r="H846" i="2"/>
  <c r="G846" i="2"/>
  <c r="D846" i="2"/>
  <c r="C846" i="2"/>
  <c r="B846" i="2"/>
  <c r="A846" i="2"/>
  <c r="H327" i="2"/>
  <c r="G327" i="2"/>
  <c r="D327" i="2"/>
  <c r="C327" i="2"/>
  <c r="B327" i="2"/>
  <c r="A327" i="2"/>
  <c r="H590" i="2"/>
  <c r="G590" i="2"/>
  <c r="D590" i="2"/>
  <c r="C590" i="2"/>
  <c r="B590" i="2"/>
  <c r="A590" i="2"/>
  <c r="H1520" i="2"/>
  <c r="G1520" i="2"/>
  <c r="D1520" i="2"/>
  <c r="C1520" i="2"/>
  <c r="B1520" i="2"/>
  <c r="A1520" i="2"/>
  <c r="H1519" i="2"/>
  <c r="G1519" i="2"/>
  <c r="D1519" i="2"/>
  <c r="C1519" i="2"/>
  <c r="B1519" i="2"/>
  <c r="A1519" i="2"/>
  <c r="H1752" i="2"/>
  <c r="G1752" i="2"/>
  <c r="D1752" i="2"/>
  <c r="C1752" i="2"/>
  <c r="B1752" i="2"/>
  <c r="A1752" i="2"/>
  <c r="H3" i="2"/>
  <c r="G3" i="2"/>
  <c r="D3" i="2"/>
  <c r="C3" i="2"/>
  <c r="B3" i="2"/>
  <c r="A3" i="2"/>
  <c r="H1537" i="2"/>
  <c r="G1537" i="2"/>
  <c r="D1537" i="2"/>
  <c r="C1537" i="2"/>
  <c r="B1537" i="2"/>
  <c r="A1537" i="2"/>
  <c r="H414" i="2"/>
  <c r="G414" i="2"/>
  <c r="D414" i="2"/>
  <c r="C414" i="2"/>
  <c r="B414" i="2"/>
  <c r="A414" i="2"/>
  <c r="H1790" i="2"/>
  <c r="G1790" i="2"/>
  <c r="D1790" i="2"/>
  <c r="C1790" i="2"/>
  <c r="B1790" i="2"/>
  <c r="A1790" i="2"/>
  <c r="H1412" i="2"/>
  <c r="G1412" i="2"/>
  <c r="D1412" i="2"/>
  <c r="C1412" i="2"/>
  <c r="B1412" i="2"/>
  <c r="A1412" i="2"/>
  <c r="H1671" i="2"/>
  <c r="G1671" i="2"/>
  <c r="D1671" i="2"/>
  <c r="C1671" i="2"/>
  <c r="B1671" i="2"/>
  <c r="A1671" i="2"/>
  <c r="H1670" i="2"/>
  <c r="G1670" i="2"/>
  <c r="D1670" i="2"/>
  <c r="C1670" i="2"/>
  <c r="B1670" i="2"/>
  <c r="A1670" i="2"/>
  <c r="H1574" i="2"/>
  <c r="G1574" i="2"/>
  <c r="D1574" i="2"/>
  <c r="C1574" i="2"/>
  <c r="B1574" i="2"/>
  <c r="A1574" i="2"/>
  <c r="H589" i="2"/>
  <c r="G589" i="2"/>
  <c r="D589" i="2"/>
  <c r="C589" i="2"/>
  <c r="B589" i="2"/>
  <c r="A589" i="2"/>
  <c r="H570" i="2"/>
  <c r="G570" i="2"/>
  <c r="D570" i="2"/>
  <c r="C570" i="2"/>
  <c r="B570" i="2"/>
  <c r="A570" i="2"/>
  <c r="H1675" i="2"/>
  <c r="G1675" i="2"/>
  <c r="D1675" i="2"/>
  <c r="C1675" i="2"/>
  <c r="B1675" i="2"/>
  <c r="A1675" i="2"/>
  <c r="H1725" i="2"/>
  <c r="G1725" i="2"/>
  <c r="D1725" i="2"/>
  <c r="C1725" i="2"/>
  <c r="B1725" i="2"/>
  <c r="A1725" i="2"/>
  <c r="H1565" i="2"/>
  <c r="G1565" i="2"/>
  <c r="D1565" i="2"/>
  <c r="C1565" i="2"/>
  <c r="B1565" i="2"/>
  <c r="A1565" i="2"/>
  <c r="H1716" i="2"/>
  <c r="G1716" i="2"/>
  <c r="D1716" i="2"/>
  <c r="C1716" i="2"/>
  <c r="B1716" i="2"/>
  <c r="A1716" i="2"/>
  <c r="H588" i="2"/>
  <c r="G588" i="2"/>
  <c r="D588" i="2"/>
  <c r="C588" i="2"/>
  <c r="B588" i="2"/>
  <c r="A588" i="2"/>
  <c r="H1479" i="2"/>
  <c r="G1479" i="2"/>
  <c r="D1479" i="2"/>
  <c r="C1479" i="2"/>
  <c r="B1479" i="2"/>
  <c r="A1479" i="2"/>
  <c r="H1401" i="2"/>
  <c r="G1401" i="2"/>
  <c r="D1401" i="2"/>
  <c r="C1401" i="2"/>
  <c r="B1401" i="2"/>
  <c r="A1401" i="2"/>
  <c r="H1669" i="2"/>
  <c r="G1669" i="2"/>
  <c r="D1669" i="2"/>
  <c r="C1669" i="2"/>
  <c r="B1669" i="2"/>
  <c r="A1669" i="2"/>
  <c r="H1754" i="2"/>
  <c r="G1754" i="2"/>
  <c r="D1754" i="2"/>
  <c r="C1754" i="2"/>
  <c r="B1754" i="2"/>
  <c r="A1754" i="2"/>
  <c r="H564" i="2"/>
  <c r="G564" i="2"/>
  <c r="D564" i="2"/>
  <c r="C564" i="2"/>
  <c r="B564" i="2"/>
  <c r="A564" i="2"/>
  <c r="H1851" i="2"/>
  <c r="G1851" i="2"/>
  <c r="D1851" i="2"/>
  <c r="C1851" i="2"/>
  <c r="B1851" i="2"/>
  <c r="A1851" i="2"/>
  <c r="H309" i="2"/>
  <c r="G309" i="2"/>
  <c r="D309" i="2"/>
  <c r="C309" i="2"/>
  <c r="B309" i="2"/>
  <c r="A309" i="2"/>
  <c r="H12" i="2"/>
  <c r="G12" i="2"/>
  <c r="D12" i="2"/>
  <c r="C12" i="2"/>
  <c r="B12" i="2"/>
  <c r="A12" i="2"/>
  <c r="H271" i="2"/>
  <c r="G271" i="2"/>
  <c r="D271" i="2"/>
  <c r="C271" i="2"/>
  <c r="B271" i="2"/>
  <c r="A271" i="2"/>
  <c r="H1774" i="2"/>
  <c r="G1774" i="2"/>
  <c r="D1774" i="2"/>
  <c r="C1774" i="2"/>
  <c r="B1774" i="2"/>
  <c r="A1774" i="2"/>
  <c r="H1475" i="2"/>
  <c r="G1475" i="2"/>
  <c r="D1475" i="2"/>
  <c r="C1475" i="2"/>
  <c r="B1475" i="2"/>
  <c r="A1475" i="2"/>
  <c r="H587" i="2"/>
  <c r="G587" i="2"/>
  <c r="D587" i="2"/>
  <c r="C587" i="2"/>
  <c r="B587" i="2"/>
  <c r="A587" i="2"/>
  <c r="H514" i="2"/>
  <c r="G514" i="2"/>
  <c r="D514" i="2"/>
  <c r="C514" i="2"/>
  <c r="B514" i="2"/>
  <c r="A514" i="2"/>
  <c r="H1715" i="2"/>
  <c r="G1715" i="2"/>
  <c r="D1715" i="2"/>
  <c r="C1715" i="2"/>
  <c r="B1715" i="2"/>
  <c r="A1715" i="2"/>
  <c r="H842" i="2"/>
  <c r="G842" i="2"/>
  <c r="D842" i="2"/>
  <c r="C842" i="2"/>
  <c r="B842" i="2"/>
  <c r="A842" i="2"/>
  <c r="H67" i="2"/>
  <c r="G67" i="2"/>
  <c r="D67" i="2"/>
  <c r="C67" i="2"/>
  <c r="B67" i="2"/>
  <c r="A67" i="2"/>
  <c r="H1665" i="2"/>
  <c r="G1665" i="2"/>
  <c r="D1665" i="2"/>
  <c r="C1665" i="2"/>
  <c r="B1665" i="2"/>
  <c r="A1665" i="2"/>
  <c r="H523" i="2"/>
  <c r="G523" i="2"/>
  <c r="D523" i="2"/>
  <c r="C523" i="2"/>
  <c r="B523" i="2"/>
  <c r="A523" i="2"/>
  <c r="H1556" i="2"/>
  <c r="G1556" i="2"/>
  <c r="D1556" i="2"/>
  <c r="C1556" i="2"/>
  <c r="B1556" i="2"/>
  <c r="A1556" i="2"/>
  <c r="H1581" i="2"/>
  <c r="G1581" i="2"/>
  <c r="D1581" i="2"/>
  <c r="C1581" i="2"/>
  <c r="B1581" i="2"/>
  <c r="A1581" i="2"/>
  <c r="H1801" i="2"/>
  <c r="G1801" i="2"/>
  <c r="D1801" i="2"/>
  <c r="C1801" i="2"/>
  <c r="B1801" i="2"/>
  <c r="A1801" i="2"/>
  <c r="H1466" i="2"/>
  <c r="G1466" i="2"/>
  <c r="D1466" i="2"/>
  <c r="C1466" i="2"/>
  <c r="B1466" i="2"/>
  <c r="A1466" i="2"/>
  <c r="H321" i="2"/>
  <c r="G321" i="2"/>
  <c r="D321" i="2"/>
  <c r="C321" i="2"/>
  <c r="B321" i="2"/>
  <c r="A321" i="2"/>
  <c r="H1579" i="2"/>
  <c r="G1579" i="2"/>
  <c r="D1579" i="2"/>
  <c r="C1579" i="2"/>
  <c r="B1579" i="2"/>
  <c r="A1579" i="2"/>
  <c r="H1555" i="2"/>
  <c r="G1555" i="2"/>
  <c r="D1555" i="2"/>
  <c r="C1555" i="2"/>
  <c r="B1555" i="2"/>
  <c r="A1555" i="2"/>
  <c r="H841" i="2"/>
  <c r="G841" i="2"/>
  <c r="D841" i="2"/>
  <c r="C841" i="2"/>
  <c r="B841" i="2"/>
  <c r="A841" i="2"/>
  <c r="H1470" i="2"/>
  <c r="G1470" i="2"/>
  <c r="D1470" i="2"/>
  <c r="C1470" i="2"/>
  <c r="B1470" i="2"/>
  <c r="A1470" i="2"/>
  <c r="H1411" i="2"/>
  <c r="G1411" i="2"/>
  <c r="D1411" i="2"/>
  <c r="C1411" i="2"/>
  <c r="B1411" i="2"/>
  <c r="A1411" i="2"/>
  <c r="H1478" i="2"/>
  <c r="G1478" i="2"/>
  <c r="D1478" i="2"/>
  <c r="C1478" i="2"/>
  <c r="B1478" i="2"/>
  <c r="A1478" i="2"/>
  <c r="H1437" i="2"/>
  <c r="G1437" i="2"/>
  <c r="D1437" i="2"/>
  <c r="C1437" i="2"/>
  <c r="B1437" i="2"/>
  <c r="A1437" i="2"/>
  <c r="H1789" i="2"/>
  <c r="G1789" i="2"/>
  <c r="D1789" i="2"/>
  <c r="C1789" i="2"/>
  <c r="B1789" i="2"/>
  <c r="A1789" i="2"/>
  <c r="H565" i="2"/>
  <c r="G565" i="2"/>
  <c r="D565" i="2"/>
  <c r="C565" i="2"/>
  <c r="B565" i="2"/>
  <c r="A565" i="2"/>
  <c r="H1724" i="2"/>
  <c r="G1724" i="2"/>
  <c r="D1724" i="2"/>
  <c r="C1724" i="2"/>
  <c r="B1724" i="2"/>
  <c r="A1724" i="2"/>
  <c r="H11" i="2"/>
  <c r="G11" i="2"/>
  <c r="D11" i="2"/>
  <c r="C11" i="2"/>
  <c r="B11" i="2"/>
  <c r="A11" i="2"/>
  <c r="H586" i="2"/>
  <c r="G586" i="2"/>
  <c r="D586" i="2"/>
  <c r="C586" i="2"/>
  <c r="B586" i="2"/>
  <c r="A586" i="2"/>
  <c r="H1462" i="2"/>
  <c r="G1462" i="2"/>
  <c r="D1462" i="2"/>
  <c r="C1462" i="2"/>
  <c r="B1462" i="2"/>
  <c r="A1462" i="2"/>
  <c r="H322" i="2"/>
  <c r="G322" i="2"/>
  <c r="D322" i="2"/>
  <c r="C322" i="2"/>
  <c r="B322" i="2"/>
  <c r="A322" i="2"/>
  <c r="H1402" i="2"/>
  <c r="G1402" i="2"/>
  <c r="D1402" i="2"/>
  <c r="C1402" i="2"/>
  <c r="B1402" i="2"/>
  <c r="A1402" i="2"/>
  <c r="H1788" i="2"/>
  <c r="G1788" i="2"/>
  <c r="D1788" i="2"/>
  <c r="C1788" i="2"/>
  <c r="B1788" i="2"/>
  <c r="A1788" i="2"/>
  <c r="H1465" i="2"/>
  <c r="G1465" i="2"/>
  <c r="D1465" i="2"/>
  <c r="C1465" i="2"/>
  <c r="B1465" i="2"/>
  <c r="A1465" i="2"/>
  <c r="H269" i="2"/>
  <c r="G269" i="2"/>
  <c r="D269" i="2"/>
  <c r="C269" i="2"/>
  <c r="B269" i="2"/>
  <c r="A269" i="2"/>
  <c r="H562" i="2"/>
  <c r="G562" i="2"/>
  <c r="D562" i="2"/>
  <c r="C562" i="2"/>
  <c r="B562" i="2"/>
  <c r="A562" i="2"/>
  <c r="H1812" i="2"/>
  <c r="G1812" i="2"/>
  <c r="D1812" i="2"/>
  <c r="C1812" i="2"/>
  <c r="B1812" i="2"/>
  <c r="A1812" i="2"/>
  <c r="H585" i="2"/>
  <c r="G585" i="2"/>
  <c r="D585" i="2"/>
  <c r="C585" i="2"/>
  <c r="B585" i="2"/>
  <c r="A585" i="2"/>
  <c r="H6" i="2"/>
  <c r="G6" i="2"/>
  <c r="D6" i="2"/>
  <c r="C6" i="2"/>
  <c r="B6" i="2"/>
  <c r="A6" i="2"/>
  <c r="H840" i="2"/>
  <c r="G840" i="2"/>
  <c r="D840" i="2"/>
  <c r="C840" i="2"/>
  <c r="B840" i="2"/>
  <c r="A840" i="2"/>
  <c r="H1753" i="2"/>
  <c r="G1753" i="2"/>
  <c r="D1753" i="2"/>
  <c r="C1753" i="2"/>
  <c r="B1753" i="2"/>
  <c r="A1753" i="2"/>
  <c r="H1573" i="2"/>
  <c r="G1573" i="2"/>
  <c r="D1573" i="2"/>
  <c r="C1573" i="2"/>
  <c r="B1573" i="2"/>
  <c r="A1573" i="2"/>
  <c r="H1664" i="2"/>
  <c r="G1664" i="2"/>
  <c r="D1664" i="2"/>
  <c r="C1664" i="2"/>
  <c r="B1664" i="2"/>
  <c r="A1664" i="2"/>
  <c r="H584" i="2"/>
  <c r="G584" i="2"/>
  <c r="D584" i="2"/>
  <c r="C584" i="2"/>
  <c r="B584" i="2"/>
  <c r="A584" i="2"/>
  <c r="H5" i="2"/>
  <c r="G5" i="2"/>
  <c r="D5" i="2"/>
  <c r="C5" i="2"/>
  <c r="B5" i="2"/>
  <c r="A5" i="2"/>
  <c r="H1554" i="2"/>
  <c r="G1554" i="2"/>
  <c r="D1554" i="2"/>
  <c r="C1554" i="2"/>
  <c r="B1554" i="2"/>
  <c r="A1554" i="2"/>
  <c r="H583" i="2"/>
  <c r="G583" i="2"/>
  <c r="D583" i="2"/>
  <c r="C583" i="2"/>
  <c r="B583" i="2"/>
  <c r="A583" i="2"/>
  <c r="H582" i="2"/>
  <c r="G582" i="2"/>
  <c r="D582" i="2"/>
  <c r="C582" i="2"/>
  <c r="B582" i="2"/>
  <c r="A582" i="2"/>
  <c r="H513" i="2"/>
  <c r="G513" i="2"/>
  <c r="D513" i="2"/>
  <c r="C513" i="2"/>
  <c r="B513" i="2"/>
  <c r="A513" i="2"/>
  <c r="H1860" i="2"/>
  <c r="G1860" i="2"/>
  <c r="D1860" i="2"/>
  <c r="C1860" i="2"/>
  <c r="B1860" i="2"/>
  <c r="A1860" i="2"/>
  <c r="H1571" i="2"/>
  <c r="G1571" i="2"/>
  <c r="D1571" i="2"/>
  <c r="C1571" i="2"/>
  <c r="B1571" i="2"/>
  <c r="A1571" i="2"/>
  <c r="H1751" i="2"/>
  <c r="G1751" i="2"/>
  <c r="D1751" i="2"/>
  <c r="C1751" i="2"/>
  <c r="B1751" i="2"/>
  <c r="A1751" i="2"/>
  <c r="H270" i="2"/>
  <c r="G270" i="2"/>
  <c r="D270" i="2"/>
  <c r="C270" i="2"/>
  <c r="B270" i="2"/>
  <c r="A270" i="2"/>
  <c r="H1662" i="2"/>
  <c r="G1662" i="2"/>
  <c r="D1662" i="2"/>
  <c r="C1662" i="2"/>
  <c r="B1662" i="2"/>
  <c r="A1662" i="2"/>
  <c r="H1518" i="2"/>
  <c r="G1518" i="2"/>
  <c r="D1518" i="2"/>
  <c r="C1518" i="2"/>
  <c r="B1518" i="2"/>
  <c r="A1518" i="2"/>
  <c r="H413" i="2"/>
  <c r="G413" i="2"/>
  <c r="D413" i="2"/>
  <c r="C413" i="2"/>
  <c r="B413" i="2"/>
  <c r="A413" i="2"/>
  <c r="H581" i="2"/>
  <c r="G581" i="2"/>
  <c r="D581" i="2"/>
  <c r="C581" i="2"/>
  <c r="B581" i="2"/>
  <c r="A581" i="2"/>
  <c r="H20" i="2"/>
  <c r="G20" i="2"/>
  <c r="D20" i="2"/>
  <c r="C20" i="2"/>
  <c r="B20" i="2"/>
  <c r="A20" i="2"/>
  <c r="H1403" i="2"/>
  <c r="G1403" i="2"/>
  <c r="D1403" i="2"/>
  <c r="C1403" i="2"/>
  <c r="B1403" i="2"/>
  <c r="A1403" i="2"/>
  <c r="H1787" i="2"/>
  <c r="G1787" i="2"/>
  <c r="D1787" i="2"/>
  <c r="C1787" i="2"/>
  <c r="B1787" i="2"/>
  <c r="A1787" i="2"/>
  <c r="H1676" i="2"/>
  <c r="G1676" i="2"/>
  <c r="D1676" i="2"/>
  <c r="C1676" i="2"/>
  <c r="B1676" i="2"/>
  <c r="A1676" i="2"/>
  <c r="H580" i="2"/>
  <c r="G580" i="2"/>
  <c r="D580" i="2"/>
  <c r="C580" i="2"/>
  <c r="B580" i="2"/>
  <c r="A580" i="2"/>
  <c r="H579" i="2"/>
  <c r="G579" i="2"/>
  <c r="D579" i="2"/>
  <c r="C579" i="2"/>
  <c r="B579" i="2"/>
  <c r="A579" i="2"/>
  <c r="H1536" i="2"/>
  <c r="G1536" i="2"/>
  <c r="D1536" i="2"/>
  <c r="C1536" i="2"/>
  <c r="B1536" i="2"/>
  <c r="A1536" i="2"/>
  <c r="H1480" i="2"/>
  <c r="G1480" i="2"/>
  <c r="D1480" i="2"/>
  <c r="C1480" i="2"/>
  <c r="B1480" i="2"/>
  <c r="A1480" i="2"/>
  <c r="H1799" i="2"/>
  <c r="G1799" i="2"/>
  <c r="D1799" i="2"/>
  <c r="C1799" i="2"/>
  <c r="B1799" i="2"/>
  <c r="A1799" i="2"/>
  <c r="H578" i="2"/>
  <c r="G578" i="2"/>
  <c r="D578" i="2"/>
  <c r="C578" i="2"/>
  <c r="B578" i="2"/>
  <c r="A578" i="2"/>
  <c r="H1553" i="2"/>
  <c r="G1553" i="2"/>
  <c r="D1553" i="2"/>
  <c r="C1553" i="2"/>
  <c r="B1553" i="2"/>
  <c r="A1553" i="2"/>
  <c r="H279" i="2"/>
  <c r="G279" i="2"/>
  <c r="D279" i="2"/>
  <c r="C279" i="2"/>
  <c r="B279" i="2"/>
  <c r="A279" i="2"/>
  <c r="H8" i="2"/>
  <c r="G8" i="2"/>
  <c r="D8" i="2"/>
  <c r="C8" i="2"/>
  <c r="B8" i="2"/>
  <c r="A8" i="2"/>
  <c r="H1517" i="2"/>
  <c r="G1517" i="2"/>
  <c r="D1517" i="2"/>
  <c r="C1517" i="2"/>
  <c r="B1517" i="2"/>
  <c r="A1517" i="2"/>
  <c r="H1570" i="2"/>
  <c r="G1570" i="2"/>
  <c r="D1570" i="2"/>
  <c r="C1570" i="2"/>
  <c r="B1570" i="2"/>
  <c r="A1570" i="2"/>
  <c r="H556" i="2"/>
  <c r="G556" i="2"/>
  <c r="D556" i="2"/>
  <c r="C556" i="2"/>
  <c r="B556" i="2"/>
  <c r="A556" i="2"/>
  <c r="H320" i="2"/>
  <c r="G320" i="2"/>
  <c r="D320" i="2"/>
  <c r="C320" i="2"/>
  <c r="B320" i="2"/>
  <c r="A320" i="2"/>
  <c r="H258" i="2"/>
  <c r="G258" i="2"/>
  <c r="D258" i="2"/>
  <c r="C258" i="2"/>
  <c r="B258" i="2"/>
  <c r="A258" i="2"/>
  <c r="H561" i="2"/>
  <c r="G561" i="2"/>
  <c r="D561" i="2"/>
  <c r="C561" i="2"/>
  <c r="B561" i="2"/>
  <c r="A561" i="2"/>
  <c r="H1798" i="2"/>
  <c r="G1798" i="2"/>
  <c r="D1798" i="2"/>
  <c r="C1798" i="2"/>
  <c r="B1798" i="2"/>
  <c r="A1798" i="2"/>
  <c r="H1400" i="2"/>
  <c r="G1400" i="2"/>
  <c r="D1400" i="2"/>
  <c r="C1400" i="2"/>
  <c r="B1400" i="2"/>
  <c r="A1400" i="2"/>
  <c r="H1663" i="2"/>
  <c r="G1663" i="2"/>
  <c r="D1663" i="2"/>
  <c r="C1663" i="2"/>
  <c r="B1663" i="2"/>
  <c r="A1663" i="2"/>
  <c r="H1552" i="2"/>
  <c r="G1552" i="2"/>
  <c r="D1552" i="2"/>
  <c r="C1552" i="2"/>
  <c r="B1552" i="2"/>
  <c r="A1552" i="2"/>
  <c r="H577" i="2"/>
  <c r="G577" i="2"/>
  <c r="D577" i="2"/>
  <c r="C577" i="2"/>
  <c r="B577" i="2"/>
  <c r="A577" i="2"/>
  <c r="H4" i="2"/>
  <c r="G4" i="2"/>
  <c r="D4" i="2"/>
  <c r="C4" i="2"/>
  <c r="B4" i="2"/>
  <c r="A4" i="2"/>
  <c r="H1410" i="2"/>
  <c r="G1410" i="2"/>
  <c r="D1410" i="2"/>
  <c r="C1410" i="2"/>
  <c r="B1410" i="2"/>
  <c r="A1410" i="2"/>
  <c r="H576" i="2"/>
  <c r="G576" i="2"/>
  <c r="D576" i="2"/>
  <c r="C576" i="2"/>
  <c r="B576" i="2"/>
  <c r="A576" i="2"/>
  <c r="H1395" i="2"/>
  <c r="G1395" i="2"/>
  <c r="D1395" i="2"/>
  <c r="C1395" i="2"/>
  <c r="B1395" i="2"/>
  <c r="A1395" i="2"/>
  <c r="H1394" i="2"/>
  <c r="G1394" i="2"/>
  <c r="D1394" i="2"/>
  <c r="C1394" i="2"/>
  <c r="B1394" i="2"/>
  <c r="A1394" i="2"/>
  <c r="H1393" i="2"/>
  <c r="G1393" i="2"/>
  <c r="D1393" i="2"/>
  <c r="C1393" i="2"/>
  <c r="B1393" i="2"/>
  <c r="A1393" i="2"/>
  <c r="H1392" i="2"/>
  <c r="G1392" i="2"/>
  <c r="D1392" i="2"/>
  <c r="C1392" i="2"/>
  <c r="B1392" i="2"/>
  <c r="A1392" i="2"/>
  <c r="H1391" i="2"/>
  <c r="G1391" i="2"/>
  <c r="D1391" i="2"/>
  <c r="C1391" i="2"/>
  <c r="B1391" i="2"/>
  <c r="A1391" i="2"/>
  <c r="H1390" i="2"/>
  <c r="G1390" i="2"/>
  <c r="D1390" i="2"/>
  <c r="C1390" i="2"/>
  <c r="B1390" i="2"/>
  <c r="A1390" i="2"/>
  <c r="H1389" i="2"/>
  <c r="G1389" i="2"/>
  <c r="D1389" i="2"/>
  <c r="C1389" i="2"/>
  <c r="B1389" i="2"/>
  <c r="A1389" i="2"/>
  <c r="H1388" i="2"/>
  <c r="G1388" i="2"/>
  <c r="D1388" i="2"/>
  <c r="C1388" i="2"/>
  <c r="B1388" i="2"/>
  <c r="A1388" i="2"/>
  <c r="H1387" i="2"/>
  <c r="G1387" i="2"/>
  <c r="D1387" i="2"/>
  <c r="C1387" i="2"/>
  <c r="B1387" i="2"/>
  <c r="A1387" i="2"/>
  <c r="H1386" i="2"/>
  <c r="G1386" i="2"/>
  <c r="D1386" i="2"/>
  <c r="C1386" i="2"/>
  <c r="B1386" i="2"/>
  <c r="A1386" i="2"/>
  <c r="H1385" i="2"/>
  <c r="G1385" i="2"/>
  <c r="D1385" i="2"/>
  <c r="C1385" i="2"/>
  <c r="B1385" i="2"/>
  <c r="A1385" i="2"/>
  <c r="H1384" i="2"/>
  <c r="G1384" i="2"/>
  <c r="D1384" i="2"/>
  <c r="C1384" i="2"/>
  <c r="B1384" i="2"/>
  <c r="A1384" i="2"/>
  <c r="H1383" i="2"/>
  <c r="G1383" i="2"/>
  <c r="D1383" i="2"/>
  <c r="C1383" i="2"/>
  <c r="B1383" i="2"/>
  <c r="A1383" i="2"/>
  <c r="H1382" i="2"/>
  <c r="G1382" i="2"/>
  <c r="D1382" i="2"/>
  <c r="C1382" i="2"/>
  <c r="B1382" i="2"/>
  <c r="A1382" i="2"/>
  <c r="H1381" i="2"/>
  <c r="G1381" i="2"/>
  <c r="D1381" i="2"/>
  <c r="C1381" i="2"/>
  <c r="B1381" i="2"/>
  <c r="A1381" i="2"/>
  <c r="H1380" i="2"/>
  <c r="G1380" i="2"/>
  <c r="D1380" i="2"/>
  <c r="C1380" i="2"/>
  <c r="B1380" i="2"/>
  <c r="A1380" i="2"/>
  <c r="H1379" i="2"/>
  <c r="G1379" i="2"/>
  <c r="D1379" i="2"/>
  <c r="C1379" i="2"/>
  <c r="B1379" i="2"/>
  <c r="A1379" i="2"/>
  <c r="H1378" i="2"/>
  <c r="G1378" i="2"/>
  <c r="D1378" i="2"/>
  <c r="C1378" i="2"/>
  <c r="B1378" i="2"/>
  <c r="A1378" i="2"/>
  <c r="H1377" i="2"/>
  <c r="G1377" i="2"/>
  <c r="D1377" i="2"/>
  <c r="C1377" i="2"/>
  <c r="B1377" i="2"/>
  <c r="A1377" i="2"/>
  <c r="H1376" i="2"/>
  <c r="G1376" i="2"/>
  <c r="D1376" i="2"/>
  <c r="C1376" i="2"/>
  <c r="B1376" i="2"/>
  <c r="A1376" i="2"/>
  <c r="H1375" i="2"/>
  <c r="G1375" i="2"/>
  <c r="D1375" i="2"/>
  <c r="C1375" i="2"/>
  <c r="B1375" i="2"/>
  <c r="A1375" i="2"/>
  <c r="H1374" i="2"/>
  <c r="G1374" i="2"/>
  <c r="D1374" i="2"/>
  <c r="C1374" i="2"/>
  <c r="B1374" i="2"/>
  <c r="A1374" i="2"/>
  <c r="H1373" i="2"/>
  <c r="G1373" i="2"/>
  <c r="D1373" i="2"/>
  <c r="C1373" i="2"/>
  <c r="B1373" i="2"/>
  <c r="A1373" i="2"/>
  <c r="H1372" i="2"/>
  <c r="G1372" i="2"/>
  <c r="D1372" i="2"/>
  <c r="C1372" i="2"/>
  <c r="B1372" i="2"/>
  <c r="A1372" i="2"/>
  <c r="H1371" i="2"/>
  <c r="G1371" i="2"/>
  <c r="D1371" i="2"/>
  <c r="C1371" i="2"/>
  <c r="B1371" i="2"/>
  <c r="A1371" i="2"/>
  <c r="H1370" i="2"/>
  <c r="G1370" i="2"/>
  <c r="D1370" i="2"/>
  <c r="C1370" i="2"/>
  <c r="B1370" i="2"/>
  <c r="A1370" i="2"/>
  <c r="H1369" i="2"/>
  <c r="G1369" i="2"/>
  <c r="D1369" i="2"/>
  <c r="C1369" i="2"/>
  <c r="B1369" i="2"/>
  <c r="A1369" i="2"/>
  <c r="H1368" i="2"/>
  <c r="G1368" i="2"/>
  <c r="D1368" i="2"/>
  <c r="C1368" i="2"/>
  <c r="B1368" i="2"/>
  <c r="A1368" i="2"/>
  <c r="H1367" i="2"/>
  <c r="G1367" i="2"/>
  <c r="D1367" i="2"/>
  <c r="C1367" i="2"/>
  <c r="B1367" i="2"/>
  <c r="A1367" i="2"/>
  <c r="H1366" i="2"/>
  <c r="G1366" i="2"/>
  <c r="D1366" i="2"/>
  <c r="C1366" i="2"/>
  <c r="B1366" i="2"/>
  <c r="A1366" i="2"/>
  <c r="H1365" i="2"/>
  <c r="G1365" i="2"/>
  <c r="D1365" i="2"/>
  <c r="C1365" i="2"/>
  <c r="B1365" i="2"/>
  <c r="A1365" i="2"/>
  <c r="H1364" i="2"/>
  <c r="G1364" i="2"/>
  <c r="D1364" i="2"/>
  <c r="C1364" i="2"/>
  <c r="B1364" i="2"/>
  <c r="A1364" i="2"/>
  <c r="H1363" i="2"/>
  <c r="G1363" i="2"/>
  <c r="D1363" i="2"/>
  <c r="C1363" i="2"/>
  <c r="B1363" i="2"/>
  <c r="A1363" i="2"/>
  <c r="H1362" i="2"/>
  <c r="G1362" i="2"/>
  <c r="D1362" i="2"/>
  <c r="C1362" i="2"/>
  <c r="B1362" i="2"/>
  <c r="A1362" i="2"/>
  <c r="H1361" i="2"/>
  <c r="G1361" i="2"/>
  <c r="D1361" i="2"/>
  <c r="C1361" i="2"/>
  <c r="B1361" i="2"/>
  <c r="A1361" i="2"/>
  <c r="H1360" i="2"/>
  <c r="G1360" i="2"/>
  <c r="D1360" i="2"/>
  <c r="C1360" i="2"/>
  <c r="B1360" i="2"/>
  <c r="A1360" i="2"/>
  <c r="H1359" i="2"/>
  <c r="G1359" i="2"/>
  <c r="D1359" i="2"/>
  <c r="C1359" i="2"/>
  <c r="B1359" i="2"/>
  <c r="A1359" i="2"/>
  <c r="H1358" i="2"/>
  <c r="G1358" i="2"/>
  <c r="D1358" i="2"/>
  <c r="C1358" i="2"/>
  <c r="B1358" i="2"/>
  <c r="A1358" i="2"/>
  <c r="H1357" i="2"/>
  <c r="G1357" i="2"/>
  <c r="D1357" i="2"/>
  <c r="C1357" i="2"/>
  <c r="B1357" i="2"/>
  <c r="A1357" i="2"/>
  <c r="H1356" i="2"/>
  <c r="G1356" i="2"/>
  <c r="D1356" i="2"/>
  <c r="C1356" i="2"/>
  <c r="B1356" i="2"/>
  <c r="A1356" i="2"/>
  <c r="H1355" i="2"/>
  <c r="G1355" i="2"/>
  <c r="D1355" i="2"/>
  <c r="C1355" i="2"/>
  <c r="B1355" i="2"/>
  <c r="A1355" i="2"/>
  <c r="H1354" i="2"/>
  <c r="G1354" i="2"/>
  <c r="D1354" i="2"/>
  <c r="C1354" i="2"/>
  <c r="B1354" i="2"/>
  <c r="A1354" i="2"/>
  <c r="H1353" i="2"/>
  <c r="G1353" i="2"/>
  <c r="D1353" i="2"/>
  <c r="C1353" i="2"/>
  <c r="B1353" i="2"/>
  <c r="A1353" i="2"/>
  <c r="H1352" i="2"/>
  <c r="G1352" i="2"/>
  <c r="D1352" i="2"/>
  <c r="C1352" i="2"/>
  <c r="B1352" i="2"/>
  <c r="A1352" i="2"/>
  <c r="H1351" i="2"/>
  <c r="G1351" i="2"/>
  <c r="D1351" i="2"/>
  <c r="C1351" i="2"/>
  <c r="B1351" i="2"/>
  <c r="A1351" i="2"/>
  <c r="H1350" i="2"/>
  <c r="G1350" i="2"/>
  <c r="D1350" i="2"/>
  <c r="C1350" i="2"/>
  <c r="B1350" i="2"/>
  <c r="A1350" i="2"/>
  <c r="H1349" i="2"/>
  <c r="G1349" i="2"/>
  <c r="D1349" i="2"/>
  <c r="C1349" i="2"/>
  <c r="B1349" i="2"/>
  <c r="A1349" i="2"/>
  <c r="H1348" i="2"/>
  <c r="G1348" i="2"/>
  <c r="D1348" i="2"/>
  <c r="C1348" i="2"/>
  <c r="B1348" i="2"/>
  <c r="A1348" i="2"/>
  <c r="H1347" i="2"/>
  <c r="G1347" i="2"/>
  <c r="D1347" i="2"/>
  <c r="C1347" i="2"/>
  <c r="B1347" i="2"/>
  <c r="A1347" i="2"/>
  <c r="H1346" i="2"/>
  <c r="G1346" i="2"/>
  <c r="D1346" i="2"/>
  <c r="C1346" i="2"/>
  <c r="B1346" i="2"/>
  <c r="A1346" i="2"/>
  <c r="H1345" i="2"/>
  <c r="G1345" i="2"/>
  <c r="D1345" i="2"/>
  <c r="C1345" i="2"/>
  <c r="B1345" i="2"/>
  <c r="A1345" i="2"/>
  <c r="H1344" i="2"/>
  <c r="G1344" i="2"/>
  <c r="D1344" i="2"/>
  <c r="C1344" i="2"/>
  <c r="B1344" i="2"/>
  <c r="A1344" i="2"/>
  <c r="H1343" i="2"/>
  <c r="G1343" i="2"/>
  <c r="D1343" i="2"/>
  <c r="C1343" i="2"/>
  <c r="B1343" i="2"/>
  <c r="A1343" i="2"/>
  <c r="H1342" i="2"/>
  <c r="G1342" i="2"/>
  <c r="D1342" i="2"/>
  <c r="C1342" i="2"/>
  <c r="B1342" i="2"/>
  <c r="A1342" i="2"/>
  <c r="H1341" i="2"/>
  <c r="G1341" i="2"/>
  <c r="D1341" i="2"/>
  <c r="C1341" i="2"/>
  <c r="B1341" i="2"/>
  <c r="A1341" i="2"/>
  <c r="H1340" i="2"/>
  <c r="G1340" i="2"/>
  <c r="D1340" i="2"/>
  <c r="C1340" i="2"/>
  <c r="B1340" i="2"/>
  <c r="A1340" i="2"/>
  <c r="H1339" i="2"/>
  <c r="G1339" i="2"/>
  <c r="D1339" i="2"/>
  <c r="C1339" i="2"/>
  <c r="B1339" i="2"/>
  <c r="A1339" i="2"/>
  <c r="H1338" i="2"/>
  <c r="G1338" i="2"/>
  <c r="D1338" i="2"/>
  <c r="C1338" i="2"/>
  <c r="B1338" i="2"/>
  <c r="A1338" i="2"/>
  <c r="H1337" i="2"/>
  <c r="G1337" i="2"/>
  <c r="D1337" i="2"/>
  <c r="C1337" i="2"/>
  <c r="B1337" i="2"/>
  <c r="A1337" i="2"/>
  <c r="H1336" i="2"/>
  <c r="G1336" i="2"/>
  <c r="D1336" i="2"/>
  <c r="C1336" i="2"/>
  <c r="B1336" i="2"/>
  <c r="A1336" i="2"/>
  <c r="H1335" i="2"/>
  <c r="G1335" i="2"/>
  <c r="D1335" i="2"/>
  <c r="C1335" i="2"/>
  <c r="B1335" i="2"/>
  <c r="A1335" i="2"/>
  <c r="H1334" i="2"/>
  <c r="G1334" i="2"/>
  <c r="D1334" i="2"/>
  <c r="C1334" i="2"/>
  <c r="B1334" i="2"/>
  <c r="A1334" i="2"/>
  <c r="H1333" i="2"/>
  <c r="G1333" i="2"/>
  <c r="D1333" i="2"/>
  <c r="C1333" i="2"/>
  <c r="B1333" i="2"/>
  <c r="A1333" i="2"/>
  <c r="H1332" i="2"/>
  <c r="G1332" i="2"/>
  <c r="D1332" i="2"/>
  <c r="C1332" i="2"/>
  <c r="B1332" i="2"/>
  <c r="A1332" i="2"/>
  <c r="H1331" i="2"/>
  <c r="G1331" i="2"/>
  <c r="D1331" i="2"/>
  <c r="C1331" i="2"/>
  <c r="B1331" i="2"/>
  <c r="A1331" i="2"/>
  <c r="H1330" i="2"/>
  <c r="G1330" i="2"/>
  <c r="D1330" i="2"/>
  <c r="C1330" i="2"/>
  <c r="B1330" i="2"/>
  <c r="A1330" i="2"/>
  <c r="H1329" i="2"/>
  <c r="G1329" i="2"/>
  <c r="D1329" i="2"/>
  <c r="C1329" i="2"/>
  <c r="B1329" i="2"/>
  <c r="A1329" i="2"/>
  <c r="H1328" i="2"/>
  <c r="G1328" i="2"/>
  <c r="D1328" i="2"/>
  <c r="C1328" i="2"/>
  <c r="B1328" i="2"/>
  <c r="A1328" i="2"/>
  <c r="H1327" i="2"/>
  <c r="G1327" i="2"/>
  <c r="D1327" i="2"/>
  <c r="C1327" i="2"/>
  <c r="B1327" i="2"/>
  <c r="A1327" i="2"/>
  <c r="H1326" i="2"/>
  <c r="G1326" i="2"/>
  <c r="D1326" i="2"/>
  <c r="C1326" i="2"/>
  <c r="B1326" i="2"/>
  <c r="A1326" i="2"/>
  <c r="H1325" i="2"/>
  <c r="G1325" i="2"/>
  <c r="D1325" i="2"/>
  <c r="C1325" i="2"/>
  <c r="B1325" i="2"/>
  <c r="A1325" i="2"/>
  <c r="H1324" i="2"/>
  <c r="G1324" i="2"/>
  <c r="D1324" i="2"/>
  <c r="C1324" i="2"/>
  <c r="B1324" i="2"/>
  <c r="A1324" i="2"/>
  <c r="H1323" i="2"/>
  <c r="G1323" i="2"/>
  <c r="D1323" i="2"/>
  <c r="C1323" i="2"/>
  <c r="B1323" i="2"/>
  <c r="A1323" i="2"/>
  <c r="H1322" i="2"/>
  <c r="G1322" i="2"/>
  <c r="D1322" i="2"/>
  <c r="C1322" i="2"/>
  <c r="B1322" i="2"/>
  <c r="A1322" i="2"/>
  <c r="H1321" i="2"/>
  <c r="G1321" i="2"/>
  <c r="D1321" i="2"/>
  <c r="C1321" i="2"/>
  <c r="B1321" i="2"/>
  <c r="A1321" i="2"/>
  <c r="H1320" i="2"/>
  <c r="G1320" i="2"/>
  <c r="D1320" i="2"/>
  <c r="C1320" i="2"/>
  <c r="B1320" i="2"/>
  <c r="A1320" i="2"/>
  <c r="H1319" i="2"/>
  <c r="G1319" i="2"/>
  <c r="D1319" i="2"/>
  <c r="C1319" i="2"/>
  <c r="B1319" i="2"/>
  <c r="A1319" i="2"/>
  <c r="H1318" i="2"/>
  <c r="G1318" i="2"/>
  <c r="D1318" i="2"/>
  <c r="C1318" i="2"/>
  <c r="B1318" i="2"/>
  <c r="A1318" i="2"/>
  <c r="H1317" i="2"/>
  <c r="G1317" i="2"/>
  <c r="D1317" i="2"/>
  <c r="C1317" i="2"/>
  <c r="B1317" i="2"/>
  <c r="A1317" i="2"/>
  <c r="H1316" i="2"/>
  <c r="G1316" i="2"/>
  <c r="D1316" i="2"/>
  <c r="C1316" i="2"/>
  <c r="B1316" i="2"/>
  <c r="A1316" i="2"/>
  <c r="H1315" i="2"/>
  <c r="G1315" i="2"/>
  <c r="D1315" i="2"/>
  <c r="C1315" i="2"/>
  <c r="B1315" i="2"/>
  <c r="A1315" i="2"/>
  <c r="H1314" i="2"/>
  <c r="G1314" i="2"/>
  <c r="D1314" i="2"/>
  <c r="C1314" i="2"/>
  <c r="B1314" i="2"/>
  <c r="A1314" i="2"/>
  <c r="H1313" i="2"/>
  <c r="G1313" i="2"/>
  <c r="D1313" i="2"/>
  <c r="C1313" i="2"/>
  <c r="B1313" i="2"/>
  <c r="A1313" i="2"/>
  <c r="H1312" i="2"/>
  <c r="G1312" i="2"/>
  <c r="D1312" i="2"/>
  <c r="C1312" i="2"/>
  <c r="B1312" i="2"/>
  <c r="A1312" i="2"/>
  <c r="H1311" i="2"/>
  <c r="G1311" i="2"/>
  <c r="D1311" i="2"/>
  <c r="C1311" i="2"/>
  <c r="B1311" i="2"/>
  <c r="A1311" i="2"/>
  <c r="H1310" i="2"/>
  <c r="G1310" i="2"/>
  <c r="D1310" i="2"/>
  <c r="C1310" i="2"/>
  <c r="B1310" i="2"/>
  <c r="A1310" i="2"/>
  <c r="H1309" i="2"/>
  <c r="G1309" i="2"/>
  <c r="D1309" i="2"/>
  <c r="C1309" i="2"/>
  <c r="B1309" i="2"/>
  <c r="A1309" i="2"/>
  <c r="H1308" i="2"/>
  <c r="G1308" i="2"/>
  <c r="D1308" i="2"/>
  <c r="C1308" i="2"/>
  <c r="B1308" i="2"/>
  <c r="A1308" i="2"/>
  <c r="H1307" i="2"/>
  <c r="G1307" i="2"/>
  <c r="D1307" i="2"/>
  <c r="C1307" i="2"/>
  <c r="B1307" i="2"/>
  <c r="A1307" i="2"/>
  <c r="H1306" i="2"/>
  <c r="G1306" i="2"/>
  <c r="D1306" i="2"/>
  <c r="C1306" i="2"/>
  <c r="B1306" i="2"/>
  <c r="A1306" i="2"/>
  <c r="H1305" i="2"/>
  <c r="G1305" i="2"/>
  <c r="D1305" i="2"/>
  <c r="C1305" i="2"/>
  <c r="B1305" i="2"/>
  <c r="A1305" i="2"/>
  <c r="H1304" i="2"/>
  <c r="G1304" i="2"/>
  <c r="D1304" i="2"/>
  <c r="C1304" i="2"/>
  <c r="B1304" i="2"/>
  <c r="A1304" i="2"/>
  <c r="H1303" i="2"/>
  <c r="G1303" i="2"/>
  <c r="D1303" i="2"/>
  <c r="C1303" i="2"/>
  <c r="B1303" i="2"/>
  <c r="A1303" i="2"/>
  <c r="H1302" i="2"/>
  <c r="G1302" i="2"/>
  <c r="D1302" i="2"/>
  <c r="C1302" i="2"/>
  <c r="B1302" i="2"/>
  <c r="A1302" i="2"/>
  <c r="H1301" i="2"/>
  <c r="G1301" i="2"/>
  <c r="D1301" i="2"/>
  <c r="C1301" i="2"/>
  <c r="B1301" i="2"/>
  <c r="A1301" i="2"/>
  <c r="H1300" i="2"/>
  <c r="G1300" i="2"/>
  <c r="D1300" i="2"/>
  <c r="C1300" i="2"/>
  <c r="B1300" i="2"/>
  <c r="A1300" i="2"/>
  <c r="H1299" i="2"/>
  <c r="G1299" i="2"/>
  <c r="D1299" i="2"/>
  <c r="C1299" i="2"/>
  <c r="B1299" i="2"/>
  <c r="A1299" i="2"/>
  <c r="H1298" i="2"/>
  <c r="G1298" i="2"/>
  <c r="D1298" i="2"/>
  <c r="C1298" i="2"/>
  <c r="B1298" i="2"/>
  <c r="A1298" i="2"/>
  <c r="H1297" i="2"/>
  <c r="G1297" i="2"/>
  <c r="D1297" i="2"/>
  <c r="C1297" i="2"/>
  <c r="B1297" i="2"/>
  <c r="A1297" i="2"/>
  <c r="H1296" i="2"/>
  <c r="G1296" i="2"/>
  <c r="D1296" i="2"/>
  <c r="C1296" i="2"/>
  <c r="B1296" i="2"/>
  <c r="A1296" i="2"/>
  <c r="H1295" i="2"/>
  <c r="G1295" i="2"/>
  <c r="D1295" i="2"/>
  <c r="C1295" i="2"/>
  <c r="B1295" i="2"/>
  <c r="A1295" i="2"/>
  <c r="H1294" i="2"/>
  <c r="G1294" i="2"/>
  <c r="D1294" i="2"/>
  <c r="C1294" i="2"/>
  <c r="B1294" i="2"/>
  <c r="A1294" i="2"/>
  <c r="H1293" i="2"/>
  <c r="G1293" i="2"/>
  <c r="D1293" i="2"/>
  <c r="C1293" i="2"/>
  <c r="B1293" i="2"/>
  <c r="A1293" i="2"/>
  <c r="H1292" i="2"/>
  <c r="G1292" i="2"/>
  <c r="D1292" i="2"/>
  <c r="C1292" i="2"/>
  <c r="B1292" i="2"/>
  <c r="A1292" i="2"/>
  <c r="H1291" i="2"/>
  <c r="G1291" i="2"/>
  <c r="D1291" i="2"/>
  <c r="C1291" i="2"/>
  <c r="B1291" i="2"/>
  <c r="A1291" i="2"/>
  <c r="H1290" i="2"/>
  <c r="G1290" i="2"/>
  <c r="D1290" i="2"/>
  <c r="C1290" i="2"/>
  <c r="B1290" i="2"/>
  <c r="A1290" i="2"/>
  <c r="H1289" i="2"/>
  <c r="G1289" i="2"/>
  <c r="D1289" i="2"/>
  <c r="C1289" i="2"/>
  <c r="B1289" i="2"/>
  <c r="A1289" i="2"/>
  <c r="H1288" i="2"/>
  <c r="G1288" i="2"/>
  <c r="D1288" i="2"/>
  <c r="C1288" i="2"/>
  <c r="B1288" i="2"/>
  <c r="A1288" i="2"/>
  <c r="H1287" i="2"/>
  <c r="G1287" i="2"/>
  <c r="D1287" i="2"/>
  <c r="C1287" i="2"/>
  <c r="B1287" i="2"/>
  <c r="A1287" i="2"/>
  <c r="H1286" i="2"/>
  <c r="G1286" i="2"/>
  <c r="D1286" i="2"/>
  <c r="C1286" i="2"/>
  <c r="B1286" i="2"/>
  <c r="A1286" i="2"/>
  <c r="H1285" i="2"/>
  <c r="G1285" i="2"/>
  <c r="D1285" i="2"/>
  <c r="C1285" i="2"/>
  <c r="B1285" i="2"/>
  <c r="A1285" i="2"/>
  <c r="H1284" i="2"/>
  <c r="G1284" i="2"/>
  <c r="D1284" i="2"/>
  <c r="C1284" i="2"/>
  <c r="B1284" i="2"/>
  <c r="A1284" i="2"/>
  <c r="H1283" i="2"/>
  <c r="G1283" i="2"/>
  <c r="D1283" i="2"/>
  <c r="C1283" i="2"/>
  <c r="B1283" i="2"/>
  <c r="A1283" i="2"/>
  <c r="H1282" i="2"/>
  <c r="G1282" i="2"/>
  <c r="D1282" i="2"/>
  <c r="C1282" i="2"/>
  <c r="B1282" i="2"/>
  <c r="A1282" i="2"/>
  <c r="H1281" i="2"/>
  <c r="G1281" i="2"/>
  <c r="D1281" i="2"/>
  <c r="C1281" i="2"/>
  <c r="B1281" i="2"/>
  <c r="A1281" i="2"/>
  <c r="H1280" i="2"/>
  <c r="G1280" i="2"/>
  <c r="D1280" i="2"/>
  <c r="C1280" i="2"/>
  <c r="B1280" i="2"/>
  <c r="A1280" i="2"/>
  <c r="H1279" i="2"/>
  <c r="G1279" i="2"/>
  <c r="D1279" i="2"/>
  <c r="C1279" i="2"/>
  <c r="B1279" i="2"/>
  <c r="A1279" i="2"/>
  <c r="H1278" i="2"/>
  <c r="G1278" i="2"/>
  <c r="D1278" i="2"/>
  <c r="C1278" i="2"/>
  <c r="B1278" i="2"/>
  <c r="A1278" i="2"/>
  <c r="H1277" i="2"/>
  <c r="G1277" i="2"/>
  <c r="D1277" i="2"/>
  <c r="C1277" i="2"/>
  <c r="B1277" i="2"/>
  <c r="A1277" i="2"/>
  <c r="H1276" i="2"/>
  <c r="G1276" i="2"/>
  <c r="D1276" i="2"/>
  <c r="C1276" i="2"/>
  <c r="B1276" i="2"/>
  <c r="A1276" i="2"/>
  <c r="H1275" i="2"/>
  <c r="G1275" i="2"/>
  <c r="D1275" i="2"/>
  <c r="C1275" i="2"/>
  <c r="B1275" i="2"/>
  <c r="A1275" i="2"/>
  <c r="H1274" i="2"/>
  <c r="G1274" i="2"/>
  <c r="D1274" i="2"/>
  <c r="C1274" i="2"/>
  <c r="B1274" i="2"/>
  <c r="A1274" i="2"/>
  <c r="H1273" i="2"/>
  <c r="G1273" i="2"/>
  <c r="D1273" i="2"/>
  <c r="C1273" i="2"/>
  <c r="B1273" i="2"/>
  <c r="A1273" i="2"/>
  <c r="H1272" i="2"/>
  <c r="G1272" i="2"/>
  <c r="D1272" i="2"/>
  <c r="C1272" i="2"/>
  <c r="B1272" i="2"/>
  <c r="A1272" i="2"/>
  <c r="H1271" i="2"/>
  <c r="G1271" i="2"/>
  <c r="D1271" i="2"/>
  <c r="C1271" i="2"/>
  <c r="B1271" i="2"/>
  <c r="A1271" i="2"/>
  <c r="H1270" i="2"/>
  <c r="G1270" i="2"/>
  <c r="D1270" i="2"/>
  <c r="C1270" i="2"/>
  <c r="B1270" i="2"/>
  <c r="A1270" i="2"/>
  <c r="H1269" i="2"/>
  <c r="G1269" i="2"/>
  <c r="D1269" i="2"/>
  <c r="C1269" i="2"/>
  <c r="B1269" i="2"/>
  <c r="A1269" i="2"/>
  <c r="H1268" i="2"/>
  <c r="G1268" i="2"/>
  <c r="D1268" i="2"/>
  <c r="C1268" i="2"/>
  <c r="B1268" i="2"/>
  <c r="A1268" i="2"/>
  <c r="H1267" i="2"/>
  <c r="G1267" i="2"/>
  <c r="D1267" i="2"/>
  <c r="C1267" i="2"/>
  <c r="B1267" i="2"/>
  <c r="A1267" i="2"/>
  <c r="H1266" i="2"/>
  <c r="G1266" i="2"/>
  <c r="D1266" i="2"/>
  <c r="C1266" i="2"/>
  <c r="B1266" i="2"/>
  <c r="A1266" i="2"/>
  <c r="H1265" i="2"/>
  <c r="G1265" i="2"/>
  <c r="D1265" i="2"/>
  <c r="C1265" i="2"/>
  <c r="B1265" i="2"/>
  <c r="A1265" i="2"/>
  <c r="H1264" i="2"/>
  <c r="G1264" i="2"/>
  <c r="D1264" i="2"/>
  <c r="C1264" i="2"/>
  <c r="B1264" i="2"/>
  <c r="A1264" i="2"/>
  <c r="H1263" i="2"/>
  <c r="G1263" i="2"/>
  <c r="D1263" i="2"/>
  <c r="C1263" i="2"/>
  <c r="B1263" i="2"/>
  <c r="A1263" i="2"/>
  <c r="H1262" i="2"/>
  <c r="G1262" i="2"/>
  <c r="D1262" i="2"/>
  <c r="C1262" i="2"/>
  <c r="B1262" i="2"/>
  <c r="A1262" i="2"/>
  <c r="H1261" i="2"/>
  <c r="G1261" i="2"/>
  <c r="D1261" i="2"/>
  <c r="C1261" i="2"/>
  <c r="B1261" i="2"/>
  <c r="A1261" i="2"/>
  <c r="H1260" i="2"/>
  <c r="G1260" i="2"/>
  <c r="D1260" i="2"/>
  <c r="C1260" i="2"/>
  <c r="B1260" i="2"/>
  <c r="A1260" i="2"/>
  <c r="H1259" i="2"/>
  <c r="G1259" i="2"/>
  <c r="D1259" i="2"/>
  <c r="C1259" i="2"/>
  <c r="B1259" i="2"/>
  <c r="A1259" i="2"/>
  <c r="H1258" i="2"/>
  <c r="G1258" i="2"/>
  <c r="D1258" i="2"/>
  <c r="C1258" i="2"/>
  <c r="B1258" i="2"/>
  <c r="A1258" i="2"/>
  <c r="H1257" i="2"/>
  <c r="G1257" i="2"/>
  <c r="D1257" i="2"/>
  <c r="C1257" i="2"/>
  <c r="B1257" i="2"/>
  <c r="A1257" i="2"/>
  <c r="H1256" i="2"/>
  <c r="G1256" i="2"/>
  <c r="D1256" i="2"/>
  <c r="C1256" i="2"/>
  <c r="B1256" i="2"/>
  <c r="A1256" i="2"/>
  <c r="H1255" i="2"/>
  <c r="G1255" i="2"/>
  <c r="D1255" i="2"/>
  <c r="C1255" i="2"/>
  <c r="B1255" i="2"/>
  <c r="A1255" i="2"/>
  <c r="H1254" i="2"/>
  <c r="G1254" i="2"/>
  <c r="D1254" i="2"/>
  <c r="C1254" i="2"/>
  <c r="B1254" i="2"/>
  <c r="A1254" i="2"/>
  <c r="H1253" i="2"/>
  <c r="G1253" i="2"/>
  <c r="D1253" i="2"/>
  <c r="C1253" i="2"/>
  <c r="B1253" i="2"/>
  <c r="A1253" i="2"/>
  <c r="H1252" i="2"/>
  <c r="G1252" i="2"/>
  <c r="D1252" i="2"/>
  <c r="C1252" i="2"/>
  <c r="B1252" i="2"/>
  <c r="A1252" i="2"/>
  <c r="H1251" i="2"/>
  <c r="G1251" i="2"/>
  <c r="D1251" i="2"/>
  <c r="C1251" i="2"/>
  <c r="B1251" i="2"/>
  <c r="A1251" i="2"/>
  <c r="H1250" i="2"/>
  <c r="G1250" i="2"/>
  <c r="D1250" i="2"/>
  <c r="C1250" i="2"/>
  <c r="B1250" i="2"/>
  <c r="A1250" i="2"/>
  <c r="H1249" i="2"/>
  <c r="G1249" i="2"/>
  <c r="D1249" i="2"/>
  <c r="C1249" i="2"/>
  <c r="B1249" i="2"/>
  <c r="A1249" i="2"/>
  <c r="H1248" i="2"/>
  <c r="G1248" i="2"/>
  <c r="D1248" i="2"/>
  <c r="C1248" i="2"/>
  <c r="B1248" i="2"/>
  <c r="A1248" i="2"/>
  <c r="H1247" i="2"/>
  <c r="G1247" i="2"/>
  <c r="D1247" i="2"/>
  <c r="C1247" i="2"/>
  <c r="B1247" i="2"/>
  <c r="A1247" i="2"/>
  <c r="H1246" i="2"/>
  <c r="G1246" i="2"/>
  <c r="D1246" i="2"/>
  <c r="C1246" i="2"/>
  <c r="B1246" i="2"/>
  <c r="A1246" i="2"/>
  <c r="H1245" i="2"/>
  <c r="G1245" i="2"/>
  <c r="D1245" i="2"/>
  <c r="C1245" i="2"/>
  <c r="B1245" i="2"/>
  <c r="A1245" i="2"/>
  <c r="H1244" i="2"/>
  <c r="G1244" i="2"/>
  <c r="D1244" i="2"/>
  <c r="C1244" i="2"/>
  <c r="B1244" i="2"/>
  <c r="A1244" i="2"/>
  <c r="H1243" i="2"/>
  <c r="G1243" i="2"/>
  <c r="D1243" i="2"/>
  <c r="C1243" i="2"/>
  <c r="B1243" i="2"/>
  <c r="A1243" i="2"/>
  <c r="H1242" i="2"/>
  <c r="G1242" i="2"/>
  <c r="D1242" i="2"/>
  <c r="C1242" i="2"/>
  <c r="B1242" i="2"/>
  <c r="A1242" i="2"/>
  <c r="H1241" i="2"/>
  <c r="G1241" i="2"/>
  <c r="D1241" i="2"/>
  <c r="C1241" i="2"/>
  <c r="B1241" i="2"/>
  <c r="A1241" i="2"/>
  <c r="H1240" i="2"/>
  <c r="G1240" i="2"/>
  <c r="D1240" i="2"/>
  <c r="C1240" i="2"/>
  <c r="B1240" i="2"/>
  <c r="A1240" i="2"/>
  <c r="H1239" i="2"/>
  <c r="G1239" i="2"/>
  <c r="D1239" i="2"/>
  <c r="C1239" i="2"/>
  <c r="B1239" i="2"/>
  <c r="A1239" i="2"/>
  <c r="H1238" i="2"/>
  <c r="G1238" i="2"/>
  <c r="D1238" i="2"/>
  <c r="C1238" i="2"/>
  <c r="B1238" i="2"/>
  <c r="A1238" i="2"/>
  <c r="H1237" i="2"/>
  <c r="G1237" i="2"/>
  <c r="D1237" i="2"/>
  <c r="C1237" i="2"/>
  <c r="B1237" i="2"/>
  <c r="A1237" i="2"/>
  <c r="H1236" i="2"/>
  <c r="G1236" i="2"/>
  <c r="D1236" i="2"/>
  <c r="C1236" i="2"/>
  <c r="B1236" i="2"/>
  <c r="A1236" i="2"/>
  <c r="H1235" i="2"/>
  <c r="G1235" i="2"/>
  <c r="D1235" i="2"/>
  <c r="C1235" i="2"/>
  <c r="B1235" i="2"/>
  <c r="A1235" i="2"/>
  <c r="H1234" i="2"/>
  <c r="G1234" i="2"/>
  <c r="D1234" i="2"/>
  <c r="C1234" i="2"/>
  <c r="B1234" i="2"/>
  <c r="A1234" i="2"/>
  <c r="H1233" i="2"/>
  <c r="G1233" i="2"/>
  <c r="D1233" i="2"/>
  <c r="C1233" i="2"/>
  <c r="B1233" i="2"/>
  <c r="A1233" i="2"/>
  <c r="H1232" i="2"/>
  <c r="G1232" i="2"/>
  <c r="D1232" i="2"/>
  <c r="C1232" i="2"/>
  <c r="B1232" i="2"/>
  <c r="A1232" i="2"/>
  <c r="H1231" i="2"/>
  <c r="G1231" i="2"/>
  <c r="D1231" i="2"/>
  <c r="C1231" i="2"/>
  <c r="B1231" i="2"/>
  <c r="A1231" i="2"/>
  <c r="H1230" i="2"/>
  <c r="G1230" i="2"/>
  <c r="D1230" i="2"/>
  <c r="C1230" i="2"/>
  <c r="B1230" i="2"/>
  <c r="A1230" i="2"/>
  <c r="H1229" i="2"/>
  <c r="G1229" i="2"/>
  <c r="D1229" i="2"/>
  <c r="C1229" i="2"/>
  <c r="B1229" i="2"/>
  <c r="A1229" i="2"/>
  <c r="H1228" i="2"/>
  <c r="G1228" i="2"/>
  <c r="D1228" i="2"/>
  <c r="C1228" i="2"/>
  <c r="B1228" i="2"/>
  <c r="A1228" i="2"/>
  <c r="H1227" i="2"/>
  <c r="G1227" i="2"/>
  <c r="D1227" i="2"/>
  <c r="C1227" i="2"/>
  <c r="B1227" i="2"/>
  <c r="A1227" i="2"/>
  <c r="H1226" i="2"/>
  <c r="G1226" i="2"/>
  <c r="D1226" i="2"/>
  <c r="C1226" i="2"/>
  <c r="B1226" i="2"/>
  <c r="A1226" i="2"/>
  <c r="H1225" i="2"/>
  <c r="G1225" i="2"/>
  <c r="D1225" i="2"/>
  <c r="C1225" i="2"/>
  <c r="B1225" i="2"/>
  <c r="A1225" i="2"/>
  <c r="H1224" i="2"/>
  <c r="G1224" i="2"/>
  <c r="D1224" i="2"/>
  <c r="C1224" i="2"/>
  <c r="B1224" i="2"/>
  <c r="A1224" i="2"/>
  <c r="H1223" i="2"/>
  <c r="G1223" i="2"/>
  <c r="D1223" i="2"/>
  <c r="C1223" i="2"/>
  <c r="B1223" i="2"/>
  <c r="A1223" i="2"/>
  <c r="H1222" i="2"/>
  <c r="G1222" i="2"/>
  <c r="D1222" i="2"/>
  <c r="C1222" i="2"/>
  <c r="B1222" i="2"/>
  <c r="A1222" i="2"/>
  <c r="H1221" i="2"/>
  <c r="G1221" i="2"/>
  <c r="D1221" i="2"/>
  <c r="C1221" i="2"/>
  <c r="B1221" i="2"/>
  <c r="A1221" i="2"/>
  <c r="H1220" i="2"/>
  <c r="G1220" i="2"/>
  <c r="D1220" i="2"/>
  <c r="C1220" i="2"/>
  <c r="B1220" i="2"/>
  <c r="A1220" i="2"/>
  <c r="H1219" i="2"/>
  <c r="G1219" i="2"/>
  <c r="D1219" i="2"/>
  <c r="C1219" i="2"/>
  <c r="B1219" i="2"/>
  <c r="A1219" i="2"/>
  <c r="H1218" i="2"/>
  <c r="G1218" i="2"/>
  <c r="D1218" i="2"/>
  <c r="C1218" i="2"/>
  <c r="B1218" i="2"/>
  <c r="A1218" i="2"/>
  <c r="H1217" i="2"/>
  <c r="G1217" i="2"/>
  <c r="D1217" i="2"/>
  <c r="C1217" i="2"/>
  <c r="B1217" i="2"/>
  <c r="A1217" i="2"/>
  <c r="H1216" i="2"/>
  <c r="G1216" i="2"/>
  <c r="D1216" i="2"/>
  <c r="C1216" i="2"/>
  <c r="B1216" i="2"/>
  <c r="A1216" i="2"/>
  <c r="H1215" i="2"/>
  <c r="G1215" i="2"/>
  <c r="D1215" i="2"/>
  <c r="C1215" i="2"/>
  <c r="B1215" i="2"/>
  <c r="A1215" i="2"/>
  <c r="H1214" i="2"/>
  <c r="G1214" i="2"/>
  <c r="D1214" i="2"/>
  <c r="C1214" i="2"/>
  <c r="B1214" i="2"/>
  <c r="A1214" i="2"/>
  <c r="H1213" i="2"/>
  <c r="G1213" i="2"/>
  <c r="D1213" i="2"/>
  <c r="C1213" i="2"/>
  <c r="B1213" i="2"/>
  <c r="A1213" i="2"/>
  <c r="H1212" i="2"/>
  <c r="G1212" i="2"/>
  <c r="D1212" i="2"/>
  <c r="C1212" i="2"/>
  <c r="B1212" i="2"/>
  <c r="A1212" i="2"/>
  <c r="H1211" i="2"/>
  <c r="G1211" i="2"/>
  <c r="D1211" i="2"/>
  <c r="C1211" i="2"/>
  <c r="B1211" i="2"/>
  <c r="A1211" i="2"/>
  <c r="H1210" i="2"/>
  <c r="G1210" i="2"/>
  <c r="D1210" i="2"/>
  <c r="C1210" i="2"/>
  <c r="B1210" i="2"/>
  <c r="A1210" i="2"/>
  <c r="H1209" i="2"/>
  <c r="G1209" i="2"/>
  <c r="D1209" i="2"/>
  <c r="C1209" i="2"/>
  <c r="B1209" i="2"/>
  <c r="A1209" i="2"/>
  <c r="H1208" i="2"/>
  <c r="G1208" i="2"/>
  <c r="D1208" i="2"/>
  <c r="C1208" i="2"/>
  <c r="B1208" i="2"/>
  <c r="A1208" i="2"/>
  <c r="H1207" i="2"/>
  <c r="G1207" i="2"/>
  <c r="D1207" i="2"/>
  <c r="C1207" i="2"/>
  <c r="B1207" i="2"/>
  <c r="A1207" i="2"/>
  <c r="H1206" i="2"/>
  <c r="G1206" i="2"/>
  <c r="D1206" i="2"/>
  <c r="C1206" i="2"/>
  <c r="B1206" i="2"/>
  <c r="A1206" i="2"/>
  <c r="H1205" i="2"/>
  <c r="G1205" i="2"/>
  <c r="D1205" i="2"/>
  <c r="C1205" i="2"/>
  <c r="B1205" i="2"/>
  <c r="A1205" i="2"/>
  <c r="H1204" i="2"/>
  <c r="G1204" i="2"/>
  <c r="D1204" i="2"/>
  <c r="C1204" i="2"/>
  <c r="B1204" i="2"/>
  <c r="A1204" i="2"/>
  <c r="H1203" i="2"/>
  <c r="G1203" i="2"/>
  <c r="D1203" i="2"/>
  <c r="C1203" i="2"/>
  <c r="B1203" i="2"/>
  <c r="A1203" i="2"/>
  <c r="H1202" i="2"/>
  <c r="G1202" i="2"/>
  <c r="D1202" i="2"/>
  <c r="C1202" i="2"/>
  <c r="B1202" i="2"/>
  <c r="A1202" i="2"/>
  <c r="H1201" i="2"/>
  <c r="G1201" i="2"/>
  <c r="D1201" i="2"/>
  <c r="C1201" i="2"/>
  <c r="B1201" i="2"/>
  <c r="A1201" i="2"/>
  <c r="H1200" i="2"/>
  <c r="G1200" i="2"/>
  <c r="D1200" i="2"/>
  <c r="C1200" i="2"/>
  <c r="B1200" i="2"/>
  <c r="A1200" i="2"/>
  <c r="H1199" i="2"/>
  <c r="G1199" i="2"/>
  <c r="D1199" i="2"/>
  <c r="C1199" i="2"/>
  <c r="B1199" i="2"/>
  <c r="A1199" i="2"/>
  <c r="H1198" i="2"/>
  <c r="G1198" i="2"/>
  <c r="D1198" i="2"/>
  <c r="C1198" i="2"/>
  <c r="B1198" i="2"/>
  <c r="A1198" i="2"/>
  <c r="H1197" i="2"/>
  <c r="G1197" i="2"/>
  <c r="D1197" i="2"/>
  <c r="C1197" i="2"/>
  <c r="B1197" i="2"/>
  <c r="A1197" i="2"/>
  <c r="H1196" i="2"/>
  <c r="G1196" i="2"/>
  <c r="D1196" i="2"/>
  <c r="C1196" i="2"/>
  <c r="B1196" i="2"/>
  <c r="A1196" i="2"/>
  <c r="H1195" i="2"/>
  <c r="G1195" i="2"/>
  <c r="D1195" i="2"/>
  <c r="C1195" i="2"/>
  <c r="B1195" i="2"/>
  <c r="A1195" i="2"/>
  <c r="H1194" i="2"/>
  <c r="G1194" i="2"/>
  <c r="D1194" i="2"/>
  <c r="C1194" i="2"/>
  <c r="B1194" i="2"/>
  <c r="A1194" i="2"/>
  <c r="H1193" i="2"/>
  <c r="G1193" i="2"/>
  <c r="D1193" i="2"/>
  <c r="C1193" i="2"/>
  <c r="B1193" i="2"/>
  <c r="A1193" i="2"/>
  <c r="H1192" i="2"/>
  <c r="G1192" i="2"/>
  <c r="D1192" i="2"/>
  <c r="C1192" i="2"/>
  <c r="B1192" i="2"/>
  <c r="A1192" i="2"/>
  <c r="H1191" i="2"/>
  <c r="G1191" i="2"/>
  <c r="D1191" i="2"/>
  <c r="C1191" i="2"/>
  <c r="B1191" i="2"/>
  <c r="A1191" i="2"/>
  <c r="H1190" i="2"/>
  <c r="G1190" i="2"/>
  <c r="D1190" i="2"/>
  <c r="C1190" i="2"/>
  <c r="B1190" i="2"/>
  <c r="A1190" i="2"/>
  <c r="H1189" i="2"/>
  <c r="G1189" i="2"/>
  <c r="D1189" i="2"/>
  <c r="C1189" i="2"/>
  <c r="B1189" i="2"/>
  <c r="A1189" i="2"/>
  <c r="H1188" i="2"/>
  <c r="G1188" i="2"/>
  <c r="D1188" i="2"/>
  <c r="C1188" i="2"/>
  <c r="B1188" i="2"/>
  <c r="A1188" i="2"/>
  <c r="H1187" i="2"/>
  <c r="G1187" i="2"/>
  <c r="D1187" i="2"/>
  <c r="C1187" i="2"/>
  <c r="B1187" i="2"/>
  <c r="A1187" i="2"/>
  <c r="H1186" i="2"/>
  <c r="G1186" i="2"/>
  <c r="D1186" i="2"/>
  <c r="C1186" i="2"/>
  <c r="B1186" i="2"/>
  <c r="A1186" i="2"/>
  <c r="H1185" i="2"/>
  <c r="G1185" i="2"/>
  <c r="D1185" i="2"/>
  <c r="C1185" i="2"/>
  <c r="B1185" i="2"/>
  <c r="A1185" i="2"/>
  <c r="H1184" i="2"/>
  <c r="G1184" i="2"/>
  <c r="D1184" i="2"/>
  <c r="C1184" i="2"/>
  <c r="B1184" i="2"/>
  <c r="A1184" i="2"/>
  <c r="H1183" i="2"/>
  <c r="G1183" i="2"/>
  <c r="D1183" i="2"/>
  <c r="C1183" i="2"/>
  <c r="B1183" i="2"/>
  <c r="A1183" i="2"/>
  <c r="H1182" i="2"/>
  <c r="G1182" i="2"/>
  <c r="D1182" i="2"/>
  <c r="C1182" i="2"/>
  <c r="B1182" i="2"/>
  <c r="A1182" i="2"/>
  <c r="H1181" i="2"/>
  <c r="G1181" i="2"/>
  <c r="D1181" i="2"/>
  <c r="C1181" i="2"/>
  <c r="B1181" i="2"/>
  <c r="A1181" i="2"/>
  <c r="H1180" i="2"/>
  <c r="G1180" i="2"/>
  <c r="D1180" i="2"/>
  <c r="C1180" i="2"/>
  <c r="B1180" i="2"/>
  <c r="A1180" i="2"/>
  <c r="H1179" i="2"/>
  <c r="G1179" i="2"/>
  <c r="D1179" i="2"/>
  <c r="C1179" i="2"/>
  <c r="B1179" i="2"/>
  <c r="A1179" i="2"/>
  <c r="H1178" i="2"/>
  <c r="G1178" i="2"/>
  <c r="D1178" i="2"/>
  <c r="C1178" i="2"/>
  <c r="B1178" i="2"/>
  <c r="A1178" i="2"/>
  <c r="H1177" i="2"/>
  <c r="G1177" i="2"/>
  <c r="D1177" i="2"/>
  <c r="C1177" i="2"/>
  <c r="B1177" i="2"/>
  <c r="A1177" i="2"/>
  <c r="H1176" i="2"/>
  <c r="G1176" i="2"/>
  <c r="D1176" i="2"/>
  <c r="C1176" i="2"/>
  <c r="B1176" i="2"/>
  <c r="A1176" i="2"/>
  <c r="H1175" i="2"/>
  <c r="G1175" i="2"/>
  <c r="D1175" i="2"/>
  <c r="C1175" i="2"/>
  <c r="B1175" i="2"/>
  <c r="A1175" i="2"/>
  <c r="H1174" i="2"/>
  <c r="G1174" i="2"/>
  <c r="D1174" i="2"/>
  <c r="C1174" i="2"/>
  <c r="B1174" i="2"/>
  <c r="A1174" i="2"/>
  <c r="H1173" i="2"/>
  <c r="G1173" i="2"/>
  <c r="D1173" i="2"/>
  <c r="C1173" i="2"/>
  <c r="B1173" i="2"/>
  <c r="A1173" i="2"/>
  <c r="H1172" i="2"/>
  <c r="G1172" i="2"/>
  <c r="D1172" i="2"/>
  <c r="C1172" i="2"/>
  <c r="B1172" i="2"/>
  <c r="A1172" i="2"/>
  <c r="H1171" i="2"/>
  <c r="G1171" i="2"/>
  <c r="D1171" i="2"/>
  <c r="C1171" i="2"/>
  <c r="B1171" i="2"/>
  <c r="A1171" i="2"/>
  <c r="H1170" i="2"/>
  <c r="G1170" i="2"/>
  <c r="D1170" i="2"/>
  <c r="C1170" i="2"/>
  <c r="B1170" i="2"/>
  <c r="A1170" i="2"/>
  <c r="H1169" i="2"/>
  <c r="G1169" i="2"/>
  <c r="D1169" i="2"/>
  <c r="C1169" i="2"/>
  <c r="B1169" i="2"/>
  <c r="A1169" i="2"/>
  <c r="H1168" i="2"/>
  <c r="G1168" i="2"/>
  <c r="D1168" i="2"/>
  <c r="C1168" i="2"/>
  <c r="B1168" i="2"/>
  <c r="A1168" i="2"/>
  <c r="H1167" i="2"/>
  <c r="G1167" i="2"/>
  <c r="D1167" i="2"/>
  <c r="C1167" i="2"/>
  <c r="B1167" i="2"/>
  <c r="A1167" i="2"/>
  <c r="H1166" i="2"/>
  <c r="G1166" i="2"/>
  <c r="D1166" i="2"/>
  <c r="C1166" i="2"/>
  <c r="B1166" i="2"/>
  <c r="A1166" i="2"/>
  <c r="H1165" i="2"/>
  <c r="G1165" i="2"/>
  <c r="D1165" i="2"/>
  <c r="C1165" i="2"/>
  <c r="B1165" i="2"/>
  <c r="A1165" i="2"/>
  <c r="H1164" i="2"/>
  <c r="G1164" i="2"/>
  <c r="D1164" i="2"/>
  <c r="C1164" i="2"/>
  <c r="B1164" i="2"/>
  <c r="A1164" i="2"/>
  <c r="H1163" i="2"/>
  <c r="G1163" i="2"/>
  <c r="D1163" i="2"/>
  <c r="C1163" i="2"/>
  <c r="B1163" i="2"/>
  <c r="A1163" i="2"/>
  <c r="H1162" i="2"/>
  <c r="G1162" i="2"/>
  <c r="D1162" i="2"/>
  <c r="C1162" i="2"/>
  <c r="B1162" i="2"/>
  <c r="A1162" i="2"/>
  <c r="H1161" i="2"/>
  <c r="G1161" i="2"/>
  <c r="D1161" i="2"/>
  <c r="C1161" i="2"/>
  <c r="B1161" i="2"/>
  <c r="A1161" i="2"/>
  <c r="H1160" i="2"/>
  <c r="G1160" i="2"/>
  <c r="D1160" i="2"/>
  <c r="C1160" i="2"/>
  <c r="B1160" i="2"/>
  <c r="A1160" i="2"/>
  <c r="H1159" i="2"/>
  <c r="G1159" i="2"/>
  <c r="D1159" i="2"/>
  <c r="C1159" i="2"/>
  <c r="B1159" i="2"/>
  <c r="A1159" i="2"/>
  <c r="H1158" i="2"/>
  <c r="G1158" i="2"/>
  <c r="D1158" i="2"/>
  <c r="C1158" i="2"/>
  <c r="B1158" i="2"/>
  <c r="A1158" i="2"/>
  <c r="H1157" i="2"/>
  <c r="G1157" i="2"/>
  <c r="D1157" i="2"/>
  <c r="C1157" i="2"/>
  <c r="B1157" i="2"/>
  <c r="A1157" i="2"/>
  <c r="H1156" i="2"/>
  <c r="G1156" i="2"/>
  <c r="D1156" i="2"/>
  <c r="C1156" i="2"/>
  <c r="B1156" i="2"/>
  <c r="A1156" i="2"/>
  <c r="H1155" i="2"/>
  <c r="G1155" i="2"/>
  <c r="D1155" i="2"/>
  <c r="C1155" i="2"/>
  <c r="B1155" i="2"/>
  <c r="A1155" i="2"/>
  <c r="H1154" i="2"/>
  <c r="G1154" i="2"/>
  <c r="D1154" i="2"/>
  <c r="C1154" i="2"/>
  <c r="B1154" i="2"/>
  <c r="A1154" i="2"/>
  <c r="H1153" i="2"/>
  <c r="G1153" i="2"/>
  <c r="D1153" i="2"/>
  <c r="C1153" i="2"/>
  <c r="B1153" i="2"/>
  <c r="A1153" i="2"/>
  <c r="H1152" i="2"/>
  <c r="G1152" i="2"/>
  <c r="D1152" i="2"/>
  <c r="C1152" i="2"/>
  <c r="B1152" i="2"/>
  <c r="A1152" i="2"/>
  <c r="H1151" i="2"/>
  <c r="G1151" i="2"/>
  <c r="D1151" i="2"/>
  <c r="C1151" i="2"/>
  <c r="B1151" i="2"/>
  <c r="A1151" i="2"/>
  <c r="H1150" i="2"/>
  <c r="G1150" i="2"/>
  <c r="D1150" i="2"/>
  <c r="C1150" i="2"/>
  <c r="B1150" i="2"/>
  <c r="A1150" i="2"/>
  <c r="H1149" i="2"/>
  <c r="G1149" i="2"/>
  <c r="D1149" i="2"/>
  <c r="C1149" i="2"/>
  <c r="B1149" i="2"/>
  <c r="A1149" i="2"/>
  <c r="H1148" i="2"/>
  <c r="G1148" i="2"/>
  <c r="D1148" i="2"/>
  <c r="C1148" i="2"/>
  <c r="B1148" i="2"/>
  <c r="A1148" i="2"/>
  <c r="H1147" i="2"/>
  <c r="G1147" i="2"/>
  <c r="D1147" i="2"/>
  <c r="C1147" i="2"/>
  <c r="B1147" i="2"/>
  <c r="A1147" i="2"/>
  <c r="H1146" i="2"/>
  <c r="G1146" i="2"/>
  <c r="D1146" i="2"/>
  <c r="C1146" i="2"/>
  <c r="B1146" i="2"/>
  <c r="A1146" i="2"/>
  <c r="H1145" i="2"/>
  <c r="G1145" i="2"/>
  <c r="D1145" i="2"/>
  <c r="C1145" i="2"/>
  <c r="B1145" i="2"/>
  <c r="A1145" i="2"/>
  <c r="H1144" i="2"/>
  <c r="G1144" i="2"/>
  <c r="D1144" i="2"/>
  <c r="C1144" i="2"/>
  <c r="B1144" i="2"/>
  <c r="A1144" i="2"/>
  <c r="H1143" i="2"/>
  <c r="G1143" i="2"/>
  <c r="D1143" i="2"/>
  <c r="C1143" i="2"/>
  <c r="B1143" i="2"/>
  <c r="A1143" i="2"/>
  <c r="H1142" i="2"/>
  <c r="G1142" i="2"/>
  <c r="D1142" i="2"/>
  <c r="C1142" i="2"/>
  <c r="B1142" i="2"/>
  <c r="A1142" i="2"/>
  <c r="H1141" i="2"/>
  <c r="G1141" i="2"/>
  <c r="D1141" i="2"/>
  <c r="C1141" i="2"/>
  <c r="B1141" i="2"/>
  <c r="A1141" i="2"/>
  <c r="H1140" i="2"/>
  <c r="G1140" i="2"/>
  <c r="D1140" i="2"/>
  <c r="C1140" i="2"/>
  <c r="B1140" i="2"/>
  <c r="A1140" i="2"/>
  <c r="H1139" i="2"/>
  <c r="G1139" i="2"/>
  <c r="D1139" i="2"/>
  <c r="C1139" i="2"/>
  <c r="B1139" i="2"/>
  <c r="A1139" i="2"/>
  <c r="H1138" i="2"/>
  <c r="G1138" i="2"/>
  <c r="D1138" i="2"/>
  <c r="C1138" i="2"/>
  <c r="B1138" i="2"/>
  <c r="A1138" i="2"/>
  <c r="H1137" i="2"/>
  <c r="G1137" i="2"/>
  <c r="D1137" i="2"/>
  <c r="C1137" i="2"/>
  <c r="B1137" i="2"/>
  <c r="A1137" i="2"/>
  <c r="H1136" i="2"/>
  <c r="G1136" i="2"/>
  <c r="D1136" i="2"/>
  <c r="C1136" i="2"/>
  <c r="B1136" i="2"/>
  <c r="A1136" i="2"/>
  <c r="H1135" i="2"/>
  <c r="G1135" i="2"/>
  <c r="D1135" i="2"/>
  <c r="C1135" i="2"/>
  <c r="B1135" i="2"/>
  <c r="A1135" i="2"/>
  <c r="H1134" i="2"/>
  <c r="G1134" i="2"/>
  <c r="D1134" i="2"/>
  <c r="C1134" i="2"/>
  <c r="B1134" i="2"/>
  <c r="A1134" i="2"/>
  <c r="H1133" i="2"/>
  <c r="G1133" i="2"/>
  <c r="D1133" i="2"/>
  <c r="C1133" i="2"/>
  <c r="B1133" i="2"/>
  <c r="A1133" i="2"/>
  <c r="H1132" i="2"/>
  <c r="G1132" i="2"/>
  <c r="D1132" i="2"/>
  <c r="C1132" i="2"/>
  <c r="B1132" i="2"/>
  <c r="A1132" i="2"/>
  <c r="H1131" i="2"/>
  <c r="G1131" i="2"/>
  <c r="D1131" i="2"/>
  <c r="C1131" i="2"/>
  <c r="B1131" i="2"/>
  <c r="A1131" i="2"/>
  <c r="H1130" i="2"/>
  <c r="G1130" i="2"/>
  <c r="D1130" i="2"/>
  <c r="C1130" i="2"/>
  <c r="B1130" i="2"/>
  <c r="A1130" i="2"/>
  <c r="H1129" i="2"/>
  <c r="G1129" i="2"/>
  <c r="D1129" i="2"/>
  <c r="C1129" i="2"/>
  <c r="B1129" i="2"/>
  <c r="A1129" i="2"/>
  <c r="H1128" i="2"/>
  <c r="G1128" i="2"/>
  <c r="D1128" i="2"/>
  <c r="C1128" i="2"/>
  <c r="B1128" i="2"/>
  <c r="A1128" i="2"/>
  <c r="H1127" i="2"/>
  <c r="G1127" i="2"/>
  <c r="D1127" i="2"/>
  <c r="C1127" i="2"/>
  <c r="B1127" i="2"/>
  <c r="A1127" i="2"/>
  <c r="H1126" i="2"/>
  <c r="G1126" i="2"/>
  <c r="D1126" i="2"/>
  <c r="C1126" i="2"/>
  <c r="B1126" i="2"/>
  <c r="A1126" i="2"/>
  <c r="H1125" i="2"/>
  <c r="G1125" i="2"/>
  <c r="D1125" i="2"/>
  <c r="C1125" i="2"/>
  <c r="B1125" i="2"/>
  <c r="A1125" i="2"/>
  <c r="H1124" i="2"/>
  <c r="G1124" i="2"/>
  <c r="D1124" i="2"/>
  <c r="C1124" i="2"/>
  <c r="B1124" i="2"/>
  <c r="A1124" i="2"/>
  <c r="H1123" i="2"/>
  <c r="G1123" i="2"/>
  <c r="D1123" i="2"/>
  <c r="C1123" i="2"/>
  <c r="B1123" i="2"/>
  <c r="A1123" i="2"/>
  <c r="H1122" i="2"/>
  <c r="G1122" i="2"/>
  <c r="D1122" i="2"/>
  <c r="C1122" i="2"/>
  <c r="B1122" i="2"/>
  <c r="A1122" i="2"/>
  <c r="H1121" i="2"/>
  <c r="G1121" i="2"/>
  <c r="D1121" i="2"/>
  <c r="C1121" i="2"/>
  <c r="B1121" i="2"/>
  <c r="A1121" i="2"/>
  <c r="H1120" i="2"/>
  <c r="G1120" i="2"/>
  <c r="D1120" i="2"/>
  <c r="C1120" i="2"/>
  <c r="B1120" i="2"/>
  <c r="A1120" i="2"/>
  <c r="H1119" i="2"/>
  <c r="G1119" i="2"/>
  <c r="D1119" i="2"/>
  <c r="C1119" i="2"/>
  <c r="B1119" i="2"/>
  <c r="A1119" i="2"/>
  <c r="H1118" i="2"/>
  <c r="G1118" i="2"/>
  <c r="D1118" i="2"/>
  <c r="C1118" i="2"/>
  <c r="B1118" i="2"/>
  <c r="A1118" i="2"/>
  <c r="H1117" i="2"/>
  <c r="G1117" i="2"/>
  <c r="D1117" i="2"/>
  <c r="C1117" i="2"/>
  <c r="B1117" i="2"/>
  <c r="A1117" i="2"/>
  <c r="H1116" i="2"/>
  <c r="G1116" i="2"/>
  <c r="D1116" i="2"/>
  <c r="C1116" i="2"/>
  <c r="B1116" i="2"/>
  <c r="A1116" i="2"/>
  <c r="H1115" i="2"/>
  <c r="G1115" i="2"/>
  <c r="D1115" i="2"/>
  <c r="C1115" i="2"/>
  <c r="B1115" i="2"/>
  <c r="A1115" i="2"/>
  <c r="H1114" i="2"/>
  <c r="G1114" i="2"/>
  <c r="D1114" i="2"/>
  <c r="C1114" i="2"/>
  <c r="B1114" i="2"/>
  <c r="A1114" i="2"/>
  <c r="H1113" i="2"/>
  <c r="G1113" i="2"/>
  <c r="D1113" i="2"/>
  <c r="C1113" i="2"/>
  <c r="B1113" i="2"/>
  <c r="A1113" i="2"/>
  <c r="H1112" i="2"/>
  <c r="G1112" i="2"/>
  <c r="D1112" i="2"/>
  <c r="C1112" i="2"/>
  <c r="B1112" i="2"/>
  <c r="A1112" i="2"/>
  <c r="H1111" i="2"/>
  <c r="G1111" i="2"/>
  <c r="D1111" i="2"/>
  <c r="C1111" i="2"/>
  <c r="B1111" i="2"/>
  <c r="A1111" i="2"/>
  <c r="H1110" i="2"/>
  <c r="G1110" i="2"/>
  <c r="D1110" i="2"/>
  <c r="C1110" i="2"/>
  <c r="B1110" i="2"/>
  <c r="A1110" i="2"/>
  <c r="H1109" i="2"/>
  <c r="G1109" i="2"/>
  <c r="D1109" i="2"/>
  <c r="C1109" i="2"/>
  <c r="B1109" i="2"/>
  <c r="A1109" i="2"/>
  <c r="H1108" i="2"/>
  <c r="G1108" i="2"/>
  <c r="D1108" i="2"/>
  <c r="C1108" i="2"/>
  <c r="B1108" i="2"/>
  <c r="A1108" i="2"/>
  <c r="H1107" i="2"/>
  <c r="G1107" i="2"/>
  <c r="D1107" i="2"/>
  <c r="C1107" i="2"/>
  <c r="B1107" i="2"/>
  <c r="A1107" i="2"/>
  <c r="H1106" i="2"/>
  <c r="G1106" i="2"/>
  <c r="D1106" i="2"/>
  <c r="C1106" i="2"/>
  <c r="B1106" i="2"/>
  <c r="A1106" i="2"/>
  <c r="H1105" i="2"/>
  <c r="G1105" i="2"/>
  <c r="D1105" i="2"/>
  <c r="C1105" i="2"/>
  <c r="B1105" i="2"/>
  <c r="A1105" i="2"/>
  <c r="H1104" i="2"/>
  <c r="G1104" i="2"/>
  <c r="D1104" i="2"/>
  <c r="C1104" i="2"/>
  <c r="B1104" i="2"/>
  <c r="A1104" i="2"/>
  <c r="H1103" i="2"/>
  <c r="G1103" i="2"/>
  <c r="D1103" i="2"/>
  <c r="C1103" i="2"/>
  <c r="B1103" i="2"/>
  <c r="A1103" i="2"/>
  <c r="H1102" i="2"/>
  <c r="G1102" i="2"/>
  <c r="D1102" i="2"/>
  <c r="C1102" i="2"/>
  <c r="B1102" i="2"/>
  <c r="A1102" i="2"/>
  <c r="H1101" i="2"/>
  <c r="G1101" i="2"/>
  <c r="D1101" i="2"/>
  <c r="C1101" i="2"/>
  <c r="B1101" i="2"/>
  <c r="A1101" i="2"/>
  <c r="H1100" i="2"/>
  <c r="G1100" i="2"/>
  <c r="D1100" i="2"/>
  <c r="C1100" i="2"/>
  <c r="B1100" i="2"/>
  <c r="A1100" i="2"/>
  <c r="H1099" i="2"/>
  <c r="G1099" i="2"/>
  <c r="D1099" i="2"/>
  <c r="C1099" i="2"/>
  <c r="B1099" i="2"/>
  <c r="A1099" i="2"/>
  <c r="H1098" i="2"/>
  <c r="G1098" i="2"/>
  <c r="D1098" i="2"/>
  <c r="C1098" i="2"/>
  <c r="B1098" i="2"/>
  <c r="A1098" i="2"/>
  <c r="H1097" i="2"/>
  <c r="G1097" i="2"/>
  <c r="D1097" i="2"/>
  <c r="C1097" i="2"/>
  <c r="B1097" i="2"/>
  <c r="A1097" i="2"/>
  <c r="H1096" i="2"/>
  <c r="G1096" i="2"/>
  <c r="D1096" i="2"/>
  <c r="C1096" i="2"/>
  <c r="B1096" i="2"/>
  <c r="A1096" i="2"/>
  <c r="H1095" i="2"/>
  <c r="G1095" i="2"/>
  <c r="D1095" i="2"/>
  <c r="C1095" i="2"/>
  <c r="B1095" i="2"/>
  <c r="A1095" i="2"/>
  <c r="H1094" i="2"/>
  <c r="G1094" i="2"/>
  <c r="D1094" i="2"/>
  <c r="C1094" i="2"/>
  <c r="B1094" i="2"/>
  <c r="A1094" i="2"/>
  <c r="H1093" i="2"/>
  <c r="G1093" i="2"/>
  <c r="D1093" i="2"/>
  <c r="C1093" i="2"/>
  <c r="B1093" i="2"/>
  <c r="A1093" i="2"/>
  <c r="H1092" i="2"/>
  <c r="G1092" i="2"/>
  <c r="D1092" i="2"/>
  <c r="C1092" i="2"/>
  <c r="B1092" i="2"/>
  <c r="A1092" i="2"/>
  <c r="H1091" i="2"/>
  <c r="G1091" i="2"/>
  <c r="D1091" i="2"/>
  <c r="C1091" i="2"/>
  <c r="B1091" i="2"/>
  <c r="A1091" i="2"/>
  <c r="H1090" i="2"/>
  <c r="G1090" i="2"/>
  <c r="D1090" i="2"/>
  <c r="C1090" i="2"/>
  <c r="B1090" i="2"/>
  <c r="A1090" i="2"/>
  <c r="H1089" i="2"/>
  <c r="G1089" i="2"/>
  <c r="D1089" i="2"/>
  <c r="C1089" i="2"/>
  <c r="B1089" i="2"/>
  <c r="A1089" i="2"/>
  <c r="H1088" i="2"/>
  <c r="G1088" i="2"/>
  <c r="D1088" i="2"/>
  <c r="C1088" i="2"/>
  <c r="B1088" i="2"/>
  <c r="A1088" i="2"/>
  <c r="H1087" i="2"/>
  <c r="G1087" i="2"/>
  <c r="D1087" i="2"/>
  <c r="C1087" i="2"/>
  <c r="B1087" i="2"/>
  <c r="A1087" i="2"/>
  <c r="H1086" i="2"/>
  <c r="G1086" i="2"/>
  <c r="D1086" i="2"/>
  <c r="C1086" i="2"/>
  <c r="B1086" i="2"/>
  <c r="A1086" i="2"/>
  <c r="H1085" i="2"/>
  <c r="G1085" i="2"/>
  <c r="D1085" i="2"/>
  <c r="C1085" i="2"/>
  <c r="B1085" i="2"/>
  <c r="A1085" i="2"/>
  <c r="H1084" i="2"/>
  <c r="G1084" i="2"/>
  <c r="D1084" i="2"/>
  <c r="C1084" i="2"/>
  <c r="B1084" i="2"/>
  <c r="A1084" i="2"/>
  <c r="H1083" i="2"/>
  <c r="G1083" i="2"/>
  <c r="D1083" i="2"/>
  <c r="C1083" i="2"/>
  <c r="B1083" i="2"/>
  <c r="A1083" i="2"/>
  <c r="H1082" i="2"/>
  <c r="G1082" i="2"/>
  <c r="D1082" i="2"/>
  <c r="C1082" i="2"/>
  <c r="B1082" i="2"/>
  <c r="A1082" i="2"/>
  <c r="H1081" i="2"/>
  <c r="G1081" i="2"/>
  <c r="D1081" i="2"/>
  <c r="C1081" i="2"/>
  <c r="B1081" i="2"/>
  <c r="A1081" i="2"/>
  <c r="H1080" i="2"/>
  <c r="G1080" i="2"/>
  <c r="D1080" i="2"/>
  <c r="C1080" i="2"/>
  <c r="B1080" i="2"/>
  <c r="A1080" i="2"/>
  <c r="H1079" i="2"/>
  <c r="G1079" i="2"/>
  <c r="D1079" i="2"/>
  <c r="C1079" i="2"/>
  <c r="B1079" i="2"/>
  <c r="A1079" i="2"/>
  <c r="H1078" i="2"/>
  <c r="G1078" i="2"/>
  <c r="D1078" i="2"/>
  <c r="C1078" i="2"/>
  <c r="B1078" i="2"/>
  <c r="A1078" i="2"/>
  <c r="H1077" i="2"/>
  <c r="G1077" i="2"/>
  <c r="D1077" i="2"/>
  <c r="C1077" i="2"/>
  <c r="B1077" i="2"/>
  <c r="A1077" i="2"/>
  <c r="H1076" i="2"/>
  <c r="G1076" i="2"/>
  <c r="D1076" i="2"/>
  <c r="C1076" i="2"/>
  <c r="B1076" i="2"/>
  <c r="A1076" i="2"/>
  <c r="H1075" i="2"/>
  <c r="G1075" i="2"/>
  <c r="D1075" i="2"/>
  <c r="C1075" i="2"/>
  <c r="B1075" i="2"/>
  <c r="A1075" i="2"/>
  <c r="H1074" i="2"/>
  <c r="G1074" i="2"/>
  <c r="D1074" i="2"/>
  <c r="C1074" i="2"/>
  <c r="B1074" i="2"/>
  <c r="A1074" i="2"/>
  <c r="H1073" i="2"/>
  <c r="G1073" i="2"/>
  <c r="D1073" i="2"/>
  <c r="C1073" i="2"/>
  <c r="B1073" i="2"/>
  <c r="A1073" i="2"/>
  <c r="H1072" i="2"/>
  <c r="G1072" i="2"/>
  <c r="D1072" i="2"/>
  <c r="C1072" i="2"/>
  <c r="B1072" i="2"/>
  <c r="A1072" i="2"/>
  <c r="H1071" i="2"/>
  <c r="G1071" i="2"/>
  <c r="D1071" i="2"/>
  <c r="C1071" i="2"/>
  <c r="B1071" i="2"/>
  <c r="A1071" i="2"/>
  <c r="H1070" i="2"/>
  <c r="G1070" i="2"/>
  <c r="D1070" i="2"/>
  <c r="C1070" i="2"/>
  <c r="B1070" i="2"/>
  <c r="A1070" i="2"/>
  <c r="H1069" i="2"/>
  <c r="G1069" i="2"/>
  <c r="D1069" i="2"/>
  <c r="C1069" i="2"/>
  <c r="B1069" i="2"/>
  <c r="A1069" i="2"/>
  <c r="H1068" i="2"/>
  <c r="G1068" i="2"/>
  <c r="D1068" i="2"/>
  <c r="C1068" i="2"/>
  <c r="B1068" i="2"/>
  <c r="A1068" i="2"/>
  <c r="H1067" i="2"/>
  <c r="G1067" i="2"/>
  <c r="D1067" i="2"/>
  <c r="C1067" i="2"/>
  <c r="B1067" i="2"/>
  <c r="A1067" i="2"/>
  <c r="H1066" i="2"/>
  <c r="G1066" i="2"/>
  <c r="D1066" i="2"/>
  <c r="C1066" i="2"/>
  <c r="B1066" i="2"/>
  <c r="A1066" i="2"/>
  <c r="H1065" i="2"/>
  <c r="G1065" i="2"/>
  <c r="D1065" i="2"/>
  <c r="C1065" i="2"/>
  <c r="B1065" i="2"/>
  <c r="A1065" i="2"/>
  <c r="H1064" i="2"/>
  <c r="G1064" i="2"/>
  <c r="D1064" i="2"/>
  <c r="C1064" i="2"/>
  <c r="B1064" i="2"/>
  <c r="A1064" i="2"/>
  <c r="H1063" i="2"/>
  <c r="G1063" i="2"/>
  <c r="D1063" i="2"/>
  <c r="C1063" i="2"/>
  <c r="B1063" i="2"/>
  <c r="A1063" i="2"/>
  <c r="H1062" i="2"/>
  <c r="G1062" i="2"/>
  <c r="D1062" i="2"/>
  <c r="C1062" i="2"/>
  <c r="B1062" i="2"/>
  <c r="A1062" i="2"/>
  <c r="H1061" i="2"/>
  <c r="G1061" i="2"/>
  <c r="D1061" i="2"/>
  <c r="C1061" i="2"/>
  <c r="B1061" i="2"/>
  <c r="A1061" i="2"/>
  <c r="H1060" i="2"/>
  <c r="G1060" i="2"/>
  <c r="D1060" i="2"/>
  <c r="C1060" i="2"/>
  <c r="B1060" i="2"/>
  <c r="A1060" i="2"/>
  <c r="H1059" i="2"/>
  <c r="G1059" i="2"/>
  <c r="D1059" i="2"/>
  <c r="C1059" i="2"/>
  <c r="B1059" i="2"/>
  <c r="A1059" i="2"/>
  <c r="H1058" i="2"/>
  <c r="G1058" i="2"/>
  <c r="D1058" i="2"/>
  <c r="C1058" i="2"/>
  <c r="B1058" i="2"/>
  <c r="A1058" i="2"/>
  <c r="H1057" i="2"/>
  <c r="G1057" i="2"/>
  <c r="D1057" i="2"/>
  <c r="C1057" i="2"/>
  <c r="B1057" i="2"/>
  <c r="A1057" i="2"/>
  <c r="H1056" i="2"/>
  <c r="G1056" i="2"/>
  <c r="D1056" i="2"/>
  <c r="C1056" i="2"/>
  <c r="B1056" i="2"/>
  <c r="A1056" i="2"/>
  <c r="H1055" i="2"/>
  <c r="G1055" i="2"/>
  <c r="D1055" i="2"/>
  <c r="C1055" i="2"/>
  <c r="B1055" i="2"/>
  <c r="A1055" i="2"/>
  <c r="H1054" i="2"/>
  <c r="G1054" i="2"/>
  <c r="D1054" i="2"/>
  <c r="C1054" i="2"/>
  <c r="B1054" i="2"/>
  <c r="A1054" i="2"/>
  <c r="H1053" i="2"/>
  <c r="G1053" i="2"/>
  <c r="D1053" i="2"/>
  <c r="C1053" i="2"/>
  <c r="B1053" i="2"/>
  <c r="A1053" i="2"/>
  <c r="H1052" i="2"/>
  <c r="G1052" i="2"/>
  <c r="D1052" i="2"/>
  <c r="C1052" i="2"/>
  <c r="B1052" i="2"/>
  <c r="A1052" i="2"/>
  <c r="H1051" i="2"/>
  <c r="G1051" i="2"/>
  <c r="D1051" i="2"/>
  <c r="C1051" i="2"/>
  <c r="B1051" i="2"/>
  <c r="A1051" i="2"/>
  <c r="H1050" i="2"/>
  <c r="G1050" i="2"/>
  <c r="D1050" i="2"/>
  <c r="C1050" i="2"/>
  <c r="B1050" i="2"/>
  <c r="A1050" i="2"/>
  <c r="H1049" i="2"/>
  <c r="G1049" i="2"/>
  <c r="D1049" i="2"/>
  <c r="C1049" i="2"/>
  <c r="B1049" i="2"/>
  <c r="A1049" i="2"/>
  <c r="H1048" i="2"/>
  <c r="G1048" i="2"/>
  <c r="D1048" i="2"/>
  <c r="C1048" i="2"/>
  <c r="B1048" i="2"/>
  <c r="A1048" i="2"/>
  <c r="H1047" i="2"/>
  <c r="G1047" i="2"/>
  <c r="D1047" i="2"/>
  <c r="C1047" i="2"/>
  <c r="B1047" i="2"/>
  <c r="A1047" i="2"/>
  <c r="H1046" i="2"/>
  <c r="G1046" i="2"/>
  <c r="D1046" i="2"/>
  <c r="C1046" i="2"/>
  <c r="B1046" i="2"/>
  <c r="A1046" i="2"/>
  <c r="H1045" i="2"/>
  <c r="G1045" i="2"/>
  <c r="D1045" i="2"/>
  <c r="C1045" i="2"/>
  <c r="B1045" i="2"/>
  <c r="A1045" i="2"/>
  <c r="H1044" i="2"/>
  <c r="G1044" i="2"/>
  <c r="D1044" i="2"/>
  <c r="C1044" i="2"/>
  <c r="B1044" i="2"/>
  <c r="A1044" i="2"/>
  <c r="H1043" i="2"/>
  <c r="G1043" i="2"/>
  <c r="D1043" i="2"/>
  <c r="C1043" i="2"/>
  <c r="B1043" i="2"/>
  <c r="A1043" i="2"/>
  <c r="H1042" i="2"/>
  <c r="G1042" i="2"/>
  <c r="D1042" i="2"/>
  <c r="C1042" i="2"/>
  <c r="B1042" i="2"/>
  <c r="A1042" i="2"/>
  <c r="H1041" i="2"/>
  <c r="G1041" i="2"/>
  <c r="D1041" i="2"/>
  <c r="C1041" i="2"/>
  <c r="B1041" i="2"/>
  <c r="A1041" i="2"/>
  <c r="H1040" i="2"/>
  <c r="G1040" i="2"/>
  <c r="D1040" i="2"/>
  <c r="C1040" i="2"/>
  <c r="B1040" i="2"/>
  <c r="A1040" i="2"/>
  <c r="H1039" i="2"/>
  <c r="G1039" i="2"/>
  <c r="D1039" i="2"/>
  <c r="C1039" i="2"/>
  <c r="B1039" i="2"/>
  <c r="A1039" i="2"/>
  <c r="H1038" i="2"/>
  <c r="G1038" i="2"/>
  <c r="D1038" i="2"/>
  <c r="C1038" i="2"/>
  <c r="B1038" i="2"/>
  <c r="A1038" i="2"/>
  <c r="H1037" i="2"/>
  <c r="G1037" i="2"/>
  <c r="D1037" i="2"/>
  <c r="C1037" i="2"/>
  <c r="B1037" i="2"/>
  <c r="A1037" i="2"/>
  <c r="H1036" i="2"/>
  <c r="G1036" i="2"/>
  <c r="D1036" i="2"/>
  <c r="C1036" i="2"/>
  <c r="B1036" i="2"/>
  <c r="A1036" i="2"/>
  <c r="H1035" i="2"/>
  <c r="G1035" i="2"/>
  <c r="D1035" i="2"/>
  <c r="C1035" i="2"/>
  <c r="B1035" i="2"/>
  <c r="A1035" i="2"/>
  <c r="H1034" i="2"/>
  <c r="G1034" i="2"/>
  <c r="D1034" i="2"/>
  <c r="C1034" i="2"/>
  <c r="B1034" i="2"/>
  <c r="A1034" i="2"/>
  <c r="H1033" i="2"/>
  <c r="G1033" i="2"/>
  <c r="D1033" i="2"/>
  <c r="C1033" i="2"/>
  <c r="B1033" i="2"/>
  <c r="A1033" i="2"/>
  <c r="H1032" i="2"/>
  <c r="G1032" i="2"/>
  <c r="D1032" i="2"/>
  <c r="C1032" i="2"/>
  <c r="B1032" i="2"/>
  <c r="A1032" i="2"/>
  <c r="H1031" i="2"/>
  <c r="G1031" i="2"/>
  <c r="D1031" i="2"/>
  <c r="C1031" i="2"/>
  <c r="B1031" i="2"/>
  <c r="A1031" i="2"/>
  <c r="H1030" i="2"/>
  <c r="G1030" i="2"/>
  <c r="D1030" i="2"/>
  <c r="C1030" i="2"/>
  <c r="B1030" i="2"/>
  <c r="A1030" i="2"/>
  <c r="H1029" i="2"/>
  <c r="G1029" i="2"/>
  <c r="D1029" i="2"/>
  <c r="C1029" i="2"/>
  <c r="B1029" i="2"/>
  <c r="A1029" i="2"/>
  <c r="H1028" i="2"/>
  <c r="G1028" i="2"/>
  <c r="D1028" i="2"/>
  <c r="C1028" i="2"/>
  <c r="B1028" i="2"/>
  <c r="A1028" i="2"/>
  <c r="H1027" i="2"/>
  <c r="G1027" i="2"/>
  <c r="D1027" i="2"/>
  <c r="C1027" i="2"/>
  <c r="B1027" i="2"/>
  <c r="A1027" i="2"/>
  <c r="H1026" i="2"/>
  <c r="G1026" i="2"/>
  <c r="D1026" i="2"/>
  <c r="C1026" i="2"/>
  <c r="B1026" i="2"/>
  <c r="A1026" i="2"/>
  <c r="H1025" i="2"/>
  <c r="G1025" i="2"/>
  <c r="D1025" i="2"/>
  <c r="C1025" i="2"/>
  <c r="B1025" i="2"/>
  <c r="A1025" i="2"/>
  <c r="H1024" i="2"/>
  <c r="G1024" i="2"/>
  <c r="D1024" i="2"/>
  <c r="C1024" i="2"/>
  <c r="B1024" i="2"/>
  <c r="A1024" i="2"/>
  <c r="H1023" i="2"/>
  <c r="G1023" i="2"/>
  <c r="D1023" i="2"/>
  <c r="C1023" i="2"/>
  <c r="B1023" i="2"/>
  <c r="A1023" i="2"/>
  <c r="H1022" i="2"/>
  <c r="G1022" i="2"/>
  <c r="D1022" i="2"/>
  <c r="C1022" i="2"/>
  <c r="B1022" i="2"/>
  <c r="A1022" i="2"/>
  <c r="H1021" i="2"/>
  <c r="G1021" i="2"/>
  <c r="D1021" i="2"/>
  <c r="C1021" i="2"/>
  <c r="B1021" i="2"/>
  <c r="A1021" i="2"/>
  <c r="H1020" i="2"/>
  <c r="G1020" i="2"/>
  <c r="D1020" i="2"/>
  <c r="C1020" i="2"/>
  <c r="B1020" i="2"/>
  <c r="A1020" i="2"/>
  <c r="H1019" i="2"/>
  <c r="G1019" i="2"/>
  <c r="D1019" i="2"/>
  <c r="C1019" i="2"/>
  <c r="B1019" i="2"/>
  <c r="A1019" i="2"/>
  <c r="H1018" i="2"/>
  <c r="G1018" i="2"/>
  <c r="D1018" i="2"/>
  <c r="C1018" i="2"/>
  <c r="B1018" i="2"/>
  <c r="A1018" i="2"/>
  <c r="H1017" i="2"/>
  <c r="G1017" i="2"/>
  <c r="D1017" i="2"/>
  <c r="C1017" i="2"/>
  <c r="B1017" i="2"/>
  <c r="A1017" i="2"/>
  <c r="H1016" i="2"/>
  <c r="G1016" i="2"/>
  <c r="D1016" i="2"/>
  <c r="C1016" i="2"/>
  <c r="B1016" i="2"/>
  <c r="A1016" i="2"/>
  <c r="H1015" i="2"/>
  <c r="G1015" i="2"/>
  <c r="D1015" i="2"/>
  <c r="C1015" i="2"/>
  <c r="B1015" i="2"/>
  <c r="A1015" i="2"/>
  <c r="H1014" i="2"/>
  <c r="G1014" i="2"/>
  <c r="D1014" i="2"/>
  <c r="C1014" i="2"/>
  <c r="B1014" i="2"/>
  <c r="A1014" i="2"/>
  <c r="H1013" i="2"/>
  <c r="G1013" i="2"/>
  <c r="D1013" i="2"/>
  <c r="C1013" i="2"/>
  <c r="B1013" i="2"/>
  <c r="A1013" i="2"/>
  <c r="H1012" i="2"/>
  <c r="G1012" i="2"/>
  <c r="D1012" i="2"/>
  <c r="C1012" i="2"/>
  <c r="B1012" i="2"/>
  <c r="A1012" i="2"/>
  <c r="H1011" i="2"/>
  <c r="G1011" i="2"/>
  <c r="D1011" i="2"/>
  <c r="C1011" i="2"/>
  <c r="B1011" i="2"/>
  <c r="A1011" i="2"/>
  <c r="H1010" i="2"/>
  <c r="G1010" i="2"/>
  <c r="D1010" i="2"/>
  <c r="C1010" i="2"/>
  <c r="B1010" i="2"/>
  <c r="A1010" i="2"/>
  <c r="H1009" i="2"/>
  <c r="G1009" i="2"/>
  <c r="D1009" i="2"/>
  <c r="C1009" i="2"/>
  <c r="B1009" i="2"/>
  <c r="A1009" i="2"/>
  <c r="H1008" i="2"/>
  <c r="G1008" i="2"/>
  <c r="D1008" i="2"/>
  <c r="C1008" i="2"/>
  <c r="B1008" i="2"/>
  <c r="A1008" i="2"/>
  <c r="H1007" i="2"/>
  <c r="G1007" i="2"/>
  <c r="D1007" i="2"/>
  <c r="C1007" i="2"/>
  <c r="B1007" i="2"/>
  <c r="A1007" i="2"/>
  <c r="H1006" i="2"/>
  <c r="G1006" i="2"/>
  <c r="D1006" i="2"/>
  <c r="C1006" i="2"/>
  <c r="B1006" i="2"/>
  <c r="A1006" i="2"/>
  <c r="H1005" i="2"/>
  <c r="G1005" i="2"/>
  <c r="D1005" i="2"/>
  <c r="C1005" i="2"/>
  <c r="B1005" i="2"/>
  <c r="A1005" i="2"/>
  <c r="H1004" i="2"/>
  <c r="G1004" i="2"/>
  <c r="D1004" i="2"/>
  <c r="C1004" i="2"/>
  <c r="B1004" i="2"/>
  <c r="A1004" i="2"/>
  <c r="H1003" i="2"/>
  <c r="G1003" i="2"/>
  <c r="D1003" i="2"/>
  <c r="C1003" i="2"/>
  <c r="B1003" i="2"/>
  <c r="A1003" i="2"/>
  <c r="H1002" i="2"/>
  <c r="G1002" i="2"/>
  <c r="D1002" i="2"/>
  <c r="C1002" i="2"/>
  <c r="B1002" i="2"/>
  <c r="A1002" i="2"/>
  <c r="H1001" i="2"/>
  <c r="G1001" i="2"/>
  <c r="D1001" i="2"/>
  <c r="C1001" i="2"/>
  <c r="B1001" i="2"/>
  <c r="A1001" i="2"/>
  <c r="H1000" i="2"/>
  <c r="G1000" i="2"/>
  <c r="D1000" i="2"/>
  <c r="C1000" i="2"/>
  <c r="B1000" i="2"/>
  <c r="A1000" i="2"/>
  <c r="H999" i="2"/>
  <c r="G999" i="2"/>
  <c r="D999" i="2"/>
  <c r="C999" i="2"/>
  <c r="B999" i="2"/>
  <c r="A999" i="2"/>
  <c r="H998" i="2"/>
  <c r="G998" i="2"/>
  <c r="D998" i="2"/>
  <c r="C998" i="2"/>
  <c r="B998" i="2"/>
  <c r="A998" i="2"/>
  <c r="H997" i="2"/>
  <c r="G997" i="2"/>
  <c r="D997" i="2"/>
  <c r="C997" i="2"/>
  <c r="B997" i="2"/>
  <c r="A997" i="2"/>
  <c r="H996" i="2"/>
  <c r="G996" i="2"/>
  <c r="D996" i="2"/>
  <c r="C996" i="2"/>
  <c r="B996" i="2"/>
  <c r="A996" i="2"/>
  <c r="H995" i="2"/>
  <c r="G995" i="2"/>
  <c r="D995" i="2"/>
  <c r="C995" i="2"/>
  <c r="B995" i="2"/>
  <c r="A995" i="2"/>
  <c r="H994" i="2"/>
  <c r="G994" i="2"/>
  <c r="D994" i="2"/>
  <c r="C994" i="2"/>
  <c r="B994" i="2"/>
  <c r="A994" i="2"/>
  <c r="H993" i="2"/>
  <c r="G993" i="2"/>
  <c r="D993" i="2"/>
  <c r="C993" i="2"/>
  <c r="B993" i="2"/>
  <c r="A993" i="2"/>
  <c r="H992" i="2"/>
  <c r="G992" i="2"/>
  <c r="D992" i="2"/>
  <c r="C992" i="2"/>
  <c r="B992" i="2"/>
  <c r="A992" i="2"/>
  <c r="H991" i="2"/>
  <c r="G991" i="2"/>
  <c r="D991" i="2"/>
  <c r="C991" i="2"/>
  <c r="B991" i="2"/>
  <c r="A991" i="2"/>
  <c r="H990" i="2"/>
  <c r="G990" i="2"/>
  <c r="D990" i="2"/>
  <c r="C990" i="2"/>
  <c r="B990" i="2"/>
  <c r="A990" i="2"/>
  <c r="H989" i="2"/>
  <c r="G989" i="2"/>
  <c r="D989" i="2"/>
  <c r="C989" i="2"/>
  <c r="B989" i="2"/>
  <c r="A989" i="2"/>
  <c r="H988" i="2"/>
  <c r="G988" i="2"/>
  <c r="D988" i="2"/>
  <c r="C988" i="2"/>
  <c r="B988" i="2"/>
  <c r="A988" i="2"/>
  <c r="H987" i="2"/>
  <c r="G987" i="2"/>
  <c r="D987" i="2"/>
  <c r="C987" i="2"/>
  <c r="B987" i="2"/>
  <c r="A987" i="2"/>
  <c r="H986" i="2"/>
  <c r="G986" i="2"/>
  <c r="D986" i="2"/>
  <c r="C986" i="2"/>
  <c r="B986" i="2"/>
  <c r="A986" i="2"/>
  <c r="H985" i="2"/>
  <c r="G985" i="2"/>
  <c r="D985" i="2"/>
  <c r="C985" i="2"/>
  <c r="B985" i="2"/>
  <c r="A985" i="2"/>
  <c r="H984" i="2"/>
  <c r="G984" i="2"/>
  <c r="D984" i="2"/>
  <c r="C984" i="2"/>
  <c r="B984" i="2"/>
  <c r="A984" i="2"/>
  <c r="H983" i="2"/>
  <c r="G983" i="2"/>
  <c r="D983" i="2"/>
  <c r="C983" i="2"/>
  <c r="B983" i="2"/>
  <c r="A983" i="2"/>
  <c r="H982" i="2"/>
  <c r="G982" i="2"/>
  <c r="D982" i="2"/>
  <c r="C982" i="2"/>
  <c r="B982" i="2"/>
  <c r="A982" i="2"/>
  <c r="H981" i="2"/>
  <c r="G981" i="2"/>
  <c r="D981" i="2"/>
  <c r="C981" i="2"/>
  <c r="B981" i="2"/>
  <c r="A981" i="2"/>
  <c r="H980" i="2"/>
  <c r="G980" i="2"/>
  <c r="D980" i="2"/>
  <c r="C980" i="2"/>
  <c r="B980" i="2"/>
  <c r="A980" i="2"/>
  <c r="H979" i="2"/>
  <c r="G979" i="2"/>
  <c r="D979" i="2"/>
  <c r="C979" i="2"/>
  <c r="B979" i="2"/>
  <c r="A979" i="2"/>
  <c r="H978" i="2"/>
  <c r="G978" i="2"/>
  <c r="D978" i="2"/>
  <c r="C978" i="2"/>
  <c r="B978" i="2"/>
  <c r="A978" i="2"/>
  <c r="H977" i="2"/>
  <c r="G977" i="2"/>
  <c r="D977" i="2"/>
  <c r="C977" i="2"/>
  <c r="B977" i="2"/>
  <c r="A977" i="2"/>
  <c r="H976" i="2"/>
  <c r="G976" i="2"/>
  <c r="D976" i="2"/>
  <c r="C976" i="2"/>
  <c r="B976" i="2"/>
  <c r="A976" i="2"/>
  <c r="H975" i="2"/>
  <c r="G975" i="2"/>
  <c r="D975" i="2"/>
  <c r="C975" i="2"/>
  <c r="B975" i="2"/>
  <c r="A975" i="2"/>
  <c r="H974" i="2"/>
  <c r="G974" i="2"/>
  <c r="D974" i="2"/>
  <c r="C974" i="2"/>
  <c r="B974" i="2"/>
  <c r="A974" i="2"/>
  <c r="H973" i="2"/>
  <c r="G973" i="2"/>
  <c r="D973" i="2"/>
  <c r="C973" i="2"/>
  <c r="B973" i="2"/>
  <c r="A973" i="2"/>
  <c r="H972" i="2"/>
  <c r="G972" i="2"/>
  <c r="D972" i="2"/>
  <c r="C972" i="2"/>
  <c r="B972" i="2"/>
  <c r="A972" i="2"/>
  <c r="H971" i="2"/>
  <c r="G971" i="2"/>
  <c r="D971" i="2"/>
  <c r="C971" i="2"/>
  <c r="B971" i="2"/>
  <c r="A971" i="2"/>
  <c r="H970" i="2"/>
  <c r="G970" i="2"/>
  <c r="D970" i="2"/>
  <c r="C970" i="2"/>
  <c r="B970" i="2"/>
  <c r="A970" i="2"/>
  <c r="H969" i="2"/>
  <c r="G969" i="2"/>
  <c r="D969" i="2"/>
  <c r="C969" i="2"/>
  <c r="B969" i="2"/>
  <c r="A969" i="2"/>
  <c r="H968" i="2"/>
  <c r="G968" i="2"/>
  <c r="D968" i="2"/>
  <c r="C968" i="2"/>
  <c r="B968" i="2"/>
  <c r="A968" i="2"/>
  <c r="H967" i="2"/>
  <c r="G967" i="2"/>
  <c r="D967" i="2"/>
  <c r="C967" i="2"/>
  <c r="B967" i="2"/>
  <c r="A967" i="2"/>
  <c r="H966" i="2"/>
  <c r="G966" i="2"/>
  <c r="D966" i="2"/>
  <c r="C966" i="2"/>
  <c r="B966" i="2"/>
  <c r="A966" i="2"/>
  <c r="H965" i="2"/>
  <c r="G965" i="2"/>
  <c r="D965" i="2"/>
  <c r="C965" i="2"/>
  <c r="B965" i="2"/>
  <c r="A965" i="2"/>
  <c r="H964" i="2"/>
  <c r="G964" i="2"/>
  <c r="D964" i="2"/>
  <c r="C964" i="2"/>
  <c r="B964" i="2"/>
  <c r="A964" i="2"/>
  <c r="H963" i="2"/>
  <c r="G963" i="2"/>
  <c r="D963" i="2"/>
  <c r="C963" i="2"/>
  <c r="B963" i="2"/>
  <c r="A963" i="2"/>
  <c r="H962" i="2"/>
  <c r="G962" i="2"/>
  <c r="D962" i="2"/>
  <c r="C962" i="2"/>
  <c r="B962" i="2"/>
  <c r="A962" i="2"/>
  <c r="H961" i="2"/>
  <c r="G961" i="2"/>
  <c r="D961" i="2"/>
  <c r="C961" i="2"/>
  <c r="B961" i="2"/>
  <c r="A961" i="2"/>
  <c r="H960" i="2"/>
  <c r="G960" i="2"/>
  <c r="D960" i="2"/>
  <c r="C960" i="2"/>
  <c r="B960" i="2"/>
  <c r="A960" i="2"/>
  <c r="H959" i="2"/>
  <c r="G959" i="2"/>
  <c r="D959" i="2"/>
  <c r="C959" i="2"/>
  <c r="B959" i="2"/>
  <c r="A959" i="2"/>
  <c r="H958" i="2"/>
  <c r="G958" i="2"/>
  <c r="D958" i="2"/>
  <c r="C958" i="2"/>
  <c r="B958" i="2"/>
  <c r="A958" i="2"/>
  <c r="H957" i="2"/>
  <c r="G957" i="2"/>
  <c r="D957" i="2"/>
  <c r="C957" i="2"/>
  <c r="B957" i="2"/>
  <c r="A957" i="2"/>
  <c r="H956" i="2"/>
  <c r="G956" i="2"/>
  <c r="D956" i="2"/>
  <c r="C956" i="2"/>
  <c r="B956" i="2"/>
  <c r="A956" i="2"/>
  <c r="H955" i="2"/>
  <c r="G955" i="2"/>
  <c r="D955" i="2"/>
  <c r="C955" i="2"/>
  <c r="B955" i="2"/>
  <c r="A955" i="2"/>
  <c r="H954" i="2"/>
  <c r="G954" i="2"/>
  <c r="D954" i="2"/>
  <c r="C954" i="2"/>
  <c r="B954" i="2"/>
  <c r="A954" i="2"/>
  <c r="H953" i="2"/>
  <c r="G953" i="2"/>
  <c r="D953" i="2"/>
  <c r="C953" i="2"/>
  <c r="B953" i="2"/>
  <c r="A953" i="2"/>
  <c r="H952" i="2"/>
  <c r="G952" i="2"/>
  <c r="D952" i="2"/>
  <c r="C952" i="2"/>
  <c r="B952" i="2"/>
  <c r="A952" i="2"/>
  <c r="H951" i="2"/>
  <c r="G951" i="2"/>
  <c r="D951" i="2"/>
  <c r="C951" i="2"/>
  <c r="B951" i="2"/>
  <c r="A951" i="2"/>
  <c r="H950" i="2"/>
  <c r="G950" i="2"/>
  <c r="D950" i="2"/>
  <c r="C950" i="2"/>
  <c r="B950" i="2"/>
  <c r="A950" i="2"/>
  <c r="H949" i="2"/>
  <c r="G949" i="2"/>
  <c r="D949" i="2"/>
  <c r="C949" i="2"/>
  <c r="B949" i="2"/>
  <c r="A949" i="2"/>
  <c r="H948" i="2"/>
  <c r="G948" i="2"/>
  <c r="D948" i="2"/>
  <c r="C948" i="2"/>
  <c r="B948" i="2"/>
  <c r="A948" i="2"/>
  <c r="H947" i="2"/>
  <c r="G947" i="2"/>
  <c r="D947" i="2"/>
  <c r="C947" i="2"/>
  <c r="B947" i="2"/>
  <c r="A947" i="2"/>
  <c r="H946" i="2"/>
  <c r="G946" i="2"/>
  <c r="D946" i="2"/>
  <c r="C946" i="2"/>
  <c r="B946" i="2"/>
  <c r="A946" i="2"/>
  <c r="H945" i="2"/>
  <c r="G945" i="2"/>
  <c r="D945" i="2"/>
  <c r="C945" i="2"/>
  <c r="B945" i="2"/>
  <c r="A945" i="2"/>
  <c r="H944" i="2"/>
  <c r="G944" i="2"/>
  <c r="D944" i="2"/>
  <c r="C944" i="2"/>
  <c r="B944" i="2"/>
  <c r="A944" i="2"/>
  <c r="H943" i="2"/>
  <c r="G943" i="2"/>
  <c r="D943" i="2"/>
  <c r="C943" i="2"/>
  <c r="B943" i="2"/>
  <c r="A943" i="2"/>
  <c r="H942" i="2"/>
  <c r="G942" i="2"/>
  <c r="D942" i="2"/>
  <c r="C942" i="2"/>
  <c r="B942" i="2"/>
  <c r="A942" i="2"/>
  <c r="H941" i="2"/>
  <c r="G941" i="2"/>
  <c r="D941" i="2"/>
  <c r="C941" i="2"/>
  <c r="B941" i="2"/>
  <c r="A941" i="2"/>
  <c r="H940" i="2"/>
  <c r="G940" i="2"/>
  <c r="D940" i="2"/>
  <c r="C940" i="2"/>
  <c r="B940" i="2"/>
  <c r="A940" i="2"/>
  <c r="H939" i="2"/>
  <c r="G939" i="2"/>
  <c r="D939" i="2"/>
  <c r="C939" i="2"/>
  <c r="B939" i="2"/>
  <c r="A939" i="2"/>
  <c r="H938" i="2"/>
  <c r="G938" i="2"/>
  <c r="D938" i="2"/>
  <c r="C938" i="2"/>
  <c r="B938" i="2"/>
  <c r="A938" i="2"/>
  <c r="H937" i="2"/>
  <c r="G937" i="2"/>
  <c r="D937" i="2"/>
  <c r="C937" i="2"/>
  <c r="B937" i="2"/>
  <c r="A937" i="2"/>
  <c r="H936" i="2"/>
  <c r="G936" i="2"/>
  <c r="D936" i="2"/>
  <c r="C936" i="2"/>
  <c r="B936" i="2"/>
  <c r="A936" i="2"/>
  <c r="H935" i="2"/>
  <c r="G935" i="2"/>
  <c r="D935" i="2"/>
  <c r="C935" i="2"/>
  <c r="B935" i="2"/>
  <c r="A935" i="2"/>
  <c r="H934" i="2"/>
  <c r="G934" i="2"/>
  <c r="D934" i="2"/>
  <c r="C934" i="2"/>
  <c r="B934" i="2"/>
  <c r="A934" i="2"/>
  <c r="H933" i="2"/>
  <c r="G933" i="2"/>
  <c r="D933" i="2"/>
  <c r="C933" i="2"/>
  <c r="B933" i="2"/>
  <c r="A933" i="2"/>
  <c r="H932" i="2"/>
  <c r="G932" i="2"/>
  <c r="D932" i="2"/>
  <c r="C932" i="2"/>
  <c r="B932" i="2"/>
  <c r="A932" i="2"/>
  <c r="H931" i="2"/>
  <c r="G931" i="2"/>
  <c r="D931" i="2"/>
  <c r="C931" i="2"/>
  <c r="B931" i="2"/>
  <c r="A931" i="2"/>
  <c r="H930" i="2"/>
  <c r="G930" i="2"/>
  <c r="D930" i="2"/>
  <c r="C930" i="2"/>
  <c r="B930" i="2"/>
  <c r="A930" i="2"/>
  <c r="H929" i="2"/>
  <c r="G929" i="2"/>
  <c r="D929" i="2"/>
  <c r="C929" i="2"/>
  <c r="B929" i="2"/>
  <c r="A929" i="2"/>
  <c r="H928" i="2"/>
  <c r="G928" i="2"/>
  <c r="D928" i="2"/>
  <c r="C928" i="2"/>
  <c r="B928" i="2"/>
  <c r="A928" i="2"/>
  <c r="H927" i="2"/>
  <c r="G927" i="2"/>
  <c r="D927" i="2"/>
  <c r="C927" i="2"/>
  <c r="B927" i="2"/>
  <c r="A927" i="2"/>
  <c r="H926" i="2"/>
  <c r="G926" i="2"/>
  <c r="D926" i="2"/>
  <c r="C926" i="2"/>
  <c r="B926" i="2"/>
  <c r="A926" i="2"/>
  <c r="H925" i="2"/>
  <c r="G925" i="2"/>
  <c r="D925" i="2"/>
  <c r="C925" i="2"/>
  <c r="B925" i="2"/>
  <c r="A925" i="2"/>
  <c r="H924" i="2"/>
  <c r="G924" i="2"/>
  <c r="D924" i="2"/>
  <c r="C924" i="2"/>
  <c r="B924" i="2"/>
  <c r="A924" i="2"/>
  <c r="H923" i="2"/>
  <c r="G923" i="2"/>
  <c r="D923" i="2"/>
  <c r="C923" i="2"/>
  <c r="B923" i="2"/>
  <c r="A923" i="2"/>
  <c r="H922" i="2"/>
  <c r="G922" i="2"/>
  <c r="D922" i="2"/>
  <c r="C922" i="2"/>
  <c r="B922" i="2"/>
  <c r="A922" i="2"/>
  <c r="H921" i="2"/>
  <c r="G921" i="2"/>
  <c r="D921" i="2"/>
  <c r="C921" i="2"/>
  <c r="B921" i="2"/>
  <c r="A921" i="2"/>
  <c r="H920" i="2"/>
  <c r="G920" i="2"/>
  <c r="D920" i="2"/>
  <c r="C920" i="2"/>
  <c r="B920" i="2"/>
  <c r="A920" i="2"/>
  <c r="H919" i="2"/>
  <c r="G919" i="2"/>
  <c r="D919" i="2"/>
  <c r="C919" i="2"/>
  <c r="B919" i="2"/>
  <c r="A919" i="2"/>
  <c r="H918" i="2"/>
  <c r="G918" i="2"/>
  <c r="D918" i="2"/>
  <c r="C918" i="2"/>
  <c r="B918" i="2"/>
  <c r="A918" i="2"/>
  <c r="H917" i="2"/>
  <c r="G917" i="2"/>
  <c r="D917" i="2"/>
  <c r="C917" i="2"/>
  <c r="B917" i="2"/>
  <c r="A917" i="2"/>
  <c r="H916" i="2"/>
  <c r="G916" i="2"/>
  <c r="D916" i="2"/>
  <c r="C916" i="2"/>
  <c r="B916" i="2"/>
  <c r="A916" i="2"/>
  <c r="H915" i="2"/>
  <c r="G915" i="2"/>
  <c r="D915" i="2"/>
  <c r="C915" i="2"/>
  <c r="B915" i="2"/>
  <c r="A915" i="2"/>
  <c r="H914" i="2"/>
  <c r="G914" i="2"/>
  <c r="D914" i="2"/>
  <c r="C914" i="2"/>
  <c r="B914" i="2"/>
  <c r="A914" i="2"/>
  <c r="H913" i="2"/>
  <c r="G913" i="2"/>
  <c r="D913" i="2"/>
  <c r="C913" i="2"/>
  <c r="B913" i="2"/>
  <c r="A913" i="2"/>
  <c r="H912" i="2"/>
  <c r="G912" i="2"/>
  <c r="D912" i="2"/>
  <c r="C912" i="2"/>
  <c r="B912" i="2"/>
  <c r="A912" i="2"/>
  <c r="H911" i="2"/>
  <c r="G911" i="2"/>
  <c r="D911" i="2"/>
  <c r="C911" i="2"/>
  <c r="B911" i="2"/>
  <c r="A911" i="2"/>
  <c r="H910" i="2"/>
  <c r="G910" i="2"/>
  <c r="D910" i="2"/>
  <c r="C910" i="2"/>
  <c r="B910" i="2"/>
  <c r="A910" i="2"/>
  <c r="H909" i="2"/>
  <c r="G909" i="2"/>
  <c r="D909" i="2"/>
  <c r="C909" i="2"/>
  <c r="B909" i="2"/>
  <c r="A909" i="2"/>
  <c r="H908" i="2"/>
  <c r="G908" i="2"/>
  <c r="D908" i="2"/>
  <c r="C908" i="2"/>
  <c r="B908" i="2"/>
  <c r="A908" i="2"/>
  <c r="H907" i="2"/>
  <c r="G907" i="2"/>
  <c r="D907" i="2"/>
  <c r="C907" i="2"/>
  <c r="B907" i="2"/>
  <c r="A907" i="2"/>
  <c r="H906" i="2"/>
  <c r="G906" i="2"/>
  <c r="D906" i="2"/>
  <c r="C906" i="2"/>
  <c r="B906" i="2"/>
  <c r="A906" i="2"/>
  <c r="H905" i="2"/>
  <c r="G905" i="2"/>
  <c r="D905" i="2"/>
  <c r="C905" i="2"/>
  <c r="B905" i="2"/>
  <c r="A905" i="2"/>
  <c r="H904" i="2"/>
  <c r="G904" i="2"/>
  <c r="D904" i="2"/>
  <c r="C904" i="2"/>
  <c r="B904" i="2"/>
  <c r="A904" i="2"/>
  <c r="H903" i="2"/>
  <c r="G903" i="2"/>
  <c r="D903" i="2"/>
  <c r="C903" i="2"/>
  <c r="B903" i="2"/>
  <c r="A903" i="2"/>
  <c r="H902" i="2"/>
  <c r="G902" i="2"/>
  <c r="D902" i="2"/>
  <c r="C902" i="2"/>
  <c r="B902" i="2"/>
  <c r="A902" i="2"/>
  <c r="H901" i="2"/>
  <c r="G901" i="2"/>
  <c r="D901" i="2"/>
  <c r="C901" i="2"/>
  <c r="B901" i="2"/>
  <c r="A901" i="2"/>
  <c r="H900" i="2"/>
  <c r="G900" i="2"/>
  <c r="D900" i="2"/>
  <c r="C900" i="2"/>
  <c r="B900" i="2"/>
  <c r="A900" i="2"/>
  <c r="H899" i="2"/>
  <c r="G899" i="2"/>
  <c r="D899" i="2"/>
  <c r="C899" i="2"/>
  <c r="B899" i="2"/>
  <c r="A899" i="2"/>
  <c r="H898" i="2"/>
  <c r="G898" i="2"/>
  <c r="D898" i="2"/>
  <c r="C898" i="2"/>
  <c r="B898" i="2"/>
  <c r="A898" i="2"/>
  <c r="H897" i="2"/>
  <c r="G897" i="2"/>
  <c r="D897" i="2"/>
  <c r="C897" i="2"/>
  <c r="B897" i="2"/>
  <c r="A897" i="2"/>
  <c r="H896" i="2"/>
  <c r="G896" i="2"/>
  <c r="D896" i="2"/>
  <c r="C896" i="2"/>
  <c r="B896" i="2"/>
  <c r="A896" i="2"/>
  <c r="H895" i="2"/>
  <c r="G895" i="2"/>
  <c r="D895" i="2"/>
  <c r="C895" i="2"/>
  <c r="B895" i="2"/>
  <c r="A895" i="2"/>
  <c r="H894" i="2"/>
  <c r="G894" i="2"/>
  <c r="D894" i="2"/>
  <c r="C894" i="2"/>
  <c r="B894" i="2"/>
  <c r="A894" i="2"/>
  <c r="H893" i="2"/>
  <c r="G893" i="2"/>
  <c r="D893" i="2"/>
  <c r="C893" i="2"/>
  <c r="B893" i="2"/>
  <c r="A893" i="2"/>
  <c r="H892" i="2"/>
  <c r="G892" i="2"/>
  <c r="D892" i="2"/>
  <c r="C892" i="2"/>
  <c r="B892" i="2"/>
  <c r="A892" i="2"/>
  <c r="H891" i="2"/>
  <c r="G891" i="2"/>
  <c r="D891" i="2"/>
  <c r="C891" i="2"/>
  <c r="B891" i="2"/>
  <c r="A891" i="2"/>
  <c r="H890" i="2"/>
  <c r="G890" i="2"/>
  <c r="D890" i="2"/>
  <c r="C890" i="2"/>
  <c r="B890" i="2"/>
  <c r="A890" i="2"/>
  <c r="H889" i="2"/>
  <c r="G889" i="2"/>
  <c r="D889" i="2"/>
  <c r="C889" i="2"/>
  <c r="B889" i="2"/>
  <c r="A889" i="2"/>
  <c r="H888" i="2"/>
  <c r="G888" i="2"/>
  <c r="D888" i="2"/>
  <c r="C888" i="2"/>
  <c r="B888" i="2"/>
  <c r="A888" i="2"/>
  <c r="H887" i="2"/>
  <c r="G887" i="2"/>
  <c r="D887" i="2"/>
  <c r="C887" i="2"/>
  <c r="B887" i="2"/>
  <c r="A887" i="2"/>
  <c r="H886" i="2"/>
  <c r="G886" i="2"/>
  <c r="D886" i="2"/>
  <c r="C886" i="2"/>
  <c r="B886" i="2"/>
  <c r="A886" i="2"/>
  <c r="H885" i="2"/>
  <c r="G885" i="2"/>
  <c r="D885" i="2"/>
  <c r="C885" i="2"/>
  <c r="B885" i="2"/>
  <c r="A885" i="2"/>
  <c r="H884" i="2"/>
  <c r="G884" i="2"/>
  <c r="D884" i="2"/>
  <c r="C884" i="2"/>
  <c r="B884" i="2"/>
  <c r="A884" i="2"/>
  <c r="H883" i="2"/>
  <c r="G883" i="2"/>
  <c r="D883" i="2"/>
  <c r="C883" i="2"/>
  <c r="B883" i="2"/>
  <c r="A883" i="2"/>
  <c r="H882" i="2"/>
  <c r="G882" i="2"/>
  <c r="D882" i="2"/>
  <c r="C882" i="2"/>
  <c r="B882" i="2"/>
  <c r="A882" i="2"/>
  <c r="H881" i="2"/>
  <c r="G881" i="2"/>
  <c r="D881" i="2"/>
  <c r="C881" i="2"/>
  <c r="B881" i="2"/>
  <c r="A881" i="2"/>
  <c r="H880" i="2"/>
  <c r="G880" i="2"/>
  <c r="D880" i="2"/>
  <c r="C880" i="2"/>
  <c r="B880" i="2"/>
  <c r="A880" i="2"/>
  <c r="H879" i="2"/>
  <c r="G879" i="2"/>
  <c r="D879" i="2"/>
  <c r="C879" i="2"/>
  <c r="B879" i="2"/>
  <c r="A879" i="2"/>
  <c r="H878" i="2"/>
  <c r="G878" i="2"/>
  <c r="D878" i="2"/>
  <c r="C878" i="2"/>
  <c r="B878" i="2"/>
  <c r="A878" i="2"/>
  <c r="H877" i="2"/>
  <c r="G877" i="2"/>
  <c r="D877" i="2"/>
  <c r="C877" i="2"/>
  <c r="B877" i="2"/>
  <c r="A877" i="2"/>
  <c r="H876" i="2"/>
  <c r="G876" i="2"/>
  <c r="D876" i="2"/>
  <c r="C876" i="2"/>
  <c r="B876" i="2"/>
  <c r="A876" i="2"/>
  <c r="H875" i="2"/>
  <c r="G875" i="2"/>
  <c r="D875" i="2"/>
  <c r="C875" i="2"/>
  <c r="B875" i="2"/>
  <c r="A875" i="2"/>
  <c r="H874" i="2"/>
  <c r="G874" i="2"/>
  <c r="D874" i="2"/>
  <c r="C874" i="2"/>
  <c r="B874" i="2"/>
  <c r="A874" i="2"/>
  <c r="H873" i="2"/>
  <c r="G873" i="2"/>
  <c r="D873" i="2"/>
  <c r="C873" i="2"/>
  <c r="B873" i="2"/>
  <c r="A873" i="2"/>
  <c r="H872" i="2"/>
  <c r="G872" i="2"/>
  <c r="D872" i="2"/>
  <c r="C872" i="2"/>
  <c r="B872" i="2"/>
  <c r="A872" i="2"/>
  <c r="H871" i="2"/>
  <c r="G871" i="2"/>
  <c r="D871" i="2"/>
  <c r="C871" i="2"/>
  <c r="B871" i="2"/>
  <c r="A871" i="2"/>
  <c r="H870" i="2"/>
  <c r="G870" i="2"/>
  <c r="D870" i="2"/>
  <c r="C870" i="2"/>
  <c r="B870" i="2"/>
  <c r="A870" i="2"/>
  <c r="H869" i="2"/>
  <c r="G869" i="2"/>
  <c r="D869" i="2"/>
  <c r="C869" i="2"/>
  <c r="B869" i="2"/>
  <c r="A869" i="2"/>
  <c r="H868" i="2"/>
  <c r="G868" i="2"/>
  <c r="D868" i="2"/>
  <c r="C868" i="2"/>
  <c r="B868" i="2"/>
  <c r="A868" i="2"/>
  <c r="H867" i="2"/>
  <c r="G867" i="2"/>
  <c r="D867" i="2"/>
  <c r="C867" i="2"/>
  <c r="B867" i="2"/>
  <c r="A867" i="2"/>
  <c r="H866" i="2"/>
  <c r="G866" i="2"/>
  <c r="D866" i="2"/>
  <c r="C866" i="2"/>
  <c r="B866" i="2"/>
  <c r="A866" i="2"/>
  <c r="H865" i="2"/>
  <c r="G865" i="2"/>
  <c r="D865" i="2"/>
  <c r="C865" i="2"/>
  <c r="B865" i="2"/>
  <c r="A865" i="2"/>
  <c r="H1661" i="2"/>
  <c r="G1661" i="2"/>
  <c r="D1661" i="2"/>
  <c r="C1661" i="2"/>
  <c r="B1661" i="2"/>
  <c r="A1661" i="2"/>
  <c r="H1660" i="2"/>
  <c r="G1660" i="2"/>
  <c r="D1660" i="2"/>
  <c r="C1660" i="2"/>
  <c r="B1660" i="2"/>
  <c r="A1660" i="2"/>
  <c r="H1659" i="2"/>
  <c r="G1659" i="2"/>
  <c r="D1659" i="2"/>
  <c r="C1659" i="2"/>
  <c r="B1659" i="2"/>
  <c r="A1659" i="2"/>
  <c r="H1658" i="2"/>
  <c r="G1658" i="2"/>
  <c r="D1658" i="2"/>
  <c r="C1658" i="2"/>
  <c r="B1658" i="2"/>
  <c r="A1658" i="2"/>
  <c r="H1657" i="2"/>
  <c r="G1657" i="2"/>
  <c r="D1657" i="2"/>
  <c r="C1657" i="2"/>
  <c r="B1657" i="2"/>
  <c r="A1657" i="2"/>
  <c r="H1686" i="2"/>
  <c r="G1686" i="2"/>
  <c r="D1686" i="2"/>
  <c r="C1686" i="2"/>
  <c r="B1686" i="2"/>
  <c r="A1686" i="2"/>
  <c r="H555" i="2"/>
  <c r="G555" i="2"/>
  <c r="D555" i="2"/>
  <c r="C555" i="2"/>
  <c r="B555" i="2"/>
  <c r="A555" i="2"/>
  <c r="H1827" i="2"/>
  <c r="G1827" i="2"/>
  <c r="D1827" i="2"/>
  <c r="C1827" i="2"/>
  <c r="B1827" i="2"/>
  <c r="A1827" i="2"/>
  <c r="H167" i="2"/>
  <c r="G167" i="2"/>
  <c r="D167" i="2"/>
  <c r="C167" i="2"/>
  <c r="B167" i="2"/>
  <c r="A167" i="2"/>
  <c r="H1826" i="2"/>
  <c r="G1826" i="2"/>
  <c r="D1826" i="2"/>
  <c r="C1826" i="2"/>
  <c r="B1826" i="2"/>
  <c r="A1826" i="2"/>
  <c r="H1772" i="2"/>
  <c r="G1772" i="2"/>
  <c r="D1772" i="2"/>
  <c r="C1772" i="2"/>
  <c r="B1772" i="2"/>
  <c r="A1772" i="2"/>
  <c r="H307" i="2"/>
  <c r="G307" i="2"/>
  <c r="D307" i="2"/>
  <c r="C307" i="2"/>
  <c r="B307" i="2"/>
  <c r="A307" i="2"/>
  <c r="H838" i="2"/>
  <c r="G838" i="2"/>
  <c r="D838" i="2"/>
  <c r="C838" i="2"/>
  <c r="B838" i="2"/>
  <c r="A838" i="2"/>
  <c r="H675" i="2"/>
  <c r="G675" i="2"/>
  <c r="D675" i="2"/>
  <c r="C675" i="2"/>
  <c r="B675" i="2"/>
  <c r="A675" i="2"/>
  <c r="H1454" i="2"/>
  <c r="G1454" i="2"/>
  <c r="D1454" i="2"/>
  <c r="C1454" i="2"/>
  <c r="B1454" i="2"/>
  <c r="A1454" i="2"/>
  <c r="H1453" i="2"/>
  <c r="G1453" i="2"/>
  <c r="D1453" i="2"/>
  <c r="C1453" i="2"/>
  <c r="B1453" i="2"/>
  <c r="A1453" i="2"/>
  <c r="H1825" i="2"/>
  <c r="G1825" i="2"/>
  <c r="D1825" i="2"/>
  <c r="C1825" i="2"/>
  <c r="B1825" i="2"/>
  <c r="A1825" i="2"/>
  <c r="H512" i="2"/>
  <c r="G512" i="2"/>
  <c r="D512" i="2"/>
  <c r="C512" i="2"/>
  <c r="B512" i="2"/>
  <c r="A512" i="2"/>
  <c r="H511" i="2"/>
  <c r="G511" i="2"/>
  <c r="D511" i="2"/>
  <c r="C511" i="2"/>
  <c r="B511" i="2"/>
  <c r="A511" i="2"/>
  <c r="H1824" i="2"/>
  <c r="G1824" i="2"/>
  <c r="D1824" i="2"/>
  <c r="C1824" i="2"/>
  <c r="B1824" i="2"/>
  <c r="A1824" i="2"/>
  <c r="H1464" i="2"/>
  <c r="G1464" i="2"/>
  <c r="D1464" i="2"/>
  <c r="C1464" i="2"/>
  <c r="B1464" i="2"/>
  <c r="A1464" i="2"/>
  <c r="H306" i="2"/>
  <c r="G306" i="2"/>
  <c r="D306" i="2"/>
  <c r="C306" i="2"/>
  <c r="B306" i="2"/>
  <c r="A306" i="2"/>
  <c r="H1771" i="2"/>
  <c r="G1771" i="2"/>
  <c r="D1771" i="2"/>
  <c r="C1771" i="2"/>
  <c r="B1771" i="2"/>
  <c r="A1771" i="2"/>
  <c r="H305" i="2"/>
  <c r="G305" i="2"/>
  <c r="D305" i="2"/>
  <c r="C305" i="2"/>
  <c r="B305" i="2"/>
  <c r="A305" i="2"/>
  <c r="H1770" i="2"/>
  <c r="G1770" i="2"/>
  <c r="D1770" i="2"/>
  <c r="C1770" i="2"/>
  <c r="B1770" i="2"/>
  <c r="A1770" i="2"/>
  <c r="H304" i="2"/>
  <c r="G304" i="2"/>
  <c r="D304" i="2"/>
  <c r="C304" i="2"/>
  <c r="B304" i="2"/>
  <c r="A304" i="2"/>
  <c r="H1769" i="2"/>
  <c r="G1769" i="2"/>
  <c r="D1769" i="2"/>
  <c r="C1769" i="2"/>
  <c r="B1769" i="2"/>
  <c r="A1769" i="2"/>
  <c r="H303" i="2"/>
  <c r="G303" i="2"/>
  <c r="D303" i="2"/>
  <c r="C303" i="2"/>
  <c r="B303" i="2"/>
  <c r="A303" i="2"/>
  <c r="H1768" i="2"/>
  <c r="G1768" i="2"/>
  <c r="D1768" i="2"/>
  <c r="C1768" i="2"/>
  <c r="B1768" i="2"/>
  <c r="A1768" i="2"/>
  <c r="H302" i="2"/>
  <c r="G302" i="2"/>
  <c r="D302" i="2"/>
  <c r="C302" i="2"/>
  <c r="B302" i="2"/>
  <c r="A302" i="2"/>
  <c r="H1767" i="2"/>
  <c r="G1767" i="2"/>
  <c r="D1767" i="2"/>
  <c r="C1767" i="2"/>
  <c r="B1767" i="2"/>
  <c r="A1767" i="2"/>
  <c r="H301" i="2"/>
  <c r="G301" i="2"/>
  <c r="D301" i="2"/>
  <c r="C301" i="2"/>
  <c r="B301" i="2"/>
  <c r="A301" i="2"/>
  <c r="H1766" i="2"/>
  <c r="G1766" i="2"/>
  <c r="D1766" i="2"/>
  <c r="C1766" i="2"/>
  <c r="B1766" i="2"/>
  <c r="A1766" i="2"/>
  <c r="H300" i="2"/>
  <c r="G300" i="2"/>
  <c r="D300" i="2"/>
  <c r="C300" i="2"/>
  <c r="B300" i="2"/>
  <c r="A300" i="2"/>
  <c r="H166" i="2"/>
  <c r="G166" i="2"/>
  <c r="D166" i="2"/>
  <c r="C166" i="2"/>
  <c r="B166" i="2"/>
  <c r="A166" i="2"/>
  <c r="H165" i="2"/>
  <c r="G165" i="2"/>
  <c r="D165" i="2"/>
  <c r="C165" i="2"/>
  <c r="B165" i="2"/>
  <c r="A165" i="2"/>
  <c r="H1452" i="2"/>
  <c r="G1452" i="2"/>
  <c r="D1452" i="2"/>
  <c r="C1452" i="2"/>
  <c r="B1452" i="2"/>
  <c r="A1452" i="2"/>
  <c r="H1685" i="2"/>
  <c r="G1685" i="2"/>
  <c r="D1685" i="2"/>
  <c r="C1685" i="2"/>
  <c r="B1685" i="2"/>
  <c r="A1685" i="2"/>
  <c r="H1656" i="2"/>
  <c r="G1656" i="2"/>
  <c r="D1656" i="2"/>
  <c r="C1656" i="2"/>
  <c r="B1656" i="2"/>
  <c r="A1656" i="2"/>
  <c r="H164" i="2"/>
  <c r="G164" i="2"/>
  <c r="D164" i="2"/>
  <c r="C164" i="2"/>
  <c r="B164" i="2"/>
  <c r="A164" i="2"/>
  <c r="H163" i="2"/>
  <c r="G163" i="2"/>
  <c r="D163" i="2"/>
  <c r="C163" i="2"/>
  <c r="B163" i="2"/>
  <c r="A163" i="2"/>
  <c r="H162" i="2"/>
  <c r="G162" i="2"/>
  <c r="D162" i="2"/>
  <c r="C162" i="2"/>
  <c r="B162" i="2"/>
  <c r="A162" i="2"/>
  <c r="H1559" i="2"/>
  <c r="G1559" i="2"/>
  <c r="D1559" i="2"/>
  <c r="C1559" i="2"/>
  <c r="B1559" i="2"/>
  <c r="A1559" i="2"/>
  <c r="H1823" i="2"/>
  <c r="G1823" i="2"/>
  <c r="D1823" i="2"/>
  <c r="C1823" i="2"/>
  <c r="B1823" i="2"/>
  <c r="A1823" i="2"/>
  <c r="H1711" i="2"/>
  <c r="G1711" i="2"/>
  <c r="D1711" i="2"/>
  <c r="C1711" i="2"/>
  <c r="B1711" i="2"/>
  <c r="A1711" i="2"/>
  <c r="H1425" i="2"/>
  <c r="G1425" i="2"/>
  <c r="D1425" i="2"/>
  <c r="C1425" i="2"/>
  <c r="B1425" i="2"/>
  <c r="A1425" i="2"/>
  <c r="H265" i="2"/>
  <c r="G265" i="2"/>
  <c r="D265" i="2"/>
  <c r="C265" i="2"/>
  <c r="B265" i="2"/>
  <c r="A265" i="2"/>
  <c r="H1424" i="2"/>
  <c r="G1424" i="2"/>
  <c r="D1424" i="2"/>
  <c r="C1424" i="2"/>
  <c r="B1424" i="2"/>
  <c r="A1424" i="2"/>
  <c r="H264" i="2"/>
  <c r="G264" i="2"/>
  <c r="D264" i="2"/>
  <c r="C264" i="2"/>
  <c r="B264" i="2"/>
  <c r="A264" i="2"/>
  <c r="H1423" i="2"/>
  <c r="G1423" i="2"/>
  <c r="D1423" i="2"/>
  <c r="C1423" i="2"/>
  <c r="B1423" i="2"/>
  <c r="A1423" i="2"/>
  <c r="H263" i="2"/>
  <c r="G263" i="2"/>
  <c r="D263" i="2"/>
  <c r="C263" i="2"/>
  <c r="B263" i="2"/>
  <c r="A263" i="2"/>
  <c r="H1422" i="2"/>
  <c r="G1422" i="2"/>
  <c r="D1422" i="2"/>
  <c r="C1422" i="2"/>
  <c r="B1422" i="2"/>
  <c r="A1422" i="2"/>
  <c r="H262" i="2"/>
  <c r="G262" i="2"/>
  <c r="D262" i="2"/>
  <c r="C262" i="2"/>
  <c r="B262" i="2"/>
  <c r="A262" i="2"/>
  <c r="H1421" i="2"/>
  <c r="G1421" i="2"/>
  <c r="D1421" i="2"/>
  <c r="C1421" i="2"/>
  <c r="B1421" i="2"/>
  <c r="A1421" i="2"/>
  <c r="H261" i="2"/>
  <c r="G261" i="2"/>
  <c r="D261" i="2"/>
  <c r="C261" i="2"/>
  <c r="B261" i="2"/>
  <c r="A261" i="2"/>
  <c r="H1420" i="2"/>
  <c r="G1420" i="2"/>
  <c r="D1420" i="2"/>
  <c r="C1420" i="2"/>
  <c r="B1420" i="2"/>
  <c r="A1420" i="2"/>
  <c r="H1419" i="2"/>
  <c r="G1419" i="2"/>
  <c r="D1419" i="2"/>
  <c r="C1419" i="2"/>
  <c r="B1419" i="2"/>
  <c r="A1419" i="2"/>
  <c r="H260" i="2"/>
  <c r="G260" i="2"/>
  <c r="D260" i="2"/>
  <c r="C260" i="2"/>
  <c r="B260" i="2"/>
  <c r="A260" i="2"/>
  <c r="H1822" i="2"/>
  <c r="G1822" i="2"/>
  <c r="D1822" i="2"/>
  <c r="C1822" i="2"/>
  <c r="B1822" i="2"/>
  <c r="A1822" i="2"/>
  <c r="H431" i="2"/>
  <c r="G431" i="2"/>
  <c r="D431" i="2"/>
  <c r="C431" i="2"/>
  <c r="B431" i="2"/>
  <c r="A431" i="2"/>
  <c r="H1786" i="2"/>
  <c r="G1786" i="2"/>
  <c r="D1786" i="2"/>
  <c r="C1786" i="2"/>
  <c r="B1786" i="2"/>
  <c r="A1786" i="2"/>
  <c r="H1785" i="2"/>
  <c r="G1785" i="2"/>
  <c r="D1785" i="2"/>
  <c r="C1785" i="2"/>
  <c r="B1785" i="2"/>
  <c r="A1785" i="2"/>
  <c r="H837" i="2"/>
  <c r="G837" i="2"/>
  <c r="D837" i="2"/>
  <c r="C837" i="2"/>
  <c r="B837" i="2"/>
  <c r="A837" i="2"/>
  <c r="H674" i="2"/>
  <c r="G674" i="2"/>
  <c r="D674" i="2"/>
  <c r="C674" i="2"/>
  <c r="B674" i="2"/>
  <c r="A674" i="2"/>
  <c r="H836" i="2"/>
  <c r="G836" i="2"/>
  <c r="D836" i="2"/>
  <c r="C836" i="2"/>
  <c r="B836" i="2"/>
  <c r="A836" i="2"/>
  <c r="H673" i="2"/>
  <c r="G673" i="2"/>
  <c r="D673" i="2"/>
  <c r="C673" i="2"/>
  <c r="B673" i="2"/>
  <c r="A673" i="2"/>
  <c r="H835" i="2"/>
  <c r="G835" i="2"/>
  <c r="D835" i="2"/>
  <c r="C835" i="2"/>
  <c r="B835" i="2"/>
  <c r="A835" i="2"/>
  <c r="H672" i="2"/>
  <c r="G672" i="2"/>
  <c r="D672" i="2"/>
  <c r="C672" i="2"/>
  <c r="B672" i="2"/>
  <c r="A672" i="2"/>
  <c r="H834" i="2"/>
  <c r="G834" i="2"/>
  <c r="D834" i="2"/>
  <c r="C834" i="2"/>
  <c r="B834" i="2"/>
  <c r="A834" i="2"/>
  <c r="H671" i="2"/>
  <c r="G671" i="2"/>
  <c r="D671" i="2"/>
  <c r="C671" i="2"/>
  <c r="B671" i="2"/>
  <c r="A671" i="2"/>
  <c r="H833" i="2"/>
  <c r="G833" i="2"/>
  <c r="D833" i="2"/>
  <c r="C833" i="2"/>
  <c r="B833" i="2"/>
  <c r="A833" i="2"/>
  <c r="H670" i="2"/>
  <c r="G670" i="2"/>
  <c r="D670" i="2"/>
  <c r="C670" i="2"/>
  <c r="B670" i="2"/>
  <c r="A670" i="2"/>
  <c r="H832" i="2"/>
  <c r="G832" i="2"/>
  <c r="D832" i="2"/>
  <c r="C832" i="2"/>
  <c r="B832" i="2"/>
  <c r="A832" i="2"/>
  <c r="H669" i="2"/>
  <c r="G669" i="2"/>
  <c r="D669" i="2"/>
  <c r="C669" i="2"/>
  <c r="B669" i="2"/>
  <c r="A669" i="2"/>
  <c r="H831" i="2"/>
  <c r="G831" i="2"/>
  <c r="D831" i="2"/>
  <c r="C831" i="2"/>
  <c r="B831" i="2"/>
  <c r="A831" i="2"/>
  <c r="H668" i="2"/>
  <c r="G668" i="2"/>
  <c r="D668" i="2"/>
  <c r="C668" i="2"/>
  <c r="B668" i="2"/>
  <c r="A668" i="2"/>
  <c r="H830" i="2"/>
  <c r="G830" i="2"/>
  <c r="D830" i="2"/>
  <c r="C830" i="2"/>
  <c r="B830" i="2"/>
  <c r="A830" i="2"/>
  <c r="H667" i="2"/>
  <c r="G667" i="2"/>
  <c r="D667" i="2"/>
  <c r="C667" i="2"/>
  <c r="B667" i="2"/>
  <c r="A667" i="2"/>
  <c r="H829" i="2"/>
  <c r="G829" i="2"/>
  <c r="D829" i="2"/>
  <c r="C829" i="2"/>
  <c r="B829" i="2"/>
  <c r="A829" i="2"/>
  <c r="H666" i="2"/>
  <c r="G666" i="2"/>
  <c r="D666" i="2"/>
  <c r="C666" i="2"/>
  <c r="B666" i="2"/>
  <c r="A666" i="2"/>
  <c r="H828" i="2"/>
  <c r="G828" i="2"/>
  <c r="D828" i="2"/>
  <c r="C828" i="2"/>
  <c r="B828" i="2"/>
  <c r="A828" i="2"/>
  <c r="H665" i="2"/>
  <c r="G665" i="2"/>
  <c r="D665" i="2"/>
  <c r="C665" i="2"/>
  <c r="B665" i="2"/>
  <c r="A665" i="2"/>
  <c r="H827" i="2"/>
  <c r="G827" i="2"/>
  <c r="D827" i="2"/>
  <c r="C827" i="2"/>
  <c r="B827" i="2"/>
  <c r="A827" i="2"/>
  <c r="H664" i="2"/>
  <c r="G664" i="2"/>
  <c r="D664" i="2"/>
  <c r="C664" i="2"/>
  <c r="B664" i="2"/>
  <c r="A664" i="2"/>
  <c r="H826" i="2"/>
  <c r="G826" i="2"/>
  <c r="D826" i="2"/>
  <c r="C826" i="2"/>
  <c r="B826" i="2"/>
  <c r="A826" i="2"/>
  <c r="H663" i="2"/>
  <c r="G663" i="2"/>
  <c r="D663" i="2"/>
  <c r="C663" i="2"/>
  <c r="B663" i="2"/>
  <c r="A663" i="2"/>
  <c r="H825" i="2"/>
  <c r="G825" i="2"/>
  <c r="D825" i="2"/>
  <c r="C825" i="2"/>
  <c r="B825" i="2"/>
  <c r="A825" i="2"/>
  <c r="H662" i="2"/>
  <c r="G662" i="2"/>
  <c r="D662" i="2"/>
  <c r="C662" i="2"/>
  <c r="B662" i="2"/>
  <c r="A662" i="2"/>
  <c r="H824" i="2"/>
  <c r="G824" i="2"/>
  <c r="D824" i="2"/>
  <c r="C824" i="2"/>
  <c r="B824" i="2"/>
  <c r="A824" i="2"/>
  <c r="H661" i="2"/>
  <c r="G661" i="2"/>
  <c r="D661" i="2"/>
  <c r="C661" i="2"/>
  <c r="B661" i="2"/>
  <c r="A661" i="2"/>
  <c r="H823" i="2"/>
  <c r="G823" i="2"/>
  <c r="D823" i="2"/>
  <c r="C823" i="2"/>
  <c r="B823" i="2"/>
  <c r="A823" i="2"/>
  <c r="H660" i="2"/>
  <c r="G660" i="2"/>
  <c r="D660" i="2"/>
  <c r="C660" i="2"/>
  <c r="B660" i="2"/>
  <c r="A660" i="2"/>
  <c r="H822" i="2"/>
  <c r="G822" i="2"/>
  <c r="D822" i="2"/>
  <c r="C822" i="2"/>
  <c r="B822" i="2"/>
  <c r="A822" i="2"/>
  <c r="H659" i="2"/>
  <c r="G659" i="2"/>
  <c r="D659" i="2"/>
  <c r="C659" i="2"/>
  <c r="B659" i="2"/>
  <c r="A659" i="2"/>
  <c r="H821" i="2"/>
  <c r="G821" i="2"/>
  <c r="D821" i="2"/>
  <c r="C821" i="2"/>
  <c r="B821" i="2"/>
  <c r="A821" i="2"/>
  <c r="H658" i="2"/>
  <c r="G658" i="2"/>
  <c r="D658" i="2"/>
  <c r="C658" i="2"/>
  <c r="B658" i="2"/>
  <c r="A658" i="2"/>
  <c r="H820" i="2"/>
  <c r="G820" i="2"/>
  <c r="D820" i="2"/>
  <c r="C820" i="2"/>
  <c r="B820" i="2"/>
  <c r="A820" i="2"/>
  <c r="H819" i="2"/>
  <c r="G819" i="2"/>
  <c r="D819" i="2"/>
  <c r="C819" i="2"/>
  <c r="B819" i="2"/>
  <c r="A819" i="2"/>
  <c r="H657" i="2"/>
  <c r="G657" i="2"/>
  <c r="D657" i="2"/>
  <c r="C657" i="2"/>
  <c r="B657" i="2"/>
  <c r="A657" i="2"/>
  <c r="H818" i="2"/>
  <c r="G818" i="2"/>
  <c r="D818" i="2"/>
  <c r="C818" i="2"/>
  <c r="B818" i="2"/>
  <c r="A818" i="2"/>
  <c r="H656" i="2"/>
  <c r="G656" i="2"/>
  <c r="D656" i="2"/>
  <c r="C656" i="2"/>
  <c r="B656" i="2"/>
  <c r="A656" i="2"/>
  <c r="H817" i="2"/>
  <c r="G817" i="2"/>
  <c r="D817" i="2"/>
  <c r="C817" i="2"/>
  <c r="B817" i="2"/>
  <c r="A817" i="2"/>
  <c r="H655" i="2"/>
  <c r="G655" i="2"/>
  <c r="D655" i="2"/>
  <c r="C655" i="2"/>
  <c r="B655" i="2"/>
  <c r="A655" i="2"/>
  <c r="H816" i="2"/>
  <c r="G816" i="2"/>
  <c r="D816" i="2"/>
  <c r="C816" i="2"/>
  <c r="B816" i="2"/>
  <c r="A816" i="2"/>
  <c r="H654" i="2"/>
  <c r="G654" i="2"/>
  <c r="D654" i="2"/>
  <c r="C654" i="2"/>
  <c r="B654" i="2"/>
  <c r="A654" i="2"/>
  <c r="H815" i="2"/>
  <c r="G815" i="2"/>
  <c r="D815" i="2"/>
  <c r="C815" i="2"/>
  <c r="B815" i="2"/>
  <c r="A815" i="2"/>
  <c r="H653" i="2"/>
  <c r="G653" i="2"/>
  <c r="D653" i="2"/>
  <c r="C653" i="2"/>
  <c r="B653" i="2"/>
  <c r="A653" i="2"/>
  <c r="H814" i="2"/>
  <c r="G814" i="2"/>
  <c r="D814" i="2"/>
  <c r="C814" i="2"/>
  <c r="B814" i="2"/>
  <c r="A814" i="2"/>
  <c r="H652" i="2"/>
  <c r="G652" i="2"/>
  <c r="D652" i="2"/>
  <c r="C652" i="2"/>
  <c r="B652" i="2"/>
  <c r="A652" i="2"/>
  <c r="H813" i="2"/>
  <c r="G813" i="2"/>
  <c r="D813" i="2"/>
  <c r="C813" i="2"/>
  <c r="B813" i="2"/>
  <c r="A813" i="2"/>
  <c r="H651" i="2"/>
  <c r="G651" i="2"/>
  <c r="D651" i="2"/>
  <c r="C651" i="2"/>
  <c r="B651" i="2"/>
  <c r="A651" i="2"/>
  <c r="H812" i="2"/>
  <c r="G812" i="2"/>
  <c r="D812" i="2"/>
  <c r="C812" i="2"/>
  <c r="B812" i="2"/>
  <c r="A812" i="2"/>
  <c r="H650" i="2"/>
  <c r="G650" i="2"/>
  <c r="D650" i="2"/>
  <c r="C650" i="2"/>
  <c r="B650" i="2"/>
  <c r="A650" i="2"/>
  <c r="H811" i="2"/>
  <c r="G811" i="2"/>
  <c r="D811" i="2"/>
  <c r="C811" i="2"/>
  <c r="B811" i="2"/>
  <c r="A811" i="2"/>
  <c r="H649" i="2"/>
  <c r="G649" i="2"/>
  <c r="D649" i="2"/>
  <c r="C649" i="2"/>
  <c r="B649" i="2"/>
  <c r="A649" i="2"/>
  <c r="H810" i="2"/>
  <c r="G810" i="2"/>
  <c r="D810" i="2"/>
  <c r="C810" i="2"/>
  <c r="B810" i="2"/>
  <c r="A810" i="2"/>
  <c r="H648" i="2"/>
  <c r="G648" i="2"/>
  <c r="D648" i="2"/>
  <c r="C648" i="2"/>
  <c r="B648" i="2"/>
  <c r="A648" i="2"/>
  <c r="H809" i="2"/>
  <c r="G809" i="2"/>
  <c r="D809" i="2"/>
  <c r="C809" i="2"/>
  <c r="B809" i="2"/>
  <c r="A809" i="2"/>
  <c r="H647" i="2"/>
  <c r="G647" i="2"/>
  <c r="D647" i="2"/>
  <c r="C647" i="2"/>
  <c r="B647" i="2"/>
  <c r="A647" i="2"/>
  <c r="H808" i="2"/>
  <c r="G808" i="2"/>
  <c r="D808" i="2"/>
  <c r="C808" i="2"/>
  <c r="B808" i="2"/>
  <c r="A808" i="2"/>
  <c r="H646" i="2"/>
  <c r="G646" i="2"/>
  <c r="D646" i="2"/>
  <c r="C646" i="2"/>
  <c r="B646" i="2"/>
  <c r="A646" i="2"/>
  <c r="H807" i="2"/>
  <c r="G807" i="2"/>
  <c r="D807" i="2"/>
  <c r="C807" i="2"/>
  <c r="B807" i="2"/>
  <c r="A807" i="2"/>
  <c r="H645" i="2"/>
  <c r="G645" i="2"/>
  <c r="D645" i="2"/>
  <c r="C645" i="2"/>
  <c r="B645" i="2"/>
  <c r="A645" i="2"/>
  <c r="H806" i="2"/>
  <c r="G806" i="2"/>
  <c r="D806" i="2"/>
  <c r="C806" i="2"/>
  <c r="B806" i="2"/>
  <c r="A806" i="2"/>
  <c r="H644" i="2"/>
  <c r="G644" i="2"/>
  <c r="D644" i="2"/>
  <c r="C644" i="2"/>
  <c r="B644" i="2"/>
  <c r="A644" i="2"/>
  <c r="H805" i="2"/>
  <c r="G805" i="2"/>
  <c r="D805" i="2"/>
  <c r="C805" i="2"/>
  <c r="B805" i="2"/>
  <c r="A805" i="2"/>
  <c r="H643" i="2"/>
  <c r="G643" i="2"/>
  <c r="D643" i="2"/>
  <c r="C643" i="2"/>
  <c r="B643" i="2"/>
  <c r="A643" i="2"/>
  <c r="H804" i="2"/>
  <c r="G804" i="2"/>
  <c r="D804" i="2"/>
  <c r="C804" i="2"/>
  <c r="B804" i="2"/>
  <c r="A804" i="2"/>
  <c r="H642" i="2"/>
  <c r="G642" i="2"/>
  <c r="D642" i="2"/>
  <c r="C642" i="2"/>
  <c r="B642" i="2"/>
  <c r="A642" i="2"/>
  <c r="H803" i="2"/>
  <c r="G803" i="2"/>
  <c r="D803" i="2"/>
  <c r="C803" i="2"/>
  <c r="B803" i="2"/>
  <c r="A803" i="2"/>
  <c r="H641" i="2"/>
  <c r="G641" i="2"/>
  <c r="D641" i="2"/>
  <c r="C641" i="2"/>
  <c r="B641" i="2"/>
  <c r="A641" i="2"/>
  <c r="H802" i="2"/>
  <c r="G802" i="2"/>
  <c r="D802" i="2"/>
  <c r="C802" i="2"/>
  <c r="B802" i="2"/>
  <c r="A802" i="2"/>
  <c r="H640" i="2"/>
  <c r="G640" i="2"/>
  <c r="D640" i="2"/>
  <c r="C640" i="2"/>
  <c r="B640" i="2"/>
  <c r="A640" i="2"/>
  <c r="H801" i="2"/>
  <c r="G801" i="2"/>
  <c r="D801" i="2"/>
  <c r="C801" i="2"/>
  <c r="B801" i="2"/>
  <c r="A801" i="2"/>
  <c r="H639" i="2"/>
  <c r="G639" i="2"/>
  <c r="D639" i="2"/>
  <c r="C639" i="2"/>
  <c r="B639" i="2"/>
  <c r="A639" i="2"/>
  <c r="H800" i="2"/>
  <c r="G800" i="2"/>
  <c r="D800" i="2"/>
  <c r="C800" i="2"/>
  <c r="B800" i="2"/>
  <c r="A800" i="2"/>
  <c r="H638" i="2"/>
  <c r="G638" i="2"/>
  <c r="D638" i="2"/>
  <c r="C638" i="2"/>
  <c r="B638" i="2"/>
  <c r="A638" i="2"/>
  <c r="H799" i="2"/>
  <c r="G799" i="2"/>
  <c r="D799" i="2"/>
  <c r="C799" i="2"/>
  <c r="B799" i="2"/>
  <c r="A799" i="2"/>
  <c r="H637" i="2"/>
  <c r="G637" i="2"/>
  <c r="D637" i="2"/>
  <c r="C637" i="2"/>
  <c r="B637" i="2"/>
  <c r="A637" i="2"/>
  <c r="H798" i="2"/>
  <c r="G798" i="2"/>
  <c r="D798" i="2"/>
  <c r="C798" i="2"/>
  <c r="B798" i="2"/>
  <c r="A798" i="2"/>
  <c r="H636" i="2"/>
  <c r="G636" i="2"/>
  <c r="D636" i="2"/>
  <c r="C636" i="2"/>
  <c r="B636" i="2"/>
  <c r="A636" i="2"/>
  <c r="H797" i="2"/>
  <c r="G797" i="2"/>
  <c r="D797" i="2"/>
  <c r="C797" i="2"/>
  <c r="B797" i="2"/>
  <c r="A797" i="2"/>
  <c r="H635" i="2"/>
  <c r="G635" i="2"/>
  <c r="D635" i="2"/>
  <c r="C635" i="2"/>
  <c r="B635" i="2"/>
  <c r="A635" i="2"/>
  <c r="H796" i="2"/>
  <c r="G796" i="2"/>
  <c r="D796" i="2"/>
  <c r="C796" i="2"/>
  <c r="B796" i="2"/>
  <c r="A796" i="2"/>
  <c r="H634" i="2"/>
  <c r="G634" i="2"/>
  <c r="D634" i="2"/>
  <c r="C634" i="2"/>
  <c r="B634" i="2"/>
  <c r="A634" i="2"/>
  <c r="H795" i="2"/>
  <c r="G795" i="2"/>
  <c r="D795" i="2"/>
  <c r="C795" i="2"/>
  <c r="B795" i="2"/>
  <c r="A795" i="2"/>
  <c r="H633" i="2"/>
  <c r="G633" i="2"/>
  <c r="D633" i="2"/>
  <c r="C633" i="2"/>
  <c r="B633" i="2"/>
  <c r="A633" i="2"/>
  <c r="H794" i="2"/>
  <c r="G794" i="2"/>
  <c r="D794" i="2"/>
  <c r="C794" i="2"/>
  <c r="B794" i="2"/>
  <c r="A794" i="2"/>
  <c r="H632" i="2"/>
  <c r="G632" i="2"/>
  <c r="D632" i="2"/>
  <c r="C632" i="2"/>
  <c r="B632" i="2"/>
  <c r="A632" i="2"/>
  <c r="H793" i="2"/>
  <c r="G793" i="2"/>
  <c r="D793" i="2"/>
  <c r="C793" i="2"/>
  <c r="B793" i="2"/>
  <c r="A793" i="2"/>
  <c r="H631" i="2"/>
  <c r="G631" i="2"/>
  <c r="D631" i="2"/>
  <c r="C631" i="2"/>
  <c r="B631" i="2"/>
  <c r="A631" i="2"/>
  <c r="H792" i="2"/>
  <c r="G792" i="2"/>
  <c r="D792" i="2"/>
  <c r="C792" i="2"/>
  <c r="B792" i="2"/>
  <c r="A792" i="2"/>
  <c r="H630" i="2"/>
  <c r="G630" i="2"/>
  <c r="D630" i="2"/>
  <c r="C630" i="2"/>
  <c r="B630" i="2"/>
  <c r="A630" i="2"/>
  <c r="H791" i="2"/>
  <c r="G791" i="2"/>
  <c r="D791" i="2"/>
  <c r="C791" i="2"/>
  <c r="B791" i="2"/>
  <c r="A791" i="2"/>
  <c r="H629" i="2"/>
  <c r="G629" i="2"/>
  <c r="D629" i="2"/>
  <c r="C629" i="2"/>
  <c r="B629" i="2"/>
  <c r="A629" i="2"/>
  <c r="H790" i="2"/>
  <c r="G790" i="2"/>
  <c r="D790" i="2"/>
  <c r="C790" i="2"/>
  <c r="B790" i="2"/>
  <c r="A790" i="2"/>
  <c r="H628" i="2"/>
  <c r="G628" i="2"/>
  <c r="D628" i="2"/>
  <c r="C628" i="2"/>
  <c r="B628" i="2"/>
  <c r="A628" i="2"/>
  <c r="H789" i="2"/>
  <c r="G789" i="2"/>
  <c r="D789" i="2"/>
  <c r="C789" i="2"/>
  <c r="B789" i="2"/>
  <c r="A789" i="2"/>
  <c r="H627" i="2"/>
  <c r="G627" i="2"/>
  <c r="D627" i="2"/>
  <c r="C627" i="2"/>
  <c r="B627" i="2"/>
  <c r="A627" i="2"/>
  <c r="H788" i="2"/>
  <c r="G788" i="2"/>
  <c r="D788" i="2"/>
  <c r="C788" i="2"/>
  <c r="B788" i="2"/>
  <c r="A788" i="2"/>
  <c r="H626" i="2"/>
  <c r="G626" i="2"/>
  <c r="D626" i="2"/>
  <c r="C626" i="2"/>
  <c r="B626" i="2"/>
  <c r="A626" i="2"/>
  <c r="H787" i="2"/>
  <c r="G787" i="2"/>
  <c r="D787" i="2"/>
  <c r="C787" i="2"/>
  <c r="B787" i="2"/>
  <c r="A787" i="2"/>
  <c r="H625" i="2"/>
  <c r="G625" i="2"/>
  <c r="D625" i="2"/>
  <c r="C625" i="2"/>
  <c r="B625" i="2"/>
  <c r="A625" i="2"/>
  <c r="H786" i="2"/>
  <c r="G786" i="2"/>
  <c r="D786" i="2"/>
  <c r="C786" i="2"/>
  <c r="B786" i="2"/>
  <c r="A786" i="2"/>
  <c r="H785" i="2"/>
  <c r="G785" i="2"/>
  <c r="D785" i="2"/>
  <c r="C785" i="2"/>
  <c r="B785" i="2"/>
  <c r="A785" i="2"/>
  <c r="H784" i="2"/>
  <c r="G784" i="2"/>
  <c r="D784" i="2"/>
  <c r="C784" i="2"/>
  <c r="B784" i="2"/>
  <c r="A784" i="2"/>
  <c r="H783" i="2"/>
  <c r="G783" i="2"/>
  <c r="D783" i="2"/>
  <c r="C783" i="2"/>
  <c r="B783" i="2"/>
  <c r="A783" i="2"/>
  <c r="H782" i="2"/>
  <c r="G782" i="2"/>
  <c r="D782" i="2"/>
  <c r="C782" i="2"/>
  <c r="B782" i="2"/>
  <c r="A782" i="2"/>
  <c r="H781" i="2"/>
  <c r="G781" i="2"/>
  <c r="D781" i="2"/>
  <c r="C781" i="2"/>
  <c r="B781" i="2"/>
  <c r="A781" i="2"/>
  <c r="H780" i="2"/>
  <c r="G780" i="2"/>
  <c r="D780" i="2"/>
  <c r="C780" i="2"/>
  <c r="B780" i="2"/>
  <c r="A780" i="2"/>
  <c r="H779" i="2"/>
  <c r="G779" i="2"/>
  <c r="D779" i="2"/>
  <c r="C779" i="2"/>
  <c r="B779" i="2"/>
  <c r="A779" i="2"/>
  <c r="H778" i="2"/>
  <c r="G778" i="2"/>
  <c r="D778" i="2"/>
  <c r="C778" i="2"/>
  <c r="B778" i="2"/>
  <c r="A778" i="2"/>
  <c r="H777" i="2"/>
  <c r="G777" i="2"/>
  <c r="D777" i="2"/>
  <c r="C777" i="2"/>
  <c r="B777" i="2"/>
  <c r="A777" i="2"/>
  <c r="H776" i="2"/>
  <c r="G776" i="2"/>
  <c r="D776" i="2"/>
  <c r="C776" i="2"/>
  <c r="B776" i="2"/>
  <c r="A776" i="2"/>
  <c r="H775" i="2"/>
  <c r="G775" i="2"/>
  <c r="D775" i="2"/>
  <c r="C775" i="2"/>
  <c r="B775" i="2"/>
  <c r="A775" i="2"/>
  <c r="H774" i="2"/>
  <c r="G774" i="2"/>
  <c r="D774" i="2"/>
  <c r="C774" i="2"/>
  <c r="B774" i="2"/>
  <c r="A774" i="2"/>
  <c r="H773" i="2"/>
  <c r="G773" i="2"/>
  <c r="D773" i="2"/>
  <c r="C773" i="2"/>
  <c r="B773" i="2"/>
  <c r="A773" i="2"/>
  <c r="H1655" i="2"/>
  <c r="G1655" i="2"/>
  <c r="D1655" i="2"/>
  <c r="C1655" i="2"/>
  <c r="B1655" i="2"/>
  <c r="A1655" i="2"/>
  <c r="H66" i="2"/>
  <c r="G66" i="2"/>
  <c r="D66" i="2"/>
  <c r="C66" i="2"/>
  <c r="B66" i="2"/>
  <c r="A66" i="2"/>
  <c r="H65" i="2"/>
  <c r="G65" i="2"/>
  <c r="D65" i="2"/>
  <c r="C65" i="2"/>
  <c r="B65" i="2"/>
  <c r="A65" i="2"/>
  <c r="H64" i="2"/>
  <c r="G64" i="2"/>
  <c r="D64" i="2"/>
  <c r="C64" i="2"/>
  <c r="B64" i="2"/>
  <c r="A64" i="2"/>
  <c r="H63" i="2"/>
  <c r="G63" i="2"/>
  <c r="D63" i="2"/>
  <c r="C63" i="2"/>
  <c r="B63" i="2"/>
  <c r="A63" i="2"/>
  <c r="H62" i="2"/>
  <c r="G62" i="2"/>
  <c r="D62" i="2"/>
  <c r="C62" i="2"/>
  <c r="B62" i="2"/>
  <c r="A62" i="2"/>
  <c r="H1516" i="2"/>
  <c r="G1516" i="2"/>
  <c r="D1516" i="2"/>
  <c r="C1516" i="2"/>
  <c r="B1516" i="2"/>
  <c r="A1516" i="2"/>
  <c r="H412" i="2"/>
  <c r="G412" i="2"/>
  <c r="D412" i="2"/>
  <c r="C412" i="2"/>
  <c r="B412" i="2"/>
  <c r="A412" i="2"/>
  <c r="H522" i="2"/>
  <c r="G522" i="2"/>
  <c r="D522" i="2"/>
  <c r="C522" i="2"/>
  <c r="B522" i="2"/>
  <c r="A522" i="2"/>
  <c r="H411" i="2"/>
  <c r="G411" i="2"/>
  <c r="D411" i="2"/>
  <c r="C411" i="2"/>
  <c r="B411" i="2"/>
  <c r="A411" i="2"/>
  <c r="H288" i="2"/>
  <c r="G288" i="2"/>
  <c r="D288" i="2"/>
  <c r="C288" i="2"/>
  <c r="B288" i="2"/>
  <c r="A288" i="2"/>
  <c r="H1474" i="2"/>
  <c r="G1474" i="2"/>
  <c r="D1474" i="2"/>
  <c r="C1474" i="2"/>
  <c r="B1474" i="2"/>
  <c r="A1474" i="2"/>
  <c r="H1473" i="2"/>
  <c r="G1473" i="2"/>
  <c r="D1473" i="2"/>
  <c r="C1473" i="2"/>
  <c r="B1473" i="2"/>
  <c r="A1473" i="2"/>
  <c r="H1765" i="2"/>
  <c r="G1765" i="2"/>
  <c r="D1765" i="2"/>
  <c r="C1765" i="2"/>
  <c r="B1765" i="2"/>
  <c r="A1765" i="2"/>
  <c r="H510" i="2"/>
  <c r="G510" i="2"/>
  <c r="D510" i="2"/>
  <c r="C510" i="2"/>
  <c r="B510" i="2"/>
  <c r="A510" i="2"/>
  <c r="H1744" i="2"/>
  <c r="G1744" i="2"/>
  <c r="D1744" i="2"/>
  <c r="C1744" i="2"/>
  <c r="B1744" i="2"/>
  <c r="A1744" i="2"/>
  <c r="H1764" i="2"/>
  <c r="G1764" i="2"/>
  <c r="D1764" i="2"/>
  <c r="C1764" i="2"/>
  <c r="B1764" i="2"/>
  <c r="A1764" i="2"/>
  <c r="H299" i="2"/>
  <c r="G299" i="2"/>
  <c r="D299" i="2"/>
  <c r="C299" i="2"/>
  <c r="B299" i="2"/>
  <c r="A299" i="2"/>
  <c r="H1743" i="2"/>
  <c r="G1743" i="2"/>
  <c r="D1743" i="2"/>
  <c r="C1743" i="2"/>
  <c r="B1743" i="2"/>
  <c r="A1743" i="2"/>
  <c r="H1515" i="2"/>
  <c r="G1515" i="2"/>
  <c r="D1515" i="2"/>
  <c r="C1515" i="2"/>
  <c r="B1515" i="2"/>
  <c r="A1515" i="2"/>
  <c r="H410" i="2"/>
  <c r="G410" i="2"/>
  <c r="D410" i="2"/>
  <c r="C410" i="2"/>
  <c r="B410" i="2"/>
  <c r="A410" i="2"/>
  <c r="H1763" i="2"/>
  <c r="G1763" i="2"/>
  <c r="D1763" i="2"/>
  <c r="C1763" i="2"/>
  <c r="B1763" i="2"/>
  <c r="A1763" i="2"/>
  <c r="H298" i="2"/>
  <c r="G298" i="2"/>
  <c r="D298" i="2"/>
  <c r="C298" i="2"/>
  <c r="B298" i="2"/>
  <c r="A298" i="2"/>
  <c r="H317" i="2"/>
  <c r="G317" i="2"/>
  <c r="D317" i="2"/>
  <c r="C317" i="2"/>
  <c r="B317" i="2"/>
  <c r="A317" i="2"/>
  <c r="H287" i="2"/>
  <c r="G287" i="2"/>
  <c r="D287" i="2"/>
  <c r="C287" i="2"/>
  <c r="B287" i="2"/>
  <c r="A287" i="2"/>
  <c r="H509" i="2"/>
  <c r="G509" i="2"/>
  <c r="D509" i="2"/>
  <c r="C509" i="2"/>
  <c r="B509" i="2"/>
  <c r="A509" i="2"/>
  <c r="H521" i="2"/>
  <c r="G521" i="2"/>
  <c r="D521" i="2"/>
  <c r="C521" i="2"/>
  <c r="B521" i="2"/>
  <c r="A521" i="2"/>
  <c r="H409" i="2"/>
  <c r="G409" i="2"/>
  <c r="D409" i="2"/>
  <c r="C409" i="2"/>
  <c r="B409" i="2"/>
  <c r="A409" i="2"/>
  <c r="H61" i="2"/>
  <c r="G61" i="2"/>
  <c r="D61" i="2"/>
  <c r="C61" i="2"/>
  <c r="B61" i="2"/>
  <c r="A61" i="2"/>
  <c r="H60" i="2"/>
  <c r="G60" i="2"/>
  <c r="D60" i="2"/>
  <c r="C60" i="2"/>
  <c r="B60" i="2"/>
  <c r="A60" i="2"/>
  <c r="H508" i="2"/>
  <c r="G508" i="2"/>
  <c r="D508" i="2"/>
  <c r="C508" i="2"/>
  <c r="B508" i="2"/>
  <c r="A508" i="2"/>
  <c r="H1514" i="2"/>
  <c r="G1514" i="2"/>
  <c r="D1514" i="2"/>
  <c r="C1514" i="2"/>
  <c r="B1514" i="2"/>
  <c r="A1514" i="2"/>
  <c r="H408" i="2"/>
  <c r="G408" i="2"/>
  <c r="D408" i="2"/>
  <c r="C408" i="2"/>
  <c r="B408" i="2"/>
  <c r="A408" i="2"/>
  <c r="H507" i="2"/>
  <c r="G507" i="2"/>
  <c r="D507" i="2"/>
  <c r="C507" i="2"/>
  <c r="B507" i="2"/>
  <c r="A507" i="2"/>
  <c r="H506" i="2"/>
  <c r="G506" i="2"/>
  <c r="D506" i="2"/>
  <c r="C506" i="2"/>
  <c r="B506" i="2"/>
  <c r="A506" i="2"/>
  <c r="H554" i="2"/>
  <c r="G554" i="2"/>
  <c r="D554" i="2"/>
  <c r="C554" i="2"/>
  <c r="B554" i="2"/>
  <c r="A554" i="2"/>
  <c r="H553" i="2"/>
  <c r="G553" i="2"/>
  <c r="D553" i="2"/>
  <c r="C553" i="2"/>
  <c r="B553" i="2"/>
  <c r="A553" i="2"/>
  <c r="H1513" i="2"/>
  <c r="G1513" i="2"/>
  <c r="D1513" i="2"/>
  <c r="C1513" i="2"/>
  <c r="B1513" i="2"/>
  <c r="A1513" i="2"/>
  <c r="H407" i="2"/>
  <c r="G407" i="2"/>
  <c r="D407" i="2"/>
  <c r="C407" i="2"/>
  <c r="B407" i="2"/>
  <c r="A407" i="2"/>
  <c r="H1512" i="2"/>
  <c r="G1512" i="2"/>
  <c r="D1512" i="2"/>
  <c r="C1512" i="2"/>
  <c r="B1512" i="2"/>
  <c r="A1512" i="2"/>
  <c r="H406" i="2"/>
  <c r="G406" i="2"/>
  <c r="D406" i="2"/>
  <c r="C406" i="2"/>
  <c r="B406" i="2"/>
  <c r="A406" i="2"/>
  <c r="H1463" i="2"/>
  <c r="G1463" i="2"/>
  <c r="D1463" i="2"/>
  <c r="C1463" i="2"/>
  <c r="B1463" i="2"/>
  <c r="A1463" i="2"/>
  <c r="H297" i="2"/>
  <c r="G297" i="2"/>
  <c r="D297" i="2"/>
  <c r="C297" i="2"/>
  <c r="B297" i="2"/>
  <c r="A297" i="2"/>
  <c r="H552" i="2"/>
  <c r="G552" i="2"/>
  <c r="D552" i="2"/>
  <c r="C552" i="2"/>
  <c r="B552" i="2"/>
  <c r="A552" i="2"/>
  <c r="H430" i="2"/>
  <c r="G430" i="2"/>
  <c r="D430" i="2"/>
  <c r="C430" i="2"/>
  <c r="B430" i="2"/>
  <c r="A430" i="2"/>
  <c r="H286" i="2"/>
  <c r="G286" i="2"/>
  <c r="D286" i="2"/>
  <c r="C286" i="2"/>
  <c r="B286" i="2"/>
  <c r="A286" i="2"/>
  <c r="H285" i="2"/>
  <c r="G285" i="2"/>
  <c r="D285" i="2"/>
  <c r="C285" i="2"/>
  <c r="B285" i="2"/>
  <c r="A285" i="2"/>
  <c r="H1436" i="2"/>
  <c r="G1436" i="2"/>
  <c r="D1436" i="2"/>
  <c r="C1436" i="2"/>
  <c r="B1436" i="2"/>
  <c r="A1436" i="2"/>
  <c r="H1435" i="2"/>
  <c r="G1435" i="2"/>
  <c r="D1435" i="2"/>
  <c r="C1435" i="2"/>
  <c r="B1435" i="2"/>
  <c r="A1435" i="2"/>
  <c r="H505" i="2"/>
  <c r="G505" i="2"/>
  <c r="D505" i="2"/>
  <c r="C505" i="2"/>
  <c r="B505" i="2"/>
  <c r="A505" i="2"/>
  <c r="H284" i="2"/>
  <c r="G284" i="2"/>
  <c r="D284" i="2"/>
  <c r="C284" i="2"/>
  <c r="B284" i="2"/>
  <c r="A284" i="2"/>
  <c r="H1434" i="2"/>
  <c r="G1434" i="2"/>
  <c r="D1434" i="2"/>
  <c r="C1434" i="2"/>
  <c r="B1434" i="2"/>
  <c r="A1434" i="2"/>
  <c r="H1433" i="2"/>
  <c r="G1433" i="2"/>
  <c r="D1433" i="2"/>
  <c r="C1433" i="2"/>
  <c r="B1433" i="2"/>
  <c r="A1433" i="2"/>
  <c r="H504" i="2"/>
  <c r="G504" i="2"/>
  <c r="D504" i="2"/>
  <c r="C504" i="2"/>
  <c r="B504" i="2"/>
  <c r="A504" i="2"/>
  <c r="H503" i="2"/>
  <c r="G503" i="2"/>
  <c r="D503" i="2"/>
  <c r="C503" i="2"/>
  <c r="B503" i="2"/>
  <c r="A503" i="2"/>
  <c r="H1654" i="2"/>
  <c r="G1654" i="2"/>
  <c r="D1654" i="2"/>
  <c r="C1654" i="2"/>
  <c r="B1654" i="2"/>
  <c r="A1654" i="2"/>
  <c r="H1653" i="2"/>
  <c r="G1653" i="2"/>
  <c r="D1653" i="2"/>
  <c r="C1653" i="2"/>
  <c r="B1653" i="2"/>
  <c r="A1653" i="2"/>
  <c r="H1652" i="2"/>
  <c r="G1652" i="2"/>
  <c r="D1652" i="2"/>
  <c r="C1652" i="2"/>
  <c r="B1652" i="2"/>
  <c r="A1652" i="2"/>
  <c r="H1651" i="2"/>
  <c r="G1651" i="2"/>
  <c r="D1651" i="2"/>
  <c r="C1651" i="2"/>
  <c r="B1651" i="2"/>
  <c r="A1651" i="2"/>
  <c r="H1650" i="2"/>
  <c r="G1650" i="2"/>
  <c r="D1650" i="2"/>
  <c r="C1650" i="2"/>
  <c r="B1650" i="2"/>
  <c r="A1650" i="2"/>
  <c r="H1649" i="2"/>
  <c r="G1649" i="2"/>
  <c r="D1649" i="2"/>
  <c r="C1649" i="2"/>
  <c r="B1649" i="2"/>
  <c r="A1649" i="2"/>
  <c r="H1648" i="2"/>
  <c r="G1648" i="2"/>
  <c r="D1648" i="2"/>
  <c r="C1648" i="2"/>
  <c r="B1648" i="2"/>
  <c r="A1648" i="2"/>
  <c r="H1647" i="2"/>
  <c r="G1647" i="2"/>
  <c r="D1647" i="2"/>
  <c r="C1647" i="2"/>
  <c r="B1647" i="2"/>
  <c r="A1647" i="2"/>
  <c r="H1646" i="2"/>
  <c r="G1646" i="2"/>
  <c r="D1646" i="2"/>
  <c r="C1646" i="2"/>
  <c r="B1646" i="2"/>
  <c r="A1646" i="2"/>
  <c r="H1645" i="2"/>
  <c r="G1645" i="2"/>
  <c r="D1645" i="2"/>
  <c r="C1645" i="2"/>
  <c r="B1645" i="2"/>
  <c r="A1645" i="2"/>
  <c r="H1644" i="2"/>
  <c r="G1644" i="2"/>
  <c r="D1644" i="2"/>
  <c r="C1644" i="2"/>
  <c r="B1644" i="2"/>
  <c r="A1644" i="2"/>
  <c r="H1762" i="2"/>
  <c r="G1762" i="2"/>
  <c r="D1762" i="2"/>
  <c r="C1762" i="2"/>
  <c r="B1762" i="2"/>
  <c r="A1762" i="2"/>
  <c r="H1761" i="2"/>
  <c r="G1761" i="2"/>
  <c r="D1761" i="2"/>
  <c r="C1761" i="2"/>
  <c r="B1761" i="2"/>
  <c r="A1761" i="2"/>
  <c r="H283" i="2"/>
  <c r="G283" i="2"/>
  <c r="D283" i="2"/>
  <c r="C283" i="2"/>
  <c r="B283" i="2"/>
  <c r="A283" i="2"/>
  <c r="H282" i="2"/>
  <c r="G282" i="2"/>
  <c r="D282" i="2"/>
  <c r="C282" i="2"/>
  <c r="B282" i="2"/>
  <c r="A282" i="2"/>
  <c r="H1511" i="2"/>
  <c r="G1511" i="2"/>
  <c r="D1511" i="2"/>
  <c r="C1511" i="2"/>
  <c r="B1511" i="2"/>
  <c r="A1511" i="2"/>
  <c r="H405" i="2"/>
  <c r="G405" i="2"/>
  <c r="D405" i="2"/>
  <c r="C405" i="2"/>
  <c r="B405" i="2"/>
  <c r="A405" i="2"/>
  <c r="H1409" i="2"/>
  <c r="G1409" i="2"/>
  <c r="D1409" i="2"/>
  <c r="C1409" i="2"/>
  <c r="B1409" i="2"/>
  <c r="A1409" i="2"/>
  <c r="H310" i="2"/>
  <c r="G310" i="2"/>
  <c r="D310" i="2"/>
  <c r="C310" i="2"/>
  <c r="B310" i="2"/>
  <c r="A310" i="2"/>
  <c r="H1510" i="2"/>
  <c r="G1510" i="2"/>
  <c r="D1510" i="2"/>
  <c r="C1510" i="2"/>
  <c r="B1510" i="2"/>
  <c r="A1510" i="2"/>
  <c r="H404" i="2"/>
  <c r="G404" i="2"/>
  <c r="D404" i="2"/>
  <c r="C404" i="2"/>
  <c r="B404" i="2"/>
  <c r="A404" i="2"/>
  <c r="H1509" i="2"/>
  <c r="G1509" i="2"/>
  <c r="D1509" i="2"/>
  <c r="C1509" i="2"/>
  <c r="B1509" i="2"/>
  <c r="A1509" i="2"/>
  <c r="H403" i="2"/>
  <c r="G403" i="2"/>
  <c r="D403" i="2"/>
  <c r="C403" i="2"/>
  <c r="B403" i="2"/>
  <c r="A403" i="2"/>
  <c r="H1508" i="2"/>
  <c r="G1508" i="2"/>
  <c r="D1508" i="2"/>
  <c r="C1508" i="2"/>
  <c r="B1508" i="2"/>
  <c r="A1508" i="2"/>
  <c r="H402" i="2"/>
  <c r="G402" i="2"/>
  <c r="D402" i="2"/>
  <c r="C402" i="2"/>
  <c r="B402" i="2"/>
  <c r="A402" i="2"/>
  <c r="H1507" i="2"/>
  <c r="G1507" i="2"/>
  <c r="D1507" i="2"/>
  <c r="C1507" i="2"/>
  <c r="B1507" i="2"/>
  <c r="A1507" i="2"/>
  <c r="H401" i="2"/>
  <c r="G401" i="2"/>
  <c r="D401" i="2"/>
  <c r="C401" i="2"/>
  <c r="B401" i="2"/>
  <c r="A401" i="2"/>
  <c r="H1506" i="2"/>
  <c r="G1506" i="2"/>
  <c r="D1506" i="2"/>
  <c r="C1506" i="2"/>
  <c r="B1506" i="2"/>
  <c r="A1506" i="2"/>
  <c r="H400" i="2"/>
  <c r="G400" i="2"/>
  <c r="D400" i="2"/>
  <c r="C400" i="2"/>
  <c r="B400" i="2"/>
  <c r="A400" i="2"/>
  <c r="H1432" i="2"/>
  <c r="G1432" i="2"/>
  <c r="D1432" i="2"/>
  <c r="C1432" i="2"/>
  <c r="B1432" i="2"/>
  <c r="A1432" i="2"/>
  <c r="H1431" i="2"/>
  <c r="G1431" i="2"/>
  <c r="D1431" i="2"/>
  <c r="C1431" i="2"/>
  <c r="B1431" i="2"/>
  <c r="A1431" i="2"/>
  <c r="H1430" i="2"/>
  <c r="G1430" i="2"/>
  <c r="D1430" i="2"/>
  <c r="C1430" i="2"/>
  <c r="B1430" i="2"/>
  <c r="A1430" i="2"/>
  <c r="H1429" i="2"/>
  <c r="G1429" i="2"/>
  <c r="D1429" i="2"/>
  <c r="C1429" i="2"/>
  <c r="B1429" i="2"/>
  <c r="A1429" i="2"/>
  <c r="H502" i="2"/>
  <c r="G502" i="2"/>
  <c r="D502" i="2"/>
  <c r="C502" i="2"/>
  <c r="B502" i="2"/>
  <c r="A502" i="2"/>
  <c r="H278" i="2"/>
  <c r="G278" i="2"/>
  <c r="D278" i="2"/>
  <c r="C278" i="2"/>
  <c r="B278" i="2"/>
  <c r="A278" i="2"/>
  <c r="H277" i="2"/>
  <c r="G277" i="2"/>
  <c r="D277" i="2"/>
  <c r="C277" i="2"/>
  <c r="B277" i="2"/>
  <c r="A277" i="2"/>
  <c r="H1505" i="2"/>
  <c r="G1505" i="2"/>
  <c r="D1505" i="2"/>
  <c r="C1505" i="2"/>
  <c r="B1505" i="2"/>
  <c r="A1505" i="2"/>
  <c r="H399" i="2"/>
  <c r="G399" i="2"/>
  <c r="D399" i="2"/>
  <c r="C399" i="2"/>
  <c r="B399" i="2"/>
  <c r="A399" i="2"/>
  <c r="H1504" i="2"/>
  <c r="G1504" i="2"/>
  <c r="D1504" i="2"/>
  <c r="C1504" i="2"/>
  <c r="B1504" i="2"/>
  <c r="A1504" i="2"/>
  <c r="H398" i="2"/>
  <c r="G398" i="2"/>
  <c r="D398" i="2"/>
  <c r="C398" i="2"/>
  <c r="B398" i="2"/>
  <c r="A398" i="2"/>
  <c r="H1503" i="2"/>
  <c r="G1503" i="2"/>
  <c r="D1503" i="2"/>
  <c r="C1503" i="2"/>
  <c r="B1503" i="2"/>
  <c r="A1503" i="2"/>
  <c r="H397" i="2"/>
  <c r="G397" i="2"/>
  <c r="D397" i="2"/>
  <c r="C397" i="2"/>
  <c r="B397" i="2"/>
  <c r="A397" i="2"/>
  <c r="H551" i="2"/>
  <c r="G551" i="2"/>
  <c r="D551" i="2"/>
  <c r="C551" i="2"/>
  <c r="B551" i="2"/>
  <c r="A551" i="2"/>
  <c r="H550" i="2"/>
  <c r="G550" i="2"/>
  <c r="D550" i="2"/>
  <c r="C550" i="2"/>
  <c r="B550" i="2"/>
  <c r="A550" i="2"/>
  <c r="H1502" i="2"/>
  <c r="G1502" i="2"/>
  <c r="D1502" i="2"/>
  <c r="C1502" i="2"/>
  <c r="B1502" i="2"/>
  <c r="A1502" i="2"/>
  <c r="H396" i="2"/>
  <c r="G396" i="2"/>
  <c r="D396" i="2"/>
  <c r="C396" i="2"/>
  <c r="B396" i="2"/>
  <c r="A396" i="2"/>
  <c r="H1561" i="2"/>
  <c r="G1561" i="2"/>
  <c r="D1561" i="2"/>
  <c r="C1561" i="2"/>
  <c r="B1561" i="2"/>
  <c r="A1561" i="2"/>
  <c r="H1560" i="2"/>
  <c r="G1560" i="2"/>
  <c r="D1560" i="2"/>
  <c r="C1560" i="2"/>
  <c r="B1560" i="2"/>
  <c r="A1560" i="2"/>
  <c r="H1501" i="2"/>
  <c r="G1501" i="2"/>
  <c r="D1501" i="2"/>
  <c r="C1501" i="2"/>
  <c r="B1501" i="2"/>
  <c r="A1501" i="2"/>
  <c r="H395" i="2"/>
  <c r="G395" i="2"/>
  <c r="D395" i="2"/>
  <c r="C395" i="2"/>
  <c r="B395" i="2"/>
  <c r="A395" i="2"/>
  <c r="H1643" i="2"/>
  <c r="G1643" i="2"/>
  <c r="D1643" i="2"/>
  <c r="C1643" i="2"/>
  <c r="B1643" i="2"/>
  <c r="A1643" i="2"/>
  <c r="H1642" i="2"/>
  <c r="G1642" i="2"/>
  <c r="D1642" i="2"/>
  <c r="C1642" i="2"/>
  <c r="B1642" i="2"/>
  <c r="A1642" i="2"/>
  <c r="H1641" i="2"/>
  <c r="G1641" i="2"/>
  <c r="D1641" i="2"/>
  <c r="C1641" i="2"/>
  <c r="B1641" i="2"/>
  <c r="A1641" i="2"/>
  <c r="H1640" i="2"/>
  <c r="G1640" i="2"/>
  <c r="D1640" i="2"/>
  <c r="C1640" i="2"/>
  <c r="B1640" i="2"/>
  <c r="A1640" i="2"/>
  <c r="H59" i="2"/>
  <c r="G59" i="2"/>
  <c r="D59" i="2"/>
  <c r="C59" i="2"/>
  <c r="B59" i="2"/>
  <c r="A59" i="2"/>
  <c r="H1639" i="2"/>
  <c r="G1639" i="2"/>
  <c r="D1639" i="2"/>
  <c r="C1639" i="2"/>
  <c r="B1639" i="2"/>
  <c r="A1639" i="2"/>
  <c r="H1638" i="2"/>
  <c r="G1638" i="2"/>
  <c r="D1638" i="2"/>
  <c r="C1638" i="2"/>
  <c r="B1638" i="2"/>
  <c r="A1638" i="2"/>
  <c r="H1637" i="2"/>
  <c r="G1637" i="2"/>
  <c r="D1637" i="2"/>
  <c r="C1637" i="2"/>
  <c r="B1637" i="2"/>
  <c r="A1637" i="2"/>
  <c r="H1636" i="2"/>
  <c r="G1636" i="2"/>
  <c r="D1636" i="2"/>
  <c r="C1636" i="2"/>
  <c r="B1636" i="2"/>
  <c r="A1636" i="2"/>
  <c r="H1635" i="2"/>
  <c r="G1635" i="2"/>
  <c r="D1635" i="2"/>
  <c r="C1635" i="2"/>
  <c r="B1635" i="2"/>
  <c r="A1635" i="2"/>
  <c r="H501" i="2"/>
  <c r="G501" i="2"/>
  <c r="D501" i="2"/>
  <c r="C501" i="2"/>
  <c r="B501" i="2"/>
  <c r="A501" i="2"/>
  <c r="H500" i="2"/>
  <c r="G500" i="2"/>
  <c r="D500" i="2"/>
  <c r="C500" i="2"/>
  <c r="B500" i="2"/>
  <c r="A500" i="2"/>
  <c r="H499" i="2"/>
  <c r="G499" i="2"/>
  <c r="D499" i="2"/>
  <c r="C499" i="2"/>
  <c r="B499" i="2"/>
  <c r="A499" i="2"/>
  <c r="H498" i="2"/>
  <c r="G498" i="2"/>
  <c r="D498" i="2"/>
  <c r="C498" i="2"/>
  <c r="B498" i="2"/>
  <c r="A498" i="2"/>
  <c r="H497" i="2"/>
  <c r="G497" i="2"/>
  <c r="D497" i="2"/>
  <c r="C497" i="2"/>
  <c r="B497" i="2"/>
  <c r="A497" i="2"/>
  <c r="H496" i="2"/>
  <c r="G496" i="2"/>
  <c r="D496" i="2"/>
  <c r="C496" i="2"/>
  <c r="B496" i="2"/>
  <c r="A496" i="2"/>
  <c r="H1797" i="2"/>
  <c r="G1797" i="2"/>
  <c r="D1797" i="2"/>
  <c r="C1797" i="2"/>
  <c r="B1797" i="2"/>
  <c r="A1797" i="2"/>
  <c r="H495" i="2"/>
  <c r="G495" i="2"/>
  <c r="D495" i="2"/>
  <c r="C495" i="2"/>
  <c r="B495" i="2"/>
  <c r="A495" i="2"/>
  <c r="H494" i="2"/>
  <c r="G494" i="2"/>
  <c r="D494" i="2"/>
  <c r="C494" i="2"/>
  <c r="B494" i="2"/>
  <c r="A494" i="2"/>
  <c r="H493" i="2"/>
  <c r="G493" i="2"/>
  <c r="D493" i="2"/>
  <c r="C493" i="2"/>
  <c r="B493" i="2"/>
  <c r="A493" i="2"/>
  <c r="H492" i="2"/>
  <c r="G492" i="2"/>
  <c r="D492" i="2"/>
  <c r="C492" i="2"/>
  <c r="B492" i="2"/>
  <c r="A492" i="2"/>
  <c r="H491" i="2"/>
  <c r="G491" i="2"/>
  <c r="D491" i="2"/>
  <c r="C491" i="2"/>
  <c r="B491" i="2"/>
  <c r="A491" i="2"/>
  <c r="H1551" i="2"/>
  <c r="G1551" i="2"/>
  <c r="D1551" i="2"/>
  <c r="C1551" i="2"/>
  <c r="B1551" i="2"/>
  <c r="A1551" i="2"/>
  <c r="H1500" i="2"/>
  <c r="G1500" i="2"/>
  <c r="D1500" i="2"/>
  <c r="C1500" i="2"/>
  <c r="B1500" i="2"/>
  <c r="A1500" i="2"/>
  <c r="H394" i="2"/>
  <c r="G394" i="2"/>
  <c r="D394" i="2"/>
  <c r="C394" i="2"/>
  <c r="B394" i="2"/>
  <c r="A394" i="2"/>
  <c r="H1499" i="2"/>
  <c r="G1499" i="2"/>
  <c r="D1499" i="2"/>
  <c r="C1499" i="2"/>
  <c r="B1499" i="2"/>
  <c r="A1499" i="2"/>
  <c r="H393" i="2"/>
  <c r="G393" i="2"/>
  <c r="D393" i="2"/>
  <c r="C393" i="2"/>
  <c r="B393" i="2"/>
  <c r="A393" i="2"/>
  <c r="H1796" i="2"/>
  <c r="G1796" i="2"/>
  <c r="D1796" i="2"/>
  <c r="C1796" i="2"/>
  <c r="B1796" i="2"/>
  <c r="A1796" i="2"/>
  <c r="H549" i="2"/>
  <c r="G549" i="2"/>
  <c r="D549" i="2"/>
  <c r="C549" i="2"/>
  <c r="B549" i="2"/>
  <c r="A549" i="2"/>
  <c r="H1460" i="2"/>
  <c r="G1460" i="2"/>
  <c r="D1460" i="2"/>
  <c r="C1460" i="2"/>
  <c r="B1460" i="2"/>
  <c r="A1460" i="2"/>
  <c r="H1459" i="2"/>
  <c r="G1459" i="2"/>
  <c r="D1459" i="2"/>
  <c r="C1459" i="2"/>
  <c r="B1459" i="2"/>
  <c r="A1459" i="2"/>
  <c r="H560" i="2"/>
  <c r="G560" i="2"/>
  <c r="D560" i="2"/>
  <c r="C560" i="2"/>
  <c r="B560" i="2"/>
  <c r="A560" i="2"/>
  <c r="H490" i="2"/>
  <c r="G490" i="2"/>
  <c r="D490" i="2"/>
  <c r="C490" i="2"/>
  <c r="B490" i="2"/>
  <c r="A490" i="2"/>
  <c r="H489" i="2"/>
  <c r="G489" i="2"/>
  <c r="D489" i="2"/>
  <c r="C489" i="2"/>
  <c r="B489" i="2"/>
  <c r="A489" i="2"/>
  <c r="H488" i="2"/>
  <c r="G488" i="2"/>
  <c r="D488" i="2"/>
  <c r="C488" i="2"/>
  <c r="B488" i="2"/>
  <c r="A488" i="2"/>
  <c r="H487" i="2"/>
  <c r="G487" i="2"/>
  <c r="D487" i="2"/>
  <c r="C487" i="2"/>
  <c r="B487" i="2"/>
  <c r="A487" i="2"/>
  <c r="H486" i="2"/>
  <c r="G486" i="2"/>
  <c r="D486" i="2"/>
  <c r="C486" i="2"/>
  <c r="B486" i="2"/>
  <c r="A486" i="2"/>
  <c r="H548" i="2"/>
  <c r="G548" i="2"/>
  <c r="D548" i="2"/>
  <c r="C548" i="2"/>
  <c r="B548" i="2"/>
  <c r="A548" i="2"/>
  <c r="H547" i="2"/>
  <c r="G547" i="2"/>
  <c r="D547" i="2"/>
  <c r="C547" i="2"/>
  <c r="B547" i="2"/>
  <c r="A547" i="2"/>
  <c r="H546" i="2"/>
  <c r="G546" i="2"/>
  <c r="D546" i="2"/>
  <c r="C546" i="2"/>
  <c r="B546" i="2"/>
  <c r="A546" i="2"/>
  <c r="H1458" i="2"/>
  <c r="G1458" i="2"/>
  <c r="D1458" i="2"/>
  <c r="C1458" i="2"/>
  <c r="B1458" i="2"/>
  <c r="A1458" i="2"/>
  <c r="H1457" i="2"/>
  <c r="G1457" i="2"/>
  <c r="D1457" i="2"/>
  <c r="C1457" i="2"/>
  <c r="B1457" i="2"/>
  <c r="A1457" i="2"/>
  <c r="H485" i="2"/>
  <c r="G485" i="2"/>
  <c r="D485" i="2"/>
  <c r="C485" i="2"/>
  <c r="B485" i="2"/>
  <c r="A485" i="2"/>
  <c r="H484" i="2"/>
  <c r="G484" i="2"/>
  <c r="D484" i="2"/>
  <c r="C484" i="2"/>
  <c r="B484" i="2"/>
  <c r="A484" i="2"/>
  <c r="H316" i="2"/>
  <c r="G316" i="2"/>
  <c r="D316" i="2"/>
  <c r="C316" i="2"/>
  <c r="B316" i="2"/>
  <c r="A316" i="2"/>
  <c r="H290" i="2"/>
  <c r="G290" i="2"/>
  <c r="D290" i="2"/>
  <c r="C290" i="2"/>
  <c r="B290" i="2"/>
  <c r="A290" i="2"/>
  <c r="H392" i="2"/>
  <c r="G392" i="2"/>
  <c r="D392" i="2"/>
  <c r="C392" i="2"/>
  <c r="B392" i="2"/>
  <c r="A392" i="2"/>
  <c r="H483" i="2"/>
  <c r="G483" i="2"/>
  <c r="D483" i="2"/>
  <c r="C483" i="2"/>
  <c r="B483" i="2"/>
  <c r="A483" i="2"/>
  <c r="H1472" i="2"/>
  <c r="G1472" i="2"/>
  <c r="D1472" i="2"/>
  <c r="C1472" i="2"/>
  <c r="B1472" i="2"/>
  <c r="A1472" i="2"/>
  <c r="H391" i="2"/>
  <c r="G391" i="2"/>
  <c r="D391" i="2"/>
  <c r="C391" i="2"/>
  <c r="B391" i="2"/>
  <c r="A391" i="2"/>
  <c r="H1428" i="2"/>
  <c r="G1428" i="2"/>
  <c r="D1428" i="2"/>
  <c r="C1428" i="2"/>
  <c r="B1428" i="2"/>
  <c r="A1428" i="2"/>
  <c r="H545" i="2"/>
  <c r="G545" i="2"/>
  <c r="D545" i="2"/>
  <c r="C545" i="2"/>
  <c r="B545" i="2"/>
  <c r="A545" i="2"/>
  <c r="H544" i="2"/>
  <c r="G544" i="2"/>
  <c r="D544" i="2"/>
  <c r="C544" i="2"/>
  <c r="B544" i="2"/>
  <c r="A544" i="2"/>
  <c r="H543" i="2"/>
  <c r="G543" i="2"/>
  <c r="D543" i="2"/>
  <c r="C543" i="2"/>
  <c r="B543" i="2"/>
  <c r="A543" i="2"/>
  <c r="H281" i="2"/>
  <c r="G281" i="2"/>
  <c r="D281" i="2"/>
  <c r="C281" i="2"/>
  <c r="B281" i="2"/>
  <c r="A281" i="2"/>
  <c r="H542" i="2"/>
  <c r="G542" i="2"/>
  <c r="D542" i="2"/>
  <c r="C542" i="2"/>
  <c r="B542" i="2"/>
  <c r="A542" i="2"/>
  <c r="H541" i="2"/>
  <c r="G541" i="2"/>
  <c r="D541" i="2"/>
  <c r="C541" i="2"/>
  <c r="B541" i="2"/>
  <c r="A541" i="2"/>
  <c r="H540" i="2"/>
  <c r="G540" i="2"/>
  <c r="D540" i="2"/>
  <c r="C540" i="2"/>
  <c r="B540" i="2"/>
  <c r="A540" i="2"/>
  <c r="H539" i="2"/>
  <c r="G539" i="2"/>
  <c r="D539" i="2"/>
  <c r="C539" i="2"/>
  <c r="B539" i="2"/>
  <c r="A539" i="2"/>
  <c r="H482" i="2"/>
  <c r="G482" i="2"/>
  <c r="D482" i="2"/>
  <c r="C482" i="2"/>
  <c r="B482" i="2"/>
  <c r="A482" i="2"/>
  <c r="H1498" i="2"/>
  <c r="G1498" i="2"/>
  <c r="D1498" i="2"/>
  <c r="C1498" i="2"/>
  <c r="B1498" i="2"/>
  <c r="A1498" i="2"/>
  <c r="H390" i="2"/>
  <c r="G390" i="2"/>
  <c r="D390" i="2"/>
  <c r="C390" i="2"/>
  <c r="B390" i="2"/>
  <c r="A390" i="2"/>
  <c r="H1550" i="2"/>
  <c r="G1550" i="2"/>
  <c r="D1550" i="2"/>
  <c r="C1550" i="2"/>
  <c r="B1550" i="2"/>
  <c r="A1550" i="2"/>
  <c r="H481" i="2"/>
  <c r="G481" i="2"/>
  <c r="D481" i="2"/>
  <c r="C481" i="2"/>
  <c r="B481" i="2"/>
  <c r="A481" i="2"/>
  <c r="H280" i="2"/>
  <c r="G280" i="2"/>
  <c r="D280" i="2"/>
  <c r="C280" i="2"/>
  <c r="B280" i="2"/>
  <c r="A280" i="2"/>
  <c r="H480" i="2"/>
  <c r="G480" i="2"/>
  <c r="D480" i="2"/>
  <c r="C480" i="2"/>
  <c r="B480" i="2"/>
  <c r="A480" i="2"/>
  <c r="H58" i="2"/>
  <c r="G58" i="2"/>
  <c r="D58" i="2"/>
  <c r="C58" i="2"/>
  <c r="B58" i="2"/>
  <c r="A58" i="2"/>
  <c r="H538" i="2"/>
  <c r="G538" i="2"/>
  <c r="D538" i="2"/>
  <c r="C538" i="2"/>
  <c r="B538" i="2"/>
  <c r="A538" i="2"/>
  <c r="H479" i="2"/>
  <c r="G479" i="2"/>
  <c r="D479" i="2"/>
  <c r="C479" i="2"/>
  <c r="B479" i="2"/>
  <c r="A479" i="2"/>
  <c r="H16" i="2"/>
  <c r="G16" i="2"/>
  <c r="D16" i="2"/>
  <c r="C16" i="2"/>
  <c r="B16" i="2"/>
  <c r="A16" i="2"/>
  <c r="H1634" i="2"/>
  <c r="G1634" i="2"/>
  <c r="D1634" i="2"/>
  <c r="C1634" i="2"/>
  <c r="B1634" i="2"/>
  <c r="A1634" i="2"/>
  <c r="H864" i="2"/>
  <c r="G864" i="2"/>
  <c r="D864" i="2"/>
  <c r="C864" i="2"/>
  <c r="B864" i="2"/>
  <c r="A864" i="2"/>
  <c r="H71" i="2"/>
  <c r="G71" i="2"/>
  <c r="D71" i="2"/>
  <c r="C71" i="2"/>
  <c r="B71" i="2"/>
  <c r="A71" i="2"/>
  <c r="H1859" i="2"/>
  <c r="G1859" i="2"/>
  <c r="D1859" i="2"/>
  <c r="C1859" i="2"/>
  <c r="B1859" i="2"/>
  <c r="A1859" i="2"/>
  <c r="H1408" i="2"/>
  <c r="G1408" i="2"/>
  <c r="D1408" i="2"/>
  <c r="C1408" i="2"/>
  <c r="B1408" i="2"/>
  <c r="A1408" i="2"/>
  <c r="H1633" i="2"/>
  <c r="G1633" i="2"/>
  <c r="D1633" i="2"/>
  <c r="C1633" i="2"/>
  <c r="B1633" i="2"/>
  <c r="A1633" i="2"/>
  <c r="H1632" i="2"/>
  <c r="G1632" i="2"/>
  <c r="D1632" i="2"/>
  <c r="C1632" i="2"/>
  <c r="B1632" i="2"/>
  <c r="A1632" i="2"/>
  <c r="H57" i="2"/>
  <c r="G57" i="2"/>
  <c r="D57" i="2"/>
  <c r="C57" i="2"/>
  <c r="B57" i="2"/>
  <c r="A57" i="2"/>
  <c r="H478" i="2"/>
  <c r="G478" i="2"/>
  <c r="D478" i="2"/>
  <c r="C478" i="2"/>
  <c r="B478" i="2"/>
  <c r="A478" i="2"/>
  <c r="H1684" i="2"/>
  <c r="G1684" i="2"/>
  <c r="D1684" i="2"/>
  <c r="C1684" i="2"/>
  <c r="B1684" i="2"/>
  <c r="A1684" i="2"/>
  <c r="H477" i="2"/>
  <c r="G477" i="2"/>
  <c r="D477" i="2"/>
  <c r="C477" i="2"/>
  <c r="B477" i="2"/>
  <c r="A477" i="2"/>
  <c r="H56" i="2"/>
  <c r="G56" i="2"/>
  <c r="D56" i="2"/>
  <c r="C56" i="2"/>
  <c r="B56" i="2"/>
  <c r="A56" i="2"/>
  <c r="H55" i="2"/>
  <c r="G55" i="2"/>
  <c r="D55" i="2"/>
  <c r="C55" i="2"/>
  <c r="B55" i="2"/>
  <c r="A55" i="2"/>
  <c r="H476" i="2"/>
  <c r="G476" i="2"/>
  <c r="D476" i="2"/>
  <c r="C476" i="2"/>
  <c r="B476" i="2"/>
  <c r="A476" i="2"/>
  <c r="H276" i="2"/>
  <c r="G276" i="2"/>
  <c r="D276" i="2"/>
  <c r="C276" i="2"/>
  <c r="B276" i="2"/>
  <c r="A276" i="2"/>
  <c r="H1549" i="2"/>
  <c r="G1549" i="2"/>
  <c r="D1549" i="2"/>
  <c r="C1549" i="2"/>
  <c r="B1549" i="2"/>
  <c r="A1549" i="2"/>
  <c r="H1779" i="2"/>
  <c r="G1779" i="2"/>
  <c r="D1779" i="2"/>
  <c r="C1779" i="2"/>
  <c r="B1779" i="2"/>
  <c r="A1779" i="2"/>
  <c r="H1760" i="2"/>
  <c r="G1760" i="2"/>
  <c r="D1760" i="2"/>
  <c r="C1760" i="2"/>
  <c r="B1760" i="2"/>
  <c r="A1760" i="2"/>
  <c r="H475" i="2"/>
  <c r="G475" i="2"/>
  <c r="D475" i="2"/>
  <c r="C475" i="2"/>
  <c r="B475" i="2"/>
  <c r="A475" i="2"/>
  <c r="H537" i="2"/>
  <c r="G537" i="2"/>
  <c r="D537" i="2"/>
  <c r="C537" i="2"/>
  <c r="B537" i="2"/>
  <c r="A537" i="2"/>
  <c r="H1497" i="2"/>
  <c r="G1497" i="2"/>
  <c r="D1497" i="2"/>
  <c r="C1497" i="2"/>
  <c r="B1497" i="2"/>
  <c r="A1497" i="2"/>
  <c r="H474" i="2"/>
  <c r="G474" i="2"/>
  <c r="D474" i="2"/>
  <c r="C474" i="2"/>
  <c r="B474" i="2"/>
  <c r="A474" i="2"/>
  <c r="H536" i="2"/>
  <c r="G536" i="2"/>
  <c r="D536" i="2"/>
  <c r="C536" i="2"/>
  <c r="B536" i="2"/>
  <c r="A536" i="2"/>
  <c r="H473" i="2"/>
  <c r="G473" i="2"/>
  <c r="D473" i="2"/>
  <c r="C473" i="2"/>
  <c r="B473" i="2"/>
  <c r="A473" i="2"/>
  <c r="H54" i="2"/>
  <c r="G54" i="2"/>
  <c r="D54" i="2"/>
  <c r="C54" i="2"/>
  <c r="B54" i="2"/>
  <c r="A54" i="2"/>
  <c r="H535" i="2"/>
  <c r="G535" i="2"/>
  <c r="D535" i="2"/>
  <c r="C535" i="2"/>
  <c r="B535" i="2"/>
  <c r="A535" i="2"/>
  <c r="H1427" i="2"/>
  <c r="G1427" i="2"/>
  <c r="D1427" i="2"/>
  <c r="C1427" i="2"/>
  <c r="B1427" i="2"/>
  <c r="A1427" i="2"/>
  <c r="H569" i="2"/>
  <c r="G569" i="2"/>
  <c r="D569" i="2"/>
  <c r="C569" i="2"/>
  <c r="B569" i="2"/>
  <c r="A569" i="2"/>
  <c r="H1858" i="2"/>
  <c r="G1858" i="2"/>
  <c r="D1858" i="2"/>
  <c r="C1858" i="2"/>
  <c r="B1858" i="2"/>
  <c r="A1858" i="2"/>
  <c r="H315" i="2"/>
  <c r="G315" i="2"/>
  <c r="D315" i="2"/>
  <c r="C315" i="2"/>
  <c r="B315" i="2"/>
  <c r="A315" i="2"/>
  <c r="H1742" i="2"/>
  <c r="G1742" i="2"/>
  <c r="D1742" i="2"/>
  <c r="C1742" i="2"/>
  <c r="B1742" i="2"/>
  <c r="A1742" i="2"/>
  <c r="H520" i="2"/>
  <c r="G520" i="2"/>
  <c r="D520" i="2"/>
  <c r="C520" i="2"/>
  <c r="B520" i="2"/>
  <c r="A520" i="2"/>
  <c r="H1741" i="2"/>
  <c r="G1741" i="2"/>
  <c r="D1741" i="2"/>
  <c r="C1741" i="2"/>
  <c r="B1741" i="2"/>
  <c r="A1741" i="2"/>
  <c r="H275" i="2"/>
  <c r="G275" i="2"/>
  <c r="D275" i="2"/>
  <c r="C275" i="2"/>
  <c r="B275" i="2"/>
  <c r="A275" i="2"/>
  <c r="H1417" i="2"/>
  <c r="G1417" i="2"/>
  <c r="D1417" i="2"/>
  <c r="C1417" i="2"/>
  <c r="B1417" i="2"/>
  <c r="A1417" i="2"/>
  <c r="H1496" i="2"/>
  <c r="G1496" i="2"/>
  <c r="D1496" i="2"/>
  <c r="C1496" i="2"/>
  <c r="B1496" i="2"/>
  <c r="A1496" i="2"/>
  <c r="H472" i="2"/>
  <c r="G472" i="2"/>
  <c r="D472" i="2"/>
  <c r="C472" i="2"/>
  <c r="B472" i="2"/>
  <c r="A472" i="2"/>
  <c r="H1548" i="2"/>
  <c r="G1548" i="2"/>
  <c r="D1548" i="2"/>
  <c r="C1548" i="2"/>
  <c r="B1548" i="2"/>
  <c r="A1548" i="2"/>
  <c r="H1495" i="2"/>
  <c r="G1495" i="2"/>
  <c r="D1495" i="2"/>
  <c r="C1495" i="2"/>
  <c r="B1495" i="2"/>
  <c r="A1495" i="2"/>
  <c r="H534" i="2"/>
  <c r="G534" i="2"/>
  <c r="D534" i="2"/>
  <c r="C534" i="2"/>
  <c r="B534" i="2"/>
  <c r="A534" i="2"/>
  <c r="H471" i="2"/>
  <c r="G471" i="2"/>
  <c r="D471" i="2"/>
  <c r="C471" i="2"/>
  <c r="B471" i="2"/>
  <c r="A471" i="2"/>
  <c r="H470" i="2"/>
  <c r="G470" i="2"/>
  <c r="D470" i="2"/>
  <c r="C470" i="2"/>
  <c r="B470" i="2"/>
  <c r="A470" i="2"/>
  <c r="H469" i="2"/>
  <c r="G469" i="2"/>
  <c r="D469" i="2"/>
  <c r="C469" i="2"/>
  <c r="B469" i="2"/>
  <c r="A469" i="2"/>
  <c r="H468" i="2"/>
  <c r="G468" i="2"/>
  <c r="D468" i="2"/>
  <c r="C468" i="2"/>
  <c r="B468" i="2"/>
  <c r="A468" i="2"/>
  <c r="H1857" i="2"/>
  <c r="G1857" i="2"/>
  <c r="D1857" i="2"/>
  <c r="C1857" i="2"/>
  <c r="B1857" i="2"/>
  <c r="A1857" i="2"/>
  <c r="H533" i="2"/>
  <c r="G533" i="2"/>
  <c r="D533" i="2"/>
  <c r="C533" i="2"/>
  <c r="B533" i="2"/>
  <c r="A533" i="2"/>
  <c r="H19" i="2"/>
  <c r="G19" i="2"/>
  <c r="D19" i="2"/>
  <c r="C19" i="2"/>
  <c r="B19" i="2"/>
  <c r="A19" i="2"/>
  <c r="H467" i="2"/>
  <c r="G467" i="2"/>
  <c r="D467" i="2"/>
  <c r="C467" i="2"/>
  <c r="B467" i="2"/>
  <c r="A467" i="2"/>
  <c r="H53" i="2"/>
  <c r="G53" i="2"/>
  <c r="D53" i="2"/>
  <c r="C53" i="2"/>
  <c r="B53" i="2"/>
  <c r="A53" i="2"/>
  <c r="H466" i="2"/>
  <c r="G466" i="2"/>
  <c r="D466" i="2"/>
  <c r="C466" i="2"/>
  <c r="B466" i="2"/>
  <c r="A466" i="2"/>
  <c r="H52" i="2"/>
  <c r="G52" i="2"/>
  <c r="D52" i="2"/>
  <c r="C52" i="2"/>
  <c r="B52" i="2"/>
  <c r="A52" i="2"/>
  <c r="H519" i="2"/>
  <c r="G519" i="2"/>
  <c r="D519" i="2"/>
  <c r="C519" i="2"/>
  <c r="B519" i="2"/>
  <c r="A519" i="2"/>
  <c r="H389" i="2"/>
  <c r="G389" i="2"/>
  <c r="D389" i="2"/>
  <c r="C389" i="2"/>
  <c r="B389" i="2"/>
  <c r="A389" i="2"/>
  <c r="H1494" i="2"/>
  <c r="G1494" i="2"/>
  <c r="D1494" i="2"/>
  <c r="C1494" i="2"/>
  <c r="B1494" i="2"/>
  <c r="A1494" i="2"/>
  <c r="H388" i="2"/>
  <c r="G388" i="2"/>
  <c r="D388" i="2"/>
  <c r="C388" i="2"/>
  <c r="B388" i="2"/>
  <c r="A388" i="2"/>
  <c r="H1821" i="2"/>
  <c r="G1821" i="2"/>
  <c r="D1821" i="2"/>
  <c r="C1821" i="2"/>
  <c r="B1821" i="2"/>
  <c r="A1821" i="2"/>
  <c r="H429" i="2"/>
  <c r="G429" i="2"/>
  <c r="D429" i="2"/>
  <c r="C429" i="2"/>
  <c r="B429" i="2"/>
  <c r="A429" i="2"/>
  <c r="H1547" i="2"/>
  <c r="G1547" i="2"/>
  <c r="D1547" i="2"/>
  <c r="C1547" i="2"/>
  <c r="B1547" i="2"/>
  <c r="A1547" i="2"/>
  <c r="H747" i="2"/>
  <c r="G747" i="2"/>
  <c r="D747" i="2"/>
  <c r="C747" i="2"/>
  <c r="B747" i="2"/>
  <c r="A747" i="2"/>
  <c r="H387" i="2"/>
  <c r="G387" i="2"/>
  <c r="D387" i="2"/>
  <c r="C387" i="2"/>
  <c r="B387" i="2"/>
  <c r="A387" i="2"/>
  <c r="H746" i="2"/>
  <c r="G746" i="2"/>
  <c r="D746" i="2"/>
  <c r="C746" i="2"/>
  <c r="B746" i="2"/>
  <c r="A746" i="2"/>
  <c r="H386" i="2"/>
  <c r="G386" i="2"/>
  <c r="D386" i="2"/>
  <c r="C386" i="2"/>
  <c r="B386" i="2"/>
  <c r="A386" i="2"/>
  <c r="H745" i="2"/>
  <c r="G745" i="2"/>
  <c r="D745" i="2"/>
  <c r="C745" i="2"/>
  <c r="B745" i="2"/>
  <c r="A745" i="2"/>
  <c r="H385" i="2"/>
  <c r="G385" i="2"/>
  <c r="D385" i="2"/>
  <c r="C385" i="2"/>
  <c r="B385" i="2"/>
  <c r="A385" i="2"/>
  <c r="H744" i="2"/>
  <c r="G744" i="2"/>
  <c r="D744" i="2"/>
  <c r="C744" i="2"/>
  <c r="B744" i="2"/>
  <c r="A744" i="2"/>
  <c r="H384" i="2"/>
  <c r="G384" i="2"/>
  <c r="D384" i="2"/>
  <c r="C384" i="2"/>
  <c r="B384" i="2"/>
  <c r="A384" i="2"/>
  <c r="H743" i="2"/>
  <c r="G743" i="2"/>
  <c r="D743" i="2"/>
  <c r="C743" i="2"/>
  <c r="B743" i="2"/>
  <c r="A743" i="2"/>
  <c r="H383" i="2"/>
  <c r="G383" i="2"/>
  <c r="D383" i="2"/>
  <c r="C383" i="2"/>
  <c r="B383" i="2"/>
  <c r="A383" i="2"/>
  <c r="H742" i="2"/>
  <c r="G742" i="2"/>
  <c r="D742" i="2"/>
  <c r="C742" i="2"/>
  <c r="B742" i="2"/>
  <c r="A742" i="2"/>
  <c r="H382" i="2"/>
  <c r="G382" i="2"/>
  <c r="D382" i="2"/>
  <c r="C382" i="2"/>
  <c r="B382" i="2"/>
  <c r="A382" i="2"/>
  <c r="H741" i="2"/>
  <c r="G741" i="2"/>
  <c r="D741" i="2"/>
  <c r="C741" i="2"/>
  <c r="B741" i="2"/>
  <c r="A741" i="2"/>
  <c r="H381" i="2"/>
  <c r="G381" i="2"/>
  <c r="D381" i="2"/>
  <c r="C381" i="2"/>
  <c r="B381" i="2"/>
  <c r="A381" i="2"/>
  <c r="H740" i="2"/>
  <c r="G740" i="2"/>
  <c r="D740" i="2"/>
  <c r="C740" i="2"/>
  <c r="B740" i="2"/>
  <c r="A740" i="2"/>
  <c r="H380" i="2"/>
  <c r="G380" i="2"/>
  <c r="D380" i="2"/>
  <c r="C380" i="2"/>
  <c r="B380" i="2"/>
  <c r="A380" i="2"/>
  <c r="H739" i="2"/>
  <c r="G739" i="2"/>
  <c r="D739" i="2"/>
  <c r="C739" i="2"/>
  <c r="B739" i="2"/>
  <c r="A739" i="2"/>
  <c r="H379" i="2"/>
  <c r="G379" i="2"/>
  <c r="D379" i="2"/>
  <c r="C379" i="2"/>
  <c r="B379" i="2"/>
  <c r="A379" i="2"/>
  <c r="H1477" i="2"/>
  <c r="G1477" i="2"/>
  <c r="D1477" i="2"/>
  <c r="C1477" i="2"/>
  <c r="B1477" i="2"/>
  <c r="A1477" i="2"/>
  <c r="H1439" i="2"/>
  <c r="G1439" i="2"/>
  <c r="D1439" i="2"/>
  <c r="C1439" i="2"/>
  <c r="B1439" i="2"/>
  <c r="A1439" i="2"/>
  <c r="H70" i="2"/>
  <c r="G70" i="2"/>
  <c r="D70" i="2"/>
  <c r="C70" i="2"/>
  <c r="B70" i="2"/>
  <c r="A70" i="2"/>
  <c r="H738" i="2"/>
  <c r="G738" i="2"/>
  <c r="D738" i="2"/>
  <c r="C738" i="2"/>
  <c r="B738" i="2"/>
  <c r="A738" i="2"/>
  <c r="H378" i="2"/>
  <c r="G378" i="2"/>
  <c r="D378" i="2"/>
  <c r="C378" i="2"/>
  <c r="B378" i="2"/>
  <c r="A378" i="2"/>
  <c r="H1749" i="2"/>
  <c r="G1749" i="2"/>
  <c r="D1749" i="2"/>
  <c r="C1749" i="2"/>
  <c r="B1749" i="2"/>
  <c r="A1749" i="2"/>
  <c r="H326" i="2"/>
  <c r="G326" i="2"/>
  <c r="D326" i="2"/>
  <c r="C326" i="2"/>
  <c r="B326" i="2"/>
  <c r="A326" i="2"/>
  <c r="H1820" i="2"/>
  <c r="G1820" i="2"/>
  <c r="D1820" i="2"/>
  <c r="C1820" i="2"/>
  <c r="B1820" i="2"/>
  <c r="A1820" i="2"/>
  <c r="H465" i="2"/>
  <c r="G465" i="2"/>
  <c r="D465" i="2"/>
  <c r="C465" i="2"/>
  <c r="B465" i="2"/>
  <c r="A465" i="2"/>
  <c r="H1856" i="2"/>
  <c r="G1856" i="2"/>
  <c r="D1856" i="2"/>
  <c r="C1856" i="2"/>
  <c r="B1856" i="2"/>
  <c r="A1856" i="2"/>
  <c r="H1855" i="2"/>
  <c r="G1855" i="2"/>
  <c r="D1855" i="2"/>
  <c r="C1855" i="2"/>
  <c r="B1855" i="2"/>
  <c r="A1855" i="2"/>
  <c r="H325" i="2"/>
  <c r="G325" i="2"/>
  <c r="D325" i="2"/>
  <c r="C325" i="2"/>
  <c r="B325" i="2"/>
  <c r="A325" i="2"/>
  <c r="H695" i="2"/>
  <c r="G695" i="2"/>
  <c r="D695" i="2"/>
  <c r="C695" i="2"/>
  <c r="B695" i="2"/>
  <c r="A695" i="2"/>
  <c r="H1546" i="2"/>
  <c r="G1546" i="2"/>
  <c r="D1546" i="2"/>
  <c r="C1546" i="2"/>
  <c r="B1546" i="2"/>
  <c r="A1546" i="2"/>
  <c r="H1493" i="2"/>
  <c r="G1493" i="2"/>
  <c r="D1493" i="2"/>
  <c r="C1493" i="2"/>
  <c r="B1493" i="2"/>
  <c r="A1493" i="2"/>
  <c r="H377" i="2"/>
  <c r="G377" i="2"/>
  <c r="D377" i="2"/>
  <c r="C377" i="2"/>
  <c r="B377" i="2"/>
  <c r="A377" i="2"/>
  <c r="H51" i="2"/>
  <c r="G51" i="2"/>
  <c r="D51" i="2"/>
  <c r="C51" i="2"/>
  <c r="B51" i="2"/>
  <c r="A51" i="2"/>
  <c r="H737" i="2"/>
  <c r="G737" i="2"/>
  <c r="D737" i="2"/>
  <c r="C737" i="2"/>
  <c r="B737" i="2"/>
  <c r="A737" i="2"/>
  <c r="H376" i="2"/>
  <c r="G376" i="2"/>
  <c r="D376" i="2"/>
  <c r="C376" i="2"/>
  <c r="B376" i="2"/>
  <c r="A376" i="2"/>
  <c r="H1740" i="2"/>
  <c r="G1740" i="2"/>
  <c r="D1740" i="2"/>
  <c r="C1740" i="2"/>
  <c r="B1740" i="2"/>
  <c r="A1740" i="2"/>
  <c r="H1739" i="2"/>
  <c r="G1739" i="2"/>
  <c r="D1739" i="2"/>
  <c r="C1739" i="2"/>
  <c r="B1739" i="2"/>
  <c r="A1739" i="2"/>
  <c r="H50" i="2"/>
  <c r="G50" i="2"/>
  <c r="D50" i="2"/>
  <c r="C50" i="2"/>
  <c r="B50" i="2"/>
  <c r="A50" i="2"/>
  <c r="H49" i="2"/>
  <c r="G49" i="2"/>
  <c r="D49" i="2"/>
  <c r="C49" i="2"/>
  <c r="B49" i="2"/>
  <c r="A49" i="2"/>
  <c r="H464" i="2"/>
  <c r="G464" i="2"/>
  <c r="D464" i="2"/>
  <c r="C464" i="2"/>
  <c r="B464" i="2"/>
  <c r="A464" i="2"/>
  <c r="H1759" i="2"/>
  <c r="G1759" i="2"/>
  <c r="D1759" i="2"/>
  <c r="C1759" i="2"/>
  <c r="B1759" i="2"/>
  <c r="A1759" i="2"/>
  <c r="H599" i="2"/>
  <c r="G599" i="2"/>
  <c r="D599" i="2"/>
  <c r="C599" i="2"/>
  <c r="B599" i="2"/>
  <c r="A599" i="2"/>
  <c r="H463" i="2"/>
  <c r="G463" i="2"/>
  <c r="D463" i="2"/>
  <c r="C463" i="2"/>
  <c r="B463" i="2"/>
  <c r="A463" i="2"/>
  <c r="H462" i="2"/>
  <c r="G462" i="2"/>
  <c r="D462" i="2"/>
  <c r="C462" i="2"/>
  <c r="B462" i="2"/>
  <c r="A462" i="2"/>
  <c r="H161" i="2"/>
  <c r="G161" i="2"/>
  <c r="D161" i="2"/>
  <c r="C161" i="2"/>
  <c r="B161" i="2"/>
  <c r="A161" i="2"/>
  <c r="H694" i="2"/>
  <c r="G694" i="2"/>
  <c r="D694" i="2"/>
  <c r="C694" i="2"/>
  <c r="B694" i="2"/>
  <c r="A694" i="2"/>
  <c r="H736" i="2"/>
  <c r="G736" i="2"/>
  <c r="D736" i="2"/>
  <c r="C736" i="2"/>
  <c r="B736" i="2"/>
  <c r="A736" i="2"/>
  <c r="H375" i="2"/>
  <c r="G375" i="2"/>
  <c r="D375" i="2"/>
  <c r="C375" i="2"/>
  <c r="B375" i="2"/>
  <c r="A375" i="2"/>
  <c r="H735" i="2"/>
  <c r="G735" i="2"/>
  <c r="D735" i="2"/>
  <c r="C735" i="2"/>
  <c r="B735" i="2"/>
  <c r="A735" i="2"/>
  <c r="H374" i="2"/>
  <c r="G374" i="2"/>
  <c r="D374" i="2"/>
  <c r="C374" i="2"/>
  <c r="B374" i="2"/>
  <c r="A374" i="2"/>
  <c r="H734" i="2"/>
  <c r="G734" i="2"/>
  <c r="D734" i="2"/>
  <c r="C734" i="2"/>
  <c r="B734" i="2"/>
  <c r="A734" i="2"/>
  <c r="H373" i="2"/>
  <c r="G373" i="2"/>
  <c r="D373" i="2"/>
  <c r="C373" i="2"/>
  <c r="B373" i="2"/>
  <c r="A373" i="2"/>
  <c r="H733" i="2"/>
  <c r="G733" i="2"/>
  <c r="D733" i="2"/>
  <c r="C733" i="2"/>
  <c r="B733" i="2"/>
  <c r="A733" i="2"/>
  <c r="H372" i="2"/>
  <c r="G372" i="2"/>
  <c r="D372" i="2"/>
  <c r="C372" i="2"/>
  <c r="B372" i="2"/>
  <c r="A372" i="2"/>
  <c r="H732" i="2"/>
  <c r="G732" i="2"/>
  <c r="D732" i="2"/>
  <c r="C732" i="2"/>
  <c r="B732" i="2"/>
  <c r="A732" i="2"/>
  <c r="H371" i="2"/>
  <c r="G371" i="2"/>
  <c r="D371" i="2"/>
  <c r="C371" i="2"/>
  <c r="B371" i="2"/>
  <c r="A371" i="2"/>
  <c r="H731" i="2"/>
  <c r="G731" i="2"/>
  <c r="D731" i="2"/>
  <c r="C731" i="2"/>
  <c r="B731" i="2"/>
  <c r="A731" i="2"/>
  <c r="H370" i="2"/>
  <c r="G370" i="2"/>
  <c r="D370" i="2"/>
  <c r="C370" i="2"/>
  <c r="B370" i="2"/>
  <c r="A370" i="2"/>
  <c r="H730" i="2"/>
  <c r="G730" i="2"/>
  <c r="D730" i="2"/>
  <c r="C730" i="2"/>
  <c r="B730" i="2"/>
  <c r="A730" i="2"/>
  <c r="H369" i="2"/>
  <c r="G369" i="2"/>
  <c r="D369" i="2"/>
  <c r="C369" i="2"/>
  <c r="B369" i="2"/>
  <c r="A369" i="2"/>
  <c r="H729" i="2"/>
  <c r="G729" i="2"/>
  <c r="D729" i="2"/>
  <c r="C729" i="2"/>
  <c r="B729" i="2"/>
  <c r="A729" i="2"/>
  <c r="H368" i="2"/>
  <c r="G368" i="2"/>
  <c r="D368" i="2"/>
  <c r="C368" i="2"/>
  <c r="B368" i="2"/>
  <c r="A368" i="2"/>
  <c r="H728" i="2"/>
  <c r="G728" i="2"/>
  <c r="D728" i="2"/>
  <c r="C728" i="2"/>
  <c r="B728" i="2"/>
  <c r="A728" i="2"/>
  <c r="H367" i="2"/>
  <c r="G367" i="2"/>
  <c r="D367" i="2"/>
  <c r="C367" i="2"/>
  <c r="B367" i="2"/>
  <c r="A367" i="2"/>
  <c r="H727" i="2"/>
  <c r="G727" i="2"/>
  <c r="D727" i="2"/>
  <c r="C727" i="2"/>
  <c r="B727" i="2"/>
  <c r="A727" i="2"/>
  <c r="H366" i="2"/>
  <c r="G366" i="2"/>
  <c r="D366" i="2"/>
  <c r="C366" i="2"/>
  <c r="B366" i="2"/>
  <c r="A366" i="2"/>
  <c r="H726" i="2"/>
  <c r="G726" i="2"/>
  <c r="D726" i="2"/>
  <c r="C726" i="2"/>
  <c r="B726" i="2"/>
  <c r="A726" i="2"/>
  <c r="H365" i="2"/>
  <c r="G365" i="2"/>
  <c r="D365" i="2"/>
  <c r="C365" i="2"/>
  <c r="B365" i="2"/>
  <c r="A365" i="2"/>
  <c r="H725" i="2"/>
  <c r="G725" i="2"/>
  <c r="D725" i="2"/>
  <c r="C725" i="2"/>
  <c r="B725" i="2"/>
  <c r="A725" i="2"/>
  <c r="H364" i="2"/>
  <c r="G364" i="2"/>
  <c r="D364" i="2"/>
  <c r="C364" i="2"/>
  <c r="B364" i="2"/>
  <c r="A364" i="2"/>
  <c r="H724" i="2"/>
  <c r="G724" i="2"/>
  <c r="D724" i="2"/>
  <c r="C724" i="2"/>
  <c r="B724" i="2"/>
  <c r="A724" i="2"/>
  <c r="H363" i="2"/>
  <c r="G363" i="2"/>
  <c r="D363" i="2"/>
  <c r="C363" i="2"/>
  <c r="B363" i="2"/>
  <c r="A363" i="2"/>
  <c r="H723" i="2"/>
  <c r="G723" i="2"/>
  <c r="D723" i="2"/>
  <c r="C723" i="2"/>
  <c r="B723" i="2"/>
  <c r="A723" i="2"/>
  <c r="H362" i="2"/>
  <c r="G362" i="2"/>
  <c r="D362" i="2"/>
  <c r="C362" i="2"/>
  <c r="B362" i="2"/>
  <c r="A362" i="2"/>
  <c r="H722" i="2"/>
  <c r="G722" i="2"/>
  <c r="D722" i="2"/>
  <c r="C722" i="2"/>
  <c r="B722" i="2"/>
  <c r="A722" i="2"/>
  <c r="H361" i="2"/>
  <c r="G361" i="2"/>
  <c r="D361" i="2"/>
  <c r="C361" i="2"/>
  <c r="B361" i="2"/>
  <c r="A361" i="2"/>
  <c r="H721" i="2"/>
  <c r="G721" i="2"/>
  <c r="D721" i="2"/>
  <c r="C721" i="2"/>
  <c r="B721" i="2"/>
  <c r="A721" i="2"/>
  <c r="H360" i="2"/>
  <c r="G360" i="2"/>
  <c r="D360" i="2"/>
  <c r="C360" i="2"/>
  <c r="B360" i="2"/>
  <c r="A360" i="2"/>
  <c r="H720" i="2"/>
  <c r="G720" i="2"/>
  <c r="D720" i="2"/>
  <c r="C720" i="2"/>
  <c r="B720" i="2"/>
  <c r="A720" i="2"/>
  <c r="H359" i="2"/>
  <c r="G359" i="2"/>
  <c r="D359" i="2"/>
  <c r="C359" i="2"/>
  <c r="B359" i="2"/>
  <c r="A359" i="2"/>
  <c r="H719" i="2"/>
  <c r="G719" i="2"/>
  <c r="D719" i="2"/>
  <c r="C719" i="2"/>
  <c r="B719" i="2"/>
  <c r="A719" i="2"/>
  <c r="H358" i="2"/>
  <c r="G358" i="2"/>
  <c r="D358" i="2"/>
  <c r="C358" i="2"/>
  <c r="B358" i="2"/>
  <c r="A358" i="2"/>
  <c r="H718" i="2"/>
  <c r="G718" i="2"/>
  <c r="D718" i="2"/>
  <c r="C718" i="2"/>
  <c r="B718" i="2"/>
  <c r="A718" i="2"/>
  <c r="H357" i="2"/>
  <c r="G357" i="2"/>
  <c r="D357" i="2"/>
  <c r="C357" i="2"/>
  <c r="B357" i="2"/>
  <c r="A357" i="2"/>
  <c r="H717" i="2"/>
  <c r="G717" i="2"/>
  <c r="D717" i="2"/>
  <c r="C717" i="2"/>
  <c r="B717" i="2"/>
  <c r="A717" i="2"/>
  <c r="H356" i="2"/>
  <c r="G356" i="2"/>
  <c r="D356" i="2"/>
  <c r="C356" i="2"/>
  <c r="B356" i="2"/>
  <c r="A356" i="2"/>
  <c r="H716" i="2"/>
  <c r="G716" i="2"/>
  <c r="D716" i="2"/>
  <c r="C716" i="2"/>
  <c r="B716" i="2"/>
  <c r="A716" i="2"/>
  <c r="H355" i="2"/>
  <c r="G355" i="2"/>
  <c r="D355" i="2"/>
  <c r="C355" i="2"/>
  <c r="B355" i="2"/>
  <c r="A355" i="2"/>
  <c r="H715" i="2"/>
  <c r="G715" i="2"/>
  <c r="D715" i="2"/>
  <c r="C715" i="2"/>
  <c r="B715" i="2"/>
  <c r="A715" i="2"/>
  <c r="H354" i="2"/>
  <c r="G354" i="2"/>
  <c r="D354" i="2"/>
  <c r="C354" i="2"/>
  <c r="B354" i="2"/>
  <c r="A354" i="2"/>
  <c r="H714" i="2"/>
  <c r="G714" i="2"/>
  <c r="D714" i="2"/>
  <c r="C714" i="2"/>
  <c r="B714" i="2"/>
  <c r="A714" i="2"/>
  <c r="H353" i="2"/>
  <c r="G353" i="2"/>
  <c r="D353" i="2"/>
  <c r="C353" i="2"/>
  <c r="B353" i="2"/>
  <c r="A353" i="2"/>
  <c r="H713" i="2"/>
  <c r="G713" i="2"/>
  <c r="D713" i="2"/>
  <c r="C713" i="2"/>
  <c r="B713" i="2"/>
  <c r="A713" i="2"/>
  <c r="H352" i="2"/>
  <c r="G352" i="2"/>
  <c r="D352" i="2"/>
  <c r="C352" i="2"/>
  <c r="B352" i="2"/>
  <c r="A352" i="2"/>
  <c r="H712" i="2"/>
  <c r="G712" i="2"/>
  <c r="D712" i="2"/>
  <c r="C712" i="2"/>
  <c r="B712" i="2"/>
  <c r="A712" i="2"/>
  <c r="H351" i="2"/>
  <c r="G351" i="2"/>
  <c r="D351" i="2"/>
  <c r="C351" i="2"/>
  <c r="B351" i="2"/>
  <c r="A351" i="2"/>
  <c r="H711" i="2"/>
  <c r="G711" i="2"/>
  <c r="D711" i="2"/>
  <c r="C711" i="2"/>
  <c r="B711" i="2"/>
  <c r="A711" i="2"/>
  <c r="H350" i="2"/>
  <c r="G350" i="2"/>
  <c r="D350" i="2"/>
  <c r="C350" i="2"/>
  <c r="B350" i="2"/>
  <c r="A350" i="2"/>
  <c r="H710" i="2"/>
  <c r="G710" i="2"/>
  <c r="D710" i="2"/>
  <c r="C710" i="2"/>
  <c r="B710" i="2"/>
  <c r="A710" i="2"/>
  <c r="H349" i="2"/>
  <c r="G349" i="2"/>
  <c r="D349" i="2"/>
  <c r="C349" i="2"/>
  <c r="B349" i="2"/>
  <c r="A349" i="2"/>
  <c r="H709" i="2"/>
  <c r="G709" i="2"/>
  <c r="D709" i="2"/>
  <c r="C709" i="2"/>
  <c r="B709" i="2"/>
  <c r="A709" i="2"/>
  <c r="H348" i="2"/>
  <c r="G348" i="2"/>
  <c r="D348" i="2"/>
  <c r="C348" i="2"/>
  <c r="B348" i="2"/>
  <c r="A348" i="2"/>
  <c r="H708" i="2"/>
  <c r="G708" i="2"/>
  <c r="D708" i="2"/>
  <c r="C708" i="2"/>
  <c r="B708" i="2"/>
  <c r="A708" i="2"/>
  <c r="H347" i="2"/>
  <c r="G347" i="2"/>
  <c r="D347" i="2"/>
  <c r="C347" i="2"/>
  <c r="B347" i="2"/>
  <c r="A347" i="2"/>
  <c r="H707" i="2"/>
  <c r="G707" i="2"/>
  <c r="D707" i="2"/>
  <c r="C707" i="2"/>
  <c r="B707" i="2"/>
  <c r="A707" i="2"/>
  <c r="H346" i="2"/>
  <c r="G346" i="2"/>
  <c r="D346" i="2"/>
  <c r="C346" i="2"/>
  <c r="B346" i="2"/>
  <c r="A346" i="2"/>
  <c r="H706" i="2"/>
  <c r="G706" i="2"/>
  <c r="D706" i="2"/>
  <c r="C706" i="2"/>
  <c r="B706" i="2"/>
  <c r="A706" i="2"/>
  <c r="H345" i="2"/>
  <c r="G345" i="2"/>
  <c r="D345" i="2"/>
  <c r="C345" i="2"/>
  <c r="B345" i="2"/>
  <c r="A345" i="2"/>
  <c r="H705" i="2"/>
  <c r="G705" i="2"/>
  <c r="D705" i="2"/>
  <c r="C705" i="2"/>
  <c r="B705" i="2"/>
  <c r="A705" i="2"/>
  <c r="H344" i="2"/>
  <c r="G344" i="2"/>
  <c r="D344" i="2"/>
  <c r="C344" i="2"/>
  <c r="B344" i="2"/>
  <c r="A344" i="2"/>
  <c r="H1723" i="2"/>
  <c r="G1723" i="2"/>
  <c r="D1723" i="2"/>
  <c r="C1723" i="2"/>
  <c r="B1723" i="2"/>
  <c r="A1723" i="2"/>
  <c r="H1811" i="2"/>
  <c r="G1811" i="2"/>
  <c r="D1811" i="2"/>
  <c r="C1811" i="2"/>
  <c r="B1811" i="2"/>
  <c r="A1811" i="2"/>
  <c r="H1710" i="2"/>
  <c r="G1710" i="2"/>
  <c r="D1710" i="2"/>
  <c r="C1710" i="2"/>
  <c r="B1710" i="2"/>
  <c r="A1710" i="2"/>
  <c r="H1447" i="2"/>
  <c r="G1447" i="2"/>
  <c r="D1447" i="2"/>
  <c r="C1447" i="2"/>
  <c r="B1447" i="2"/>
  <c r="A1447" i="2"/>
  <c r="H1709" i="2"/>
  <c r="G1709" i="2"/>
  <c r="D1709" i="2"/>
  <c r="C1709" i="2"/>
  <c r="B1709" i="2"/>
  <c r="A1709" i="2"/>
  <c r="H1446" i="2"/>
  <c r="G1446" i="2"/>
  <c r="D1446" i="2"/>
  <c r="C1446" i="2"/>
  <c r="B1446" i="2"/>
  <c r="A1446" i="2"/>
  <c r="H461" i="2"/>
  <c r="G461" i="2"/>
  <c r="D461" i="2"/>
  <c r="C461" i="2"/>
  <c r="B461" i="2"/>
  <c r="A461" i="2"/>
  <c r="H1492" i="2"/>
  <c r="G1492" i="2"/>
  <c r="D1492" i="2"/>
  <c r="C1492" i="2"/>
  <c r="B1492" i="2"/>
  <c r="A1492" i="2"/>
  <c r="H343" i="2"/>
  <c r="G343" i="2"/>
  <c r="D343" i="2"/>
  <c r="C343" i="2"/>
  <c r="B343" i="2"/>
  <c r="A343" i="2"/>
  <c r="H1545" i="2"/>
  <c r="G1545" i="2"/>
  <c r="D1545" i="2"/>
  <c r="C1545" i="2"/>
  <c r="B1545" i="2"/>
  <c r="A1545" i="2"/>
  <c r="H1491" i="2"/>
  <c r="G1491" i="2"/>
  <c r="D1491" i="2"/>
  <c r="C1491" i="2"/>
  <c r="B1491" i="2"/>
  <c r="A1491" i="2"/>
  <c r="H342" i="2"/>
  <c r="G342" i="2"/>
  <c r="D342" i="2"/>
  <c r="C342" i="2"/>
  <c r="B342" i="2"/>
  <c r="A342" i="2"/>
  <c r="H532" i="2"/>
  <c r="G532" i="2"/>
  <c r="D532" i="2"/>
  <c r="C532" i="2"/>
  <c r="B532" i="2"/>
  <c r="A532" i="2"/>
  <c r="H460" i="2"/>
  <c r="G460" i="2"/>
  <c r="D460" i="2"/>
  <c r="C460" i="2"/>
  <c r="B460" i="2"/>
  <c r="A460" i="2"/>
  <c r="H48" i="2"/>
  <c r="G48" i="2"/>
  <c r="D48" i="2"/>
  <c r="C48" i="2"/>
  <c r="B48" i="2"/>
  <c r="A48" i="2"/>
  <c r="H47" i="2"/>
  <c r="G47" i="2"/>
  <c r="D47" i="2"/>
  <c r="C47" i="2"/>
  <c r="B47" i="2"/>
  <c r="A47" i="2"/>
  <c r="H46" i="2"/>
  <c r="G46" i="2"/>
  <c r="D46" i="2"/>
  <c r="C46" i="2"/>
  <c r="B46" i="2"/>
  <c r="A46" i="2"/>
  <c r="H45" i="2"/>
  <c r="G45" i="2"/>
  <c r="D45" i="2"/>
  <c r="C45" i="2"/>
  <c r="B45" i="2"/>
  <c r="A45" i="2"/>
  <c r="H459" i="2"/>
  <c r="G459" i="2"/>
  <c r="D459" i="2"/>
  <c r="C459" i="2"/>
  <c r="B459" i="2"/>
  <c r="A459" i="2"/>
  <c r="H704" i="2"/>
  <c r="G704" i="2"/>
  <c r="D704" i="2"/>
  <c r="C704" i="2"/>
  <c r="B704" i="2"/>
  <c r="A704" i="2"/>
  <c r="H341" i="2"/>
  <c r="G341" i="2"/>
  <c r="D341" i="2"/>
  <c r="C341" i="2"/>
  <c r="B341" i="2"/>
  <c r="A341" i="2"/>
  <c r="H1738" i="2"/>
  <c r="G1738" i="2"/>
  <c r="D1738" i="2"/>
  <c r="C1738" i="2"/>
  <c r="B1738" i="2"/>
  <c r="A1738" i="2"/>
  <c r="H1737" i="2"/>
  <c r="G1737" i="2"/>
  <c r="D1737" i="2"/>
  <c r="C1737" i="2"/>
  <c r="B1737" i="2"/>
  <c r="A1737" i="2"/>
  <c r="H1736" i="2"/>
  <c r="G1736" i="2"/>
  <c r="D1736" i="2"/>
  <c r="C1736" i="2"/>
  <c r="B1736" i="2"/>
  <c r="A1736" i="2"/>
  <c r="H703" i="2"/>
  <c r="G703" i="2"/>
  <c r="D703" i="2"/>
  <c r="C703" i="2"/>
  <c r="B703" i="2"/>
  <c r="A703" i="2"/>
  <c r="H340" i="2"/>
  <c r="G340" i="2"/>
  <c r="D340" i="2"/>
  <c r="C340" i="2"/>
  <c r="B340" i="2"/>
  <c r="A340" i="2"/>
  <c r="H1758" i="2"/>
  <c r="G1758" i="2"/>
  <c r="D1758" i="2"/>
  <c r="C1758" i="2"/>
  <c r="B1758" i="2"/>
  <c r="A1758" i="2"/>
  <c r="H598" i="2"/>
  <c r="G598" i="2"/>
  <c r="D598" i="2"/>
  <c r="C598" i="2"/>
  <c r="B598" i="2"/>
  <c r="A598" i="2"/>
  <c r="H1735" i="2"/>
  <c r="G1735" i="2"/>
  <c r="D1735" i="2"/>
  <c r="C1735" i="2"/>
  <c r="B1735" i="2"/>
  <c r="A1735" i="2"/>
  <c r="H1578" i="2"/>
  <c r="G1578" i="2"/>
  <c r="D1578" i="2"/>
  <c r="C1578" i="2"/>
  <c r="B1578" i="2"/>
  <c r="A1578" i="2"/>
  <c r="H268" i="2"/>
  <c r="G268" i="2"/>
  <c r="D268" i="2"/>
  <c r="C268" i="2"/>
  <c r="B268" i="2"/>
  <c r="A268" i="2"/>
  <c r="H44" i="2"/>
  <c r="G44" i="2"/>
  <c r="D44" i="2"/>
  <c r="C44" i="2"/>
  <c r="B44" i="2"/>
  <c r="A44" i="2"/>
  <c r="H1757" i="2"/>
  <c r="G1757" i="2"/>
  <c r="D1757" i="2"/>
  <c r="C1757" i="2"/>
  <c r="B1757" i="2"/>
  <c r="A1757" i="2"/>
  <c r="H597" i="2"/>
  <c r="G597" i="2"/>
  <c r="D597" i="2"/>
  <c r="C597" i="2"/>
  <c r="B597" i="2"/>
  <c r="A597" i="2"/>
  <c r="H43" i="2"/>
  <c r="G43" i="2"/>
  <c r="D43" i="2"/>
  <c r="C43" i="2"/>
  <c r="B43" i="2"/>
  <c r="A43" i="2"/>
  <c r="H42" i="2"/>
  <c r="G42" i="2"/>
  <c r="D42" i="2"/>
  <c r="C42" i="2"/>
  <c r="B42" i="2"/>
  <c r="A42" i="2"/>
  <c r="H41" i="2"/>
  <c r="G41" i="2"/>
  <c r="D41" i="2"/>
  <c r="C41" i="2"/>
  <c r="B41" i="2"/>
  <c r="A41" i="2"/>
  <c r="H40" i="2"/>
  <c r="G40" i="2"/>
  <c r="D40" i="2"/>
  <c r="C40" i="2"/>
  <c r="B40" i="2"/>
  <c r="A40" i="2"/>
  <c r="H428" i="2"/>
  <c r="G428" i="2"/>
  <c r="D428" i="2"/>
  <c r="C428" i="2"/>
  <c r="B428" i="2"/>
  <c r="A428" i="2"/>
  <c r="H1683" i="2"/>
  <c r="G1683" i="2"/>
  <c r="D1683" i="2"/>
  <c r="C1683" i="2"/>
  <c r="B1683" i="2"/>
  <c r="A1683" i="2"/>
  <c r="H1407" i="2"/>
  <c r="G1407" i="2"/>
  <c r="D1407" i="2"/>
  <c r="C1407" i="2"/>
  <c r="B1407" i="2"/>
  <c r="A1407" i="2"/>
  <c r="H1784" i="2"/>
  <c r="G1784" i="2"/>
  <c r="D1784" i="2"/>
  <c r="C1784" i="2"/>
  <c r="B1784" i="2"/>
  <c r="A1784" i="2"/>
  <c r="H427" i="2"/>
  <c r="G427" i="2"/>
  <c r="D427" i="2"/>
  <c r="C427" i="2"/>
  <c r="B427" i="2"/>
  <c r="A427" i="2"/>
  <c r="H575" i="2"/>
  <c r="G575" i="2"/>
  <c r="D575" i="2"/>
  <c r="C575" i="2"/>
  <c r="B575" i="2"/>
  <c r="A575" i="2"/>
  <c r="H426" i="2"/>
  <c r="G426" i="2"/>
  <c r="D426" i="2"/>
  <c r="C426" i="2"/>
  <c r="B426" i="2"/>
  <c r="A426" i="2"/>
  <c r="H772" i="2"/>
  <c r="G772" i="2"/>
  <c r="D772" i="2"/>
  <c r="C772" i="2"/>
  <c r="B772" i="2"/>
  <c r="A772" i="2"/>
  <c r="H624" i="2"/>
  <c r="G624" i="2"/>
  <c r="D624" i="2"/>
  <c r="C624" i="2"/>
  <c r="B624" i="2"/>
  <c r="A624" i="2"/>
  <c r="H698" i="2"/>
  <c r="G698" i="2"/>
  <c r="D698" i="2"/>
  <c r="C698" i="2"/>
  <c r="B698" i="2"/>
  <c r="A698" i="2"/>
  <c r="H697" i="2"/>
  <c r="G697" i="2"/>
  <c r="D697" i="2"/>
  <c r="C697" i="2"/>
  <c r="B697" i="2"/>
  <c r="A697" i="2"/>
  <c r="H696" i="2"/>
  <c r="G696" i="2"/>
  <c r="D696" i="2"/>
  <c r="C696" i="2"/>
  <c r="B696" i="2"/>
  <c r="A696" i="2"/>
  <c r="H693" i="2"/>
  <c r="G693" i="2"/>
  <c r="D693" i="2"/>
  <c r="C693" i="2"/>
  <c r="B693" i="2"/>
  <c r="A693" i="2"/>
  <c r="H692" i="2"/>
  <c r="G692" i="2"/>
  <c r="D692" i="2"/>
  <c r="C692" i="2"/>
  <c r="B692" i="2"/>
  <c r="A692" i="2"/>
  <c r="H691" i="2"/>
  <c r="G691" i="2"/>
  <c r="D691" i="2"/>
  <c r="C691" i="2"/>
  <c r="B691" i="2"/>
  <c r="A691" i="2"/>
  <c r="H1783" i="2"/>
  <c r="G1783" i="2"/>
  <c r="D1783" i="2"/>
  <c r="C1783" i="2"/>
  <c r="B1783" i="2"/>
  <c r="A1783" i="2"/>
  <c r="H425" i="2"/>
  <c r="G425" i="2"/>
  <c r="D425" i="2"/>
  <c r="C425" i="2"/>
  <c r="B425" i="2"/>
  <c r="A425" i="2"/>
  <c r="H771" i="2"/>
  <c r="G771" i="2"/>
  <c r="D771" i="2"/>
  <c r="C771" i="2"/>
  <c r="B771" i="2"/>
  <c r="A771" i="2"/>
  <c r="H623" i="2"/>
  <c r="G623" i="2"/>
  <c r="D623" i="2"/>
  <c r="C623" i="2"/>
  <c r="B623" i="2"/>
  <c r="A623" i="2"/>
  <c r="H770" i="2"/>
  <c r="G770" i="2"/>
  <c r="D770" i="2"/>
  <c r="C770" i="2"/>
  <c r="B770" i="2"/>
  <c r="A770" i="2"/>
  <c r="H622" i="2"/>
  <c r="G622" i="2"/>
  <c r="D622" i="2"/>
  <c r="C622" i="2"/>
  <c r="B622" i="2"/>
  <c r="A622" i="2"/>
  <c r="H769" i="2"/>
  <c r="G769" i="2"/>
  <c r="D769" i="2"/>
  <c r="C769" i="2"/>
  <c r="B769" i="2"/>
  <c r="A769" i="2"/>
  <c r="H621" i="2"/>
  <c r="G621" i="2"/>
  <c r="D621" i="2"/>
  <c r="C621" i="2"/>
  <c r="B621" i="2"/>
  <c r="A621" i="2"/>
  <c r="H690" i="2"/>
  <c r="G690" i="2"/>
  <c r="D690" i="2"/>
  <c r="C690" i="2"/>
  <c r="B690" i="2"/>
  <c r="A690" i="2"/>
  <c r="H689" i="2"/>
  <c r="G689" i="2"/>
  <c r="D689" i="2"/>
  <c r="C689" i="2"/>
  <c r="B689" i="2"/>
  <c r="A689" i="2"/>
  <c r="H688" i="2"/>
  <c r="G688" i="2"/>
  <c r="D688" i="2"/>
  <c r="C688" i="2"/>
  <c r="B688" i="2"/>
  <c r="A688" i="2"/>
  <c r="H687" i="2"/>
  <c r="G687" i="2"/>
  <c r="D687" i="2"/>
  <c r="C687" i="2"/>
  <c r="B687" i="2"/>
  <c r="A687" i="2"/>
  <c r="H686" i="2"/>
  <c r="G686" i="2"/>
  <c r="D686" i="2"/>
  <c r="C686" i="2"/>
  <c r="B686" i="2"/>
  <c r="A686" i="2"/>
  <c r="H685" i="2"/>
  <c r="G685" i="2"/>
  <c r="D685" i="2"/>
  <c r="C685" i="2"/>
  <c r="B685" i="2"/>
  <c r="A685" i="2"/>
  <c r="H684" i="2"/>
  <c r="G684" i="2"/>
  <c r="D684" i="2"/>
  <c r="C684" i="2"/>
  <c r="B684" i="2"/>
  <c r="A684" i="2"/>
  <c r="H683" i="2"/>
  <c r="G683" i="2"/>
  <c r="D683" i="2"/>
  <c r="C683" i="2"/>
  <c r="B683" i="2"/>
  <c r="A683" i="2"/>
  <c r="H682" i="2"/>
  <c r="G682" i="2"/>
  <c r="D682" i="2"/>
  <c r="C682" i="2"/>
  <c r="B682" i="2"/>
  <c r="A682" i="2"/>
  <c r="H681" i="2"/>
  <c r="G681" i="2"/>
  <c r="D681" i="2"/>
  <c r="C681" i="2"/>
  <c r="B681" i="2"/>
  <c r="A681" i="2"/>
  <c r="H680" i="2"/>
  <c r="G680" i="2"/>
  <c r="D680" i="2"/>
  <c r="C680" i="2"/>
  <c r="B680" i="2"/>
  <c r="A680" i="2"/>
  <c r="H679" i="2"/>
  <c r="G679" i="2"/>
  <c r="D679" i="2"/>
  <c r="C679" i="2"/>
  <c r="B679" i="2"/>
  <c r="A679" i="2"/>
  <c r="H1854" i="2"/>
  <c r="G1854" i="2"/>
  <c r="D1854" i="2"/>
  <c r="C1854" i="2"/>
  <c r="B1854" i="2"/>
  <c r="A1854" i="2"/>
  <c r="H39" i="2"/>
  <c r="G39" i="2"/>
  <c r="D39" i="2"/>
  <c r="C39" i="2"/>
  <c r="B39" i="2"/>
  <c r="A39" i="2"/>
  <c r="H38" i="2"/>
  <c r="G38" i="2"/>
  <c r="D38" i="2"/>
  <c r="C38" i="2"/>
  <c r="B38" i="2"/>
  <c r="A38" i="2"/>
  <c r="H37" i="2"/>
  <c r="G37" i="2"/>
  <c r="D37" i="2"/>
  <c r="C37" i="2"/>
  <c r="B37" i="2"/>
  <c r="A37" i="2"/>
  <c r="H36" i="2"/>
  <c r="G36" i="2"/>
  <c r="D36" i="2"/>
  <c r="C36" i="2"/>
  <c r="B36" i="2"/>
  <c r="A36" i="2"/>
  <c r="H1853" i="2"/>
  <c r="G1853" i="2"/>
  <c r="D1853" i="2"/>
  <c r="C1853" i="2"/>
  <c r="B1853" i="2"/>
  <c r="A1853" i="2"/>
  <c r="H678" i="2"/>
  <c r="G678" i="2"/>
  <c r="D678" i="2"/>
  <c r="C678" i="2"/>
  <c r="B678" i="2"/>
  <c r="A678" i="2"/>
  <c r="H677" i="2"/>
  <c r="G677" i="2"/>
  <c r="D677" i="2"/>
  <c r="C677" i="2"/>
  <c r="B677" i="2"/>
  <c r="A677" i="2"/>
  <c r="H1722" i="2"/>
  <c r="G1722" i="2"/>
  <c r="D1722" i="2"/>
  <c r="C1722" i="2"/>
  <c r="B1722" i="2"/>
  <c r="A1722" i="2"/>
  <c r="H424" i="2"/>
  <c r="G424" i="2"/>
  <c r="D424" i="2"/>
  <c r="C424" i="2"/>
  <c r="B424" i="2"/>
  <c r="A424" i="2"/>
  <c r="H423" i="2"/>
  <c r="G423" i="2"/>
  <c r="D423" i="2"/>
  <c r="C423" i="2"/>
  <c r="B423" i="2"/>
  <c r="A423" i="2"/>
  <c r="H15" i="2"/>
  <c r="G15" i="2"/>
  <c r="D15" i="2"/>
  <c r="C15" i="2"/>
  <c r="B15" i="2"/>
  <c r="A15" i="2"/>
  <c r="H574" i="2"/>
  <c r="G574" i="2"/>
  <c r="D574" i="2"/>
  <c r="C574" i="2"/>
  <c r="B574" i="2"/>
  <c r="A574" i="2"/>
  <c r="H1721" i="2"/>
  <c r="G1721" i="2"/>
  <c r="D1721" i="2"/>
  <c r="C1721" i="2"/>
  <c r="B1721" i="2"/>
  <c r="A1721" i="2"/>
  <c r="H573" i="2"/>
  <c r="G573" i="2"/>
  <c r="D573" i="2"/>
  <c r="C573" i="2"/>
  <c r="B573" i="2"/>
  <c r="A573" i="2"/>
  <c r="H1406" i="2"/>
  <c r="G1406" i="2"/>
  <c r="D1406" i="2"/>
  <c r="C1406" i="2"/>
  <c r="B1406" i="2"/>
  <c r="A1406" i="2"/>
  <c r="H1405" i="2"/>
  <c r="G1405" i="2"/>
  <c r="D1405" i="2"/>
  <c r="C1405" i="2"/>
  <c r="B1405" i="2"/>
  <c r="A1405" i="2"/>
  <c r="H572" i="2"/>
  <c r="G572" i="2"/>
  <c r="D572" i="2"/>
  <c r="C572" i="2"/>
  <c r="B572" i="2"/>
  <c r="A572" i="2"/>
  <c r="H768" i="2"/>
  <c r="G768" i="2"/>
  <c r="D768" i="2"/>
  <c r="C768" i="2"/>
  <c r="B768" i="2"/>
  <c r="A768" i="2"/>
  <c r="H620" i="2"/>
  <c r="G620" i="2"/>
  <c r="D620" i="2"/>
  <c r="C620" i="2"/>
  <c r="B620" i="2"/>
  <c r="A620" i="2"/>
  <c r="H14" i="2"/>
  <c r="G14" i="2"/>
  <c r="D14" i="2"/>
  <c r="C14" i="2"/>
  <c r="B14" i="2"/>
  <c r="A14" i="2"/>
  <c r="H571" i="2"/>
  <c r="G571" i="2"/>
  <c r="D571" i="2"/>
  <c r="C571" i="2"/>
  <c r="B571" i="2"/>
  <c r="A571" i="2"/>
  <c r="H422" i="2"/>
  <c r="G422" i="2"/>
  <c r="D422" i="2"/>
  <c r="C422" i="2"/>
  <c r="B422" i="2"/>
  <c r="A422" i="2"/>
  <c r="H160" i="2"/>
  <c r="G160" i="2"/>
  <c r="D160" i="2"/>
  <c r="C160" i="2"/>
  <c r="B160" i="2"/>
  <c r="A160" i="2"/>
  <c r="H1631" i="2"/>
  <c r="G1631" i="2"/>
  <c r="D1631" i="2"/>
  <c r="C1631" i="2"/>
  <c r="B1631" i="2"/>
  <c r="A1631" i="2"/>
  <c r="H1630" i="2"/>
  <c r="G1630" i="2"/>
  <c r="D1630" i="2"/>
  <c r="C1630" i="2"/>
  <c r="B1630" i="2"/>
  <c r="A1630" i="2"/>
  <c r="H159" i="2"/>
  <c r="G159" i="2"/>
  <c r="D159" i="2"/>
  <c r="C159" i="2"/>
  <c r="B159" i="2"/>
  <c r="A159" i="2"/>
  <c r="H1629" i="2"/>
  <c r="G1629" i="2"/>
  <c r="D1629" i="2"/>
  <c r="C1629" i="2"/>
  <c r="B1629" i="2"/>
  <c r="A1629" i="2"/>
  <c r="H35" i="2"/>
  <c r="G35" i="2"/>
  <c r="D35" i="2"/>
  <c r="C35" i="2"/>
  <c r="B35" i="2"/>
  <c r="A35" i="2"/>
  <c r="H1628" i="2"/>
  <c r="G1628" i="2"/>
  <c r="D1628" i="2"/>
  <c r="C1628" i="2"/>
  <c r="B1628" i="2"/>
  <c r="A1628" i="2"/>
  <c r="H1627" i="2"/>
  <c r="G1627" i="2"/>
  <c r="D1627" i="2"/>
  <c r="C1627" i="2"/>
  <c r="B1627" i="2"/>
  <c r="A1627" i="2"/>
  <c r="H158" i="2"/>
  <c r="G158" i="2"/>
  <c r="D158" i="2"/>
  <c r="C158" i="2"/>
  <c r="B158" i="2"/>
  <c r="A158" i="2"/>
  <c r="H1626" i="2"/>
  <c r="G1626" i="2"/>
  <c r="D1626" i="2"/>
  <c r="C1626" i="2"/>
  <c r="B1626" i="2"/>
  <c r="A1626" i="2"/>
  <c r="H1625" i="2"/>
  <c r="G1625" i="2"/>
  <c r="D1625" i="2"/>
  <c r="C1625" i="2"/>
  <c r="B1625" i="2"/>
  <c r="A1625" i="2"/>
  <c r="H157" i="2"/>
  <c r="G157" i="2"/>
  <c r="D157" i="2"/>
  <c r="C157" i="2"/>
  <c r="B157" i="2"/>
  <c r="A157" i="2"/>
  <c r="H1624" i="2"/>
  <c r="G1624" i="2"/>
  <c r="D1624" i="2"/>
  <c r="C1624" i="2"/>
  <c r="B1624" i="2"/>
  <c r="A1624" i="2"/>
  <c r="H1623" i="2"/>
  <c r="G1623" i="2"/>
  <c r="D1623" i="2"/>
  <c r="C1623" i="2"/>
  <c r="B1623" i="2"/>
  <c r="A1623" i="2"/>
  <c r="H156" i="2"/>
  <c r="G156" i="2"/>
  <c r="D156" i="2"/>
  <c r="C156" i="2"/>
  <c r="B156" i="2"/>
  <c r="A156" i="2"/>
  <c r="H863" i="2"/>
  <c r="G863" i="2"/>
  <c r="D863" i="2"/>
  <c r="C863" i="2"/>
  <c r="B863" i="2"/>
  <c r="A863" i="2"/>
  <c r="H862" i="2"/>
  <c r="G862" i="2"/>
  <c r="D862" i="2"/>
  <c r="C862" i="2"/>
  <c r="B862" i="2"/>
  <c r="A862" i="2"/>
  <c r="H861" i="2"/>
  <c r="G861" i="2"/>
  <c r="D861" i="2"/>
  <c r="C861" i="2"/>
  <c r="B861" i="2"/>
  <c r="A861" i="2"/>
  <c r="H860" i="2"/>
  <c r="G860" i="2"/>
  <c r="D860" i="2"/>
  <c r="C860" i="2"/>
  <c r="B860" i="2"/>
  <c r="A860" i="2"/>
  <c r="H859" i="2"/>
  <c r="G859" i="2"/>
  <c r="D859" i="2"/>
  <c r="C859" i="2"/>
  <c r="B859" i="2"/>
  <c r="A859" i="2"/>
  <c r="H858" i="2"/>
  <c r="G858" i="2"/>
  <c r="D858" i="2"/>
  <c r="C858" i="2"/>
  <c r="B858" i="2"/>
  <c r="A858" i="2"/>
  <c r="H857" i="2"/>
  <c r="G857" i="2"/>
  <c r="D857" i="2"/>
  <c r="C857" i="2"/>
  <c r="B857" i="2"/>
  <c r="A857" i="2"/>
  <c r="H856" i="2"/>
  <c r="G856" i="2"/>
  <c r="D856" i="2"/>
  <c r="C856" i="2"/>
  <c r="B856" i="2"/>
  <c r="A856" i="2"/>
  <c r="H855" i="2"/>
  <c r="G855" i="2"/>
  <c r="D855" i="2"/>
  <c r="C855" i="2"/>
  <c r="B855" i="2"/>
  <c r="A855" i="2"/>
  <c r="H854" i="2"/>
  <c r="G854" i="2"/>
  <c r="D854" i="2"/>
  <c r="C854" i="2"/>
  <c r="B854" i="2"/>
  <c r="A854" i="2"/>
  <c r="H853" i="2"/>
  <c r="G853" i="2"/>
  <c r="D853" i="2"/>
  <c r="C853" i="2"/>
  <c r="B853" i="2"/>
  <c r="A853" i="2"/>
  <c r="H852" i="2"/>
  <c r="G852" i="2"/>
  <c r="D852" i="2"/>
  <c r="C852" i="2"/>
  <c r="B852" i="2"/>
  <c r="A852" i="2"/>
  <c r="H851" i="2"/>
  <c r="G851" i="2"/>
  <c r="D851" i="2"/>
  <c r="C851" i="2"/>
  <c r="B851" i="2"/>
  <c r="A851" i="2"/>
  <c r="H850" i="2"/>
  <c r="G850" i="2"/>
  <c r="D850" i="2"/>
  <c r="C850" i="2"/>
  <c r="B850" i="2"/>
  <c r="A850" i="2"/>
  <c r="H849" i="2"/>
  <c r="G849" i="2"/>
  <c r="D849" i="2"/>
  <c r="C849" i="2"/>
  <c r="B849" i="2"/>
  <c r="A849" i="2"/>
  <c r="H1445" i="2"/>
  <c r="G1445" i="2"/>
  <c r="D1445" i="2"/>
  <c r="C1445" i="2"/>
  <c r="B1445" i="2"/>
  <c r="A1445" i="2"/>
  <c r="H1572" i="2"/>
  <c r="G1572" i="2"/>
  <c r="D1572" i="2"/>
  <c r="C1572" i="2"/>
  <c r="B1572" i="2"/>
  <c r="A1572" i="2"/>
  <c r="H848" i="2"/>
  <c r="G848" i="2"/>
  <c r="D848" i="2"/>
  <c r="C848" i="2"/>
  <c r="B848" i="2"/>
  <c r="A848" i="2"/>
  <c r="H155" i="2"/>
  <c r="G155" i="2"/>
  <c r="D155" i="2"/>
  <c r="C155" i="2"/>
  <c r="B155" i="2"/>
  <c r="A155" i="2"/>
  <c r="H1810" i="2"/>
  <c r="G1810" i="2"/>
  <c r="D1810" i="2"/>
  <c r="C1810" i="2"/>
  <c r="B1810" i="2"/>
  <c r="A1810" i="2"/>
  <c r="H1809" i="2"/>
  <c r="G1809" i="2"/>
  <c r="D1809" i="2"/>
  <c r="C1809" i="2"/>
  <c r="B1809" i="2"/>
  <c r="A1809" i="2"/>
  <c r="H154" i="2"/>
  <c r="G154" i="2"/>
  <c r="D154" i="2"/>
  <c r="C154" i="2"/>
  <c r="B154" i="2"/>
  <c r="A154" i="2"/>
  <c r="H1490" i="2"/>
  <c r="G1490" i="2"/>
  <c r="D1490" i="2"/>
  <c r="C1490" i="2"/>
  <c r="B1490" i="2"/>
  <c r="A1490" i="2"/>
  <c r="H153" i="2"/>
  <c r="G153" i="2"/>
  <c r="D153" i="2"/>
  <c r="C153" i="2"/>
  <c r="B153" i="2"/>
  <c r="A153" i="2"/>
  <c r="H152" i="2"/>
  <c r="G152" i="2"/>
  <c r="D152" i="2"/>
  <c r="C152" i="2"/>
  <c r="B152" i="2"/>
  <c r="A152" i="2"/>
  <c r="H1569" i="2"/>
  <c r="G1569" i="2"/>
  <c r="D1569" i="2"/>
  <c r="C1569" i="2"/>
  <c r="B1569" i="2"/>
  <c r="A1569" i="2"/>
  <c r="H1577" i="2"/>
  <c r="G1577" i="2"/>
  <c r="D1577" i="2"/>
  <c r="C1577" i="2"/>
  <c r="B1577" i="2"/>
  <c r="A1577" i="2"/>
  <c r="H531" i="2"/>
  <c r="G531" i="2"/>
  <c r="D531" i="2"/>
  <c r="C531" i="2"/>
  <c r="B531" i="2"/>
  <c r="A531" i="2"/>
  <c r="H1544" i="2"/>
  <c r="G1544" i="2"/>
  <c r="D1544" i="2"/>
  <c r="C1544" i="2"/>
  <c r="B1544" i="2"/>
  <c r="A1544" i="2"/>
  <c r="H530" i="2"/>
  <c r="G530" i="2"/>
  <c r="D530" i="2"/>
  <c r="C530" i="2"/>
  <c r="B530" i="2"/>
  <c r="A530" i="2"/>
  <c r="H529" i="2"/>
  <c r="G529" i="2"/>
  <c r="D529" i="2"/>
  <c r="C529" i="2"/>
  <c r="B529" i="2"/>
  <c r="A529" i="2"/>
  <c r="H1489" i="2"/>
  <c r="G1489" i="2"/>
  <c r="D1489" i="2"/>
  <c r="C1489" i="2"/>
  <c r="B1489" i="2"/>
  <c r="A1489" i="2"/>
  <c r="H1734" i="2"/>
  <c r="G1734" i="2"/>
  <c r="D1734" i="2"/>
  <c r="C1734" i="2"/>
  <c r="B1734" i="2"/>
  <c r="A1734" i="2"/>
  <c r="H1488" i="2"/>
  <c r="G1488" i="2"/>
  <c r="D1488" i="2"/>
  <c r="C1488" i="2"/>
  <c r="B1488" i="2"/>
  <c r="A1488" i="2"/>
  <c r="H1668" i="2"/>
  <c r="G1668" i="2"/>
  <c r="D1668" i="2"/>
  <c r="C1668" i="2"/>
  <c r="B1668" i="2"/>
  <c r="A1668" i="2"/>
  <c r="H34" i="2"/>
  <c r="G34" i="2"/>
  <c r="D34" i="2"/>
  <c r="C34" i="2"/>
  <c r="B34" i="2"/>
  <c r="A34" i="2"/>
  <c r="H296" i="2"/>
  <c r="G296" i="2"/>
  <c r="D296" i="2"/>
  <c r="C296" i="2"/>
  <c r="B296" i="2"/>
  <c r="A296" i="2"/>
  <c r="H1441" i="2"/>
  <c r="G1441" i="2"/>
  <c r="D1441" i="2"/>
  <c r="C1441" i="2"/>
  <c r="B1441" i="2"/>
  <c r="A1441" i="2"/>
  <c r="H528" i="2"/>
  <c r="G528" i="2"/>
  <c r="D528" i="2"/>
  <c r="C528" i="2"/>
  <c r="B528" i="2"/>
  <c r="A528" i="2"/>
  <c r="H1487" i="2"/>
  <c r="G1487" i="2"/>
  <c r="D1487" i="2"/>
  <c r="C1487" i="2"/>
  <c r="B1487" i="2"/>
  <c r="A1487" i="2"/>
  <c r="H458" i="2"/>
  <c r="G458" i="2"/>
  <c r="D458" i="2"/>
  <c r="C458" i="2"/>
  <c r="B458" i="2"/>
  <c r="A458" i="2"/>
  <c r="H1543" i="2"/>
  <c r="G1543" i="2"/>
  <c r="D1543" i="2"/>
  <c r="C1543" i="2"/>
  <c r="B1543" i="2"/>
  <c r="A1543" i="2"/>
  <c r="H33" i="2"/>
  <c r="G33" i="2"/>
  <c r="D33" i="2"/>
  <c r="C33" i="2"/>
  <c r="B33" i="2"/>
  <c r="A33" i="2"/>
  <c r="H32" i="2"/>
  <c r="G32" i="2"/>
  <c r="D32" i="2"/>
  <c r="C32" i="2"/>
  <c r="B32" i="2"/>
  <c r="A32" i="2"/>
  <c r="H31" i="2"/>
  <c r="G31" i="2"/>
  <c r="D31" i="2"/>
  <c r="C31" i="2"/>
  <c r="B31" i="2"/>
  <c r="A31" i="2"/>
  <c r="H151" i="2"/>
  <c r="G151" i="2"/>
  <c r="D151" i="2"/>
  <c r="C151" i="2"/>
  <c r="B151" i="2"/>
  <c r="A151" i="2"/>
  <c r="H150" i="2"/>
  <c r="G150" i="2"/>
  <c r="D150" i="2"/>
  <c r="C150" i="2"/>
  <c r="B150" i="2"/>
  <c r="A150" i="2"/>
  <c r="H30" i="2"/>
  <c r="G30" i="2"/>
  <c r="D30" i="2"/>
  <c r="C30" i="2"/>
  <c r="B30" i="2"/>
  <c r="A30" i="2"/>
  <c r="H527" i="2"/>
  <c r="G527" i="2"/>
  <c r="D527" i="2"/>
  <c r="C527" i="2"/>
  <c r="B527" i="2"/>
  <c r="A527" i="2"/>
  <c r="H149" i="2"/>
  <c r="G149" i="2"/>
  <c r="D149" i="2"/>
  <c r="C149" i="2"/>
  <c r="B149" i="2"/>
  <c r="A149" i="2"/>
  <c r="H148" i="2"/>
  <c r="G148" i="2"/>
  <c r="D148" i="2"/>
  <c r="C148" i="2"/>
  <c r="B148" i="2"/>
  <c r="A148" i="2"/>
  <c r="H147" i="2"/>
  <c r="G147" i="2"/>
  <c r="D147" i="2"/>
  <c r="C147" i="2"/>
  <c r="B147" i="2"/>
  <c r="A147" i="2"/>
  <c r="H146" i="2"/>
  <c r="G146" i="2"/>
  <c r="D146" i="2"/>
  <c r="C146" i="2"/>
  <c r="B146" i="2"/>
  <c r="A146" i="2"/>
  <c r="H145" i="2"/>
  <c r="G145" i="2"/>
  <c r="D145" i="2"/>
  <c r="C145" i="2"/>
  <c r="B145" i="2"/>
  <c r="A145" i="2"/>
  <c r="H144" i="2"/>
  <c r="G144" i="2"/>
  <c r="D144" i="2"/>
  <c r="C144" i="2"/>
  <c r="B144" i="2"/>
  <c r="A144" i="2"/>
  <c r="H143" i="2"/>
  <c r="G143" i="2"/>
  <c r="D143" i="2"/>
  <c r="C143" i="2"/>
  <c r="B143" i="2"/>
  <c r="A143" i="2"/>
  <c r="H142" i="2"/>
  <c r="G142" i="2"/>
  <c r="D142" i="2"/>
  <c r="C142" i="2"/>
  <c r="B142" i="2"/>
  <c r="A142" i="2"/>
  <c r="H141" i="2"/>
  <c r="G141" i="2"/>
  <c r="D141" i="2"/>
  <c r="C141" i="2"/>
  <c r="B141" i="2"/>
  <c r="A141" i="2"/>
  <c r="H1444" i="2"/>
  <c r="G1444" i="2"/>
  <c r="D1444" i="2"/>
  <c r="C1444" i="2"/>
  <c r="B1444" i="2"/>
  <c r="A1444" i="2"/>
  <c r="H140" i="2"/>
  <c r="G140" i="2"/>
  <c r="D140" i="2"/>
  <c r="C140" i="2"/>
  <c r="B140" i="2"/>
  <c r="A140" i="2"/>
  <c r="H29" i="2"/>
  <c r="G29" i="2"/>
  <c r="D29" i="2"/>
  <c r="C29" i="2"/>
  <c r="B29" i="2"/>
  <c r="A29" i="2"/>
  <c r="H457" i="2"/>
  <c r="G457" i="2"/>
  <c r="D457" i="2"/>
  <c r="C457" i="2"/>
  <c r="B457" i="2"/>
  <c r="A457" i="2"/>
  <c r="H456" i="2"/>
  <c r="G456" i="2"/>
  <c r="D456" i="2"/>
  <c r="C456" i="2"/>
  <c r="B456" i="2"/>
  <c r="A456" i="2"/>
  <c r="H295" i="2"/>
  <c r="G295" i="2"/>
  <c r="D295" i="2"/>
  <c r="C295" i="2"/>
  <c r="B295" i="2"/>
  <c r="A295" i="2"/>
  <c r="H455" i="2"/>
  <c r="G455" i="2"/>
  <c r="D455" i="2"/>
  <c r="C455" i="2"/>
  <c r="B455" i="2"/>
  <c r="A455" i="2"/>
  <c r="H454" i="2"/>
  <c r="G454" i="2"/>
  <c r="D454" i="2"/>
  <c r="C454" i="2"/>
  <c r="B454" i="2"/>
  <c r="A454" i="2"/>
  <c r="H1819" i="2"/>
  <c r="G1819" i="2"/>
  <c r="D1819" i="2"/>
  <c r="C1819" i="2"/>
  <c r="B1819" i="2"/>
  <c r="A1819" i="2"/>
  <c r="H1708" i="2"/>
  <c r="G1708" i="2"/>
  <c r="D1708" i="2"/>
  <c r="C1708" i="2"/>
  <c r="B1708" i="2"/>
  <c r="A1708" i="2"/>
  <c r="H1542" i="2"/>
  <c r="G1542" i="2"/>
  <c r="D1542" i="2"/>
  <c r="C1542" i="2"/>
  <c r="B1542" i="2"/>
  <c r="A1542" i="2"/>
  <c r="H1416" i="2"/>
  <c r="G1416" i="2"/>
  <c r="D1416" i="2"/>
  <c r="C1416" i="2"/>
  <c r="B1416" i="2"/>
  <c r="A1416" i="2"/>
  <c r="H453" i="2"/>
  <c r="G453" i="2"/>
  <c r="D453" i="2"/>
  <c r="C453" i="2"/>
  <c r="B453" i="2"/>
  <c r="A453" i="2"/>
  <c r="H767" i="2"/>
  <c r="G767" i="2"/>
  <c r="D767" i="2"/>
  <c r="C767" i="2"/>
  <c r="B767" i="2"/>
  <c r="A767" i="2"/>
  <c r="H619" i="2"/>
  <c r="G619" i="2"/>
  <c r="D619" i="2"/>
  <c r="C619" i="2"/>
  <c r="B619" i="2"/>
  <c r="A619" i="2"/>
  <c r="H766" i="2"/>
  <c r="G766" i="2"/>
  <c r="D766" i="2"/>
  <c r="C766" i="2"/>
  <c r="B766" i="2"/>
  <c r="A766" i="2"/>
  <c r="H618" i="2"/>
  <c r="G618" i="2"/>
  <c r="D618" i="2"/>
  <c r="C618" i="2"/>
  <c r="B618" i="2"/>
  <c r="A618" i="2"/>
  <c r="H765" i="2"/>
  <c r="G765" i="2"/>
  <c r="D765" i="2"/>
  <c r="C765" i="2"/>
  <c r="B765" i="2"/>
  <c r="A765" i="2"/>
  <c r="H617" i="2"/>
  <c r="G617" i="2"/>
  <c r="D617" i="2"/>
  <c r="C617" i="2"/>
  <c r="B617" i="2"/>
  <c r="A617" i="2"/>
  <c r="H764" i="2"/>
  <c r="G764" i="2"/>
  <c r="D764" i="2"/>
  <c r="C764" i="2"/>
  <c r="B764" i="2"/>
  <c r="A764" i="2"/>
  <c r="H616" i="2"/>
  <c r="G616" i="2"/>
  <c r="D616" i="2"/>
  <c r="C616" i="2"/>
  <c r="B616" i="2"/>
  <c r="A616" i="2"/>
  <c r="H763" i="2"/>
  <c r="G763" i="2"/>
  <c r="D763" i="2"/>
  <c r="C763" i="2"/>
  <c r="B763" i="2"/>
  <c r="A763" i="2"/>
  <c r="H615" i="2"/>
  <c r="G615" i="2"/>
  <c r="D615" i="2"/>
  <c r="C615" i="2"/>
  <c r="B615" i="2"/>
  <c r="A615" i="2"/>
  <c r="H762" i="2"/>
  <c r="G762" i="2"/>
  <c r="D762" i="2"/>
  <c r="C762" i="2"/>
  <c r="B762" i="2"/>
  <c r="A762" i="2"/>
  <c r="H614" i="2"/>
  <c r="G614" i="2"/>
  <c r="D614" i="2"/>
  <c r="C614" i="2"/>
  <c r="B614" i="2"/>
  <c r="A614" i="2"/>
  <c r="H761" i="2"/>
  <c r="G761" i="2"/>
  <c r="D761" i="2"/>
  <c r="C761" i="2"/>
  <c r="B761" i="2"/>
  <c r="A761" i="2"/>
  <c r="H613" i="2"/>
  <c r="G613" i="2"/>
  <c r="D613" i="2"/>
  <c r="C613" i="2"/>
  <c r="B613" i="2"/>
  <c r="A613" i="2"/>
  <c r="H760" i="2"/>
  <c r="G760" i="2"/>
  <c r="D760" i="2"/>
  <c r="C760" i="2"/>
  <c r="B760" i="2"/>
  <c r="A760" i="2"/>
  <c r="H612" i="2"/>
  <c r="G612" i="2"/>
  <c r="D612" i="2"/>
  <c r="C612" i="2"/>
  <c r="B612" i="2"/>
  <c r="A612" i="2"/>
  <c r="H759" i="2"/>
  <c r="G759" i="2"/>
  <c r="D759" i="2"/>
  <c r="C759" i="2"/>
  <c r="B759" i="2"/>
  <c r="A759" i="2"/>
  <c r="H611" i="2"/>
  <c r="G611" i="2"/>
  <c r="D611" i="2"/>
  <c r="C611" i="2"/>
  <c r="B611" i="2"/>
  <c r="A611" i="2"/>
  <c r="H758" i="2"/>
  <c r="G758" i="2"/>
  <c r="D758" i="2"/>
  <c r="C758" i="2"/>
  <c r="B758" i="2"/>
  <c r="A758" i="2"/>
  <c r="H610" i="2"/>
  <c r="G610" i="2"/>
  <c r="D610" i="2"/>
  <c r="C610" i="2"/>
  <c r="B610" i="2"/>
  <c r="A610" i="2"/>
  <c r="H757" i="2"/>
  <c r="G757" i="2"/>
  <c r="D757" i="2"/>
  <c r="C757" i="2"/>
  <c r="B757" i="2"/>
  <c r="A757" i="2"/>
  <c r="H609" i="2"/>
  <c r="G609" i="2"/>
  <c r="D609" i="2"/>
  <c r="C609" i="2"/>
  <c r="B609" i="2"/>
  <c r="A609" i="2"/>
  <c r="H756" i="2"/>
  <c r="G756" i="2"/>
  <c r="D756" i="2"/>
  <c r="C756" i="2"/>
  <c r="B756" i="2"/>
  <c r="A756" i="2"/>
  <c r="H608" i="2"/>
  <c r="G608" i="2"/>
  <c r="D608" i="2"/>
  <c r="C608" i="2"/>
  <c r="B608" i="2"/>
  <c r="A608" i="2"/>
  <c r="H755" i="2"/>
  <c r="G755" i="2"/>
  <c r="D755" i="2"/>
  <c r="C755" i="2"/>
  <c r="B755" i="2"/>
  <c r="A755" i="2"/>
  <c r="H607" i="2"/>
  <c r="G607" i="2"/>
  <c r="D607" i="2"/>
  <c r="C607" i="2"/>
  <c r="B607" i="2"/>
  <c r="A607" i="2"/>
  <c r="H754" i="2"/>
  <c r="G754" i="2"/>
  <c r="D754" i="2"/>
  <c r="C754" i="2"/>
  <c r="B754" i="2"/>
  <c r="A754" i="2"/>
  <c r="H606" i="2"/>
  <c r="G606" i="2"/>
  <c r="D606" i="2"/>
  <c r="C606" i="2"/>
  <c r="B606" i="2"/>
  <c r="A606" i="2"/>
  <c r="H753" i="2"/>
  <c r="G753" i="2"/>
  <c r="D753" i="2"/>
  <c r="C753" i="2"/>
  <c r="B753" i="2"/>
  <c r="A753" i="2"/>
  <c r="H605" i="2"/>
  <c r="G605" i="2"/>
  <c r="D605" i="2"/>
  <c r="C605" i="2"/>
  <c r="B605" i="2"/>
  <c r="A605" i="2"/>
  <c r="H752" i="2"/>
  <c r="G752" i="2"/>
  <c r="D752" i="2"/>
  <c r="C752" i="2"/>
  <c r="B752" i="2"/>
  <c r="A752" i="2"/>
  <c r="H604" i="2"/>
  <c r="G604" i="2"/>
  <c r="D604" i="2"/>
  <c r="C604" i="2"/>
  <c r="B604" i="2"/>
  <c r="A604" i="2"/>
  <c r="H751" i="2"/>
  <c r="G751" i="2"/>
  <c r="D751" i="2"/>
  <c r="C751" i="2"/>
  <c r="B751" i="2"/>
  <c r="A751" i="2"/>
  <c r="H603" i="2"/>
  <c r="G603" i="2"/>
  <c r="D603" i="2"/>
  <c r="C603" i="2"/>
  <c r="B603" i="2"/>
  <c r="A603" i="2"/>
  <c r="H750" i="2"/>
  <c r="G750" i="2"/>
  <c r="D750" i="2"/>
  <c r="C750" i="2"/>
  <c r="B750" i="2"/>
  <c r="A750" i="2"/>
  <c r="H602" i="2"/>
  <c r="G602" i="2"/>
  <c r="D602" i="2"/>
  <c r="C602" i="2"/>
  <c r="B602" i="2"/>
  <c r="A602" i="2"/>
  <c r="H749" i="2"/>
  <c r="G749" i="2"/>
  <c r="D749" i="2"/>
  <c r="C749" i="2"/>
  <c r="B749" i="2"/>
  <c r="A749" i="2"/>
  <c r="H601" i="2"/>
  <c r="G601" i="2"/>
  <c r="D601" i="2"/>
  <c r="C601" i="2"/>
  <c r="B601" i="2"/>
  <c r="A601" i="2"/>
  <c r="H748" i="2"/>
  <c r="G748" i="2"/>
  <c r="D748" i="2"/>
  <c r="C748" i="2"/>
  <c r="B748" i="2"/>
  <c r="A748" i="2"/>
  <c r="H600" i="2"/>
  <c r="G600" i="2"/>
  <c r="D600" i="2"/>
  <c r="C600" i="2"/>
  <c r="B600" i="2"/>
  <c r="A600" i="2"/>
  <c r="H1533" i="2"/>
  <c r="G1533" i="2"/>
  <c r="D1533" i="2"/>
  <c r="C1533" i="2"/>
  <c r="B1533" i="2"/>
  <c r="A1533" i="2"/>
  <c r="H1622" i="2"/>
  <c r="G1622" i="2"/>
  <c r="D1622" i="2"/>
  <c r="C1622" i="2"/>
  <c r="B1622" i="2"/>
  <c r="A1622" i="2"/>
  <c r="H1852" i="2"/>
  <c r="G1852" i="2"/>
  <c r="D1852" i="2"/>
  <c r="C1852" i="2"/>
  <c r="B1852" i="2"/>
  <c r="A1852" i="2"/>
  <c r="H1523" i="2"/>
  <c r="G1523" i="2"/>
  <c r="D1523" i="2"/>
  <c r="C1523" i="2"/>
  <c r="B1523" i="2"/>
  <c r="A1523" i="2"/>
  <c r="H28" i="2"/>
  <c r="G28" i="2"/>
  <c r="D28" i="2"/>
  <c r="C28" i="2"/>
  <c r="B28" i="2"/>
  <c r="A28" i="2"/>
  <c r="H1713" i="2"/>
  <c r="G1713" i="2"/>
  <c r="D1713" i="2"/>
  <c r="C1713" i="2"/>
  <c r="B1713" i="2"/>
  <c r="A1713" i="2"/>
  <c r="H1720" i="2"/>
  <c r="G1720" i="2"/>
  <c r="D1720" i="2"/>
  <c r="C1720" i="2"/>
  <c r="B1720" i="2"/>
  <c r="A1720" i="2"/>
  <c r="H421" i="2"/>
  <c r="G421" i="2"/>
  <c r="D421" i="2"/>
  <c r="C421" i="2"/>
  <c r="B421" i="2"/>
  <c r="A421" i="2"/>
  <c r="H1672" i="2"/>
  <c r="G1672" i="2"/>
  <c r="D1672" i="2"/>
  <c r="C1672" i="2"/>
  <c r="B1672" i="2"/>
  <c r="A1672" i="2"/>
  <c r="H1404" i="2"/>
  <c r="G1404" i="2"/>
  <c r="D1404" i="2"/>
  <c r="C1404" i="2"/>
  <c r="B1404" i="2"/>
  <c r="A1404" i="2"/>
  <c r="H1782" i="2"/>
  <c r="G1782" i="2"/>
  <c r="D1782" i="2"/>
  <c r="C1782" i="2"/>
  <c r="B1782" i="2"/>
  <c r="A1782" i="2"/>
  <c r="H1781" i="2"/>
  <c r="G1781" i="2"/>
  <c r="D1781" i="2"/>
  <c r="C1781" i="2"/>
  <c r="B1781" i="2"/>
  <c r="A1781" i="2"/>
  <c r="H1780" i="2"/>
  <c r="G1780" i="2"/>
  <c r="D1780" i="2"/>
  <c r="C1780" i="2"/>
  <c r="B1780" i="2"/>
  <c r="A1780" i="2"/>
  <c r="H13" i="2"/>
  <c r="G13" i="2"/>
  <c r="D13" i="2"/>
  <c r="C13" i="2"/>
  <c r="B13" i="2"/>
  <c r="A13" i="2"/>
  <c r="H1667" i="2"/>
  <c r="G1667" i="2"/>
  <c r="D1667" i="2"/>
  <c r="C1667" i="2"/>
  <c r="B1667" i="2"/>
  <c r="A1667" i="2"/>
  <c r="H568" i="2"/>
  <c r="G568" i="2"/>
  <c r="D568" i="2"/>
  <c r="C568" i="2"/>
  <c r="B568" i="2"/>
  <c r="A568" i="2"/>
  <c r="H845" i="2"/>
  <c r="G845" i="2"/>
  <c r="D845" i="2"/>
  <c r="C845" i="2"/>
  <c r="B845" i="2"/>
  <c r="A845" i="2"/>
  <c r="H420" i="2"/>
  <c r="G420" i="2"/>
  <c r="D420" i="2"/>
  <c r="C420" i="2"/>
  <c r="B420" i="2"/>
  <c r="A420" i="2"/>
  <c r="H419" i="2"/>
  <c r="G419" i="2"/>
  <c r="D419" i="2"/>
  <c r="C419" i="2"/>
  <c r="B419" i="2"/>
  <c r="A419" i="2"/>
  <c r="H1808" i="2"/>
  <c r="G1808" i="2"/>
  <c r="D1808" i="2"/>
  <c r="C1808" i="2"/>
  <c r="B1808" i="2"/>
  <c r="A1808" i="2"/>
  <c r="H1807" i="2"/>
  <c r="G1807" i="2"/>
  <c r="D1807" i="2"/>
  <c r="C1807" i="2"/>
  <c r="B1807" i="2"/>
  <c r="A1807" i="2"/>
  <c r="H595" i="2"/>
  <c r="G595" i="2"/>
  <c r="D595" i="2"/>
  <c r="C595" i="2"/>
  <c r="B595" i="2"/>
  <c r="A595" i="2"/>
  <c r="H1806" i="2"/>
  <c r="G1806" i="2"/>
  <c r="D1806" i="2"/>
  <c r="C1806" i="2"/>
  <c r="B1806" i="2"/>
  <c r="A1806" i="2"/>
  <c r="H1773" i="2"/>
  <c r="G1773" i="2"/>
  <c r="D1773" i="2"/>
  <c r="C1773" i="2"/>
  <c r="B1773" i="2"/>
  <c r="A1773" i="2"/>
  <c r="H1621" i="2"/>
  <c r="G1621" i="2"/>
  <c r="D1621" i="2"/>
  <c r="C1621" i="2"/>
  <c r="B1621" i="2"/>
  <c r="A1621" i="2"/>
  <c r="H1620" i="2"/>
  <c r="G1620" i="2"/>
  <c r="D1620" i="2"/>
  <c r="C1620" i="2"/>
  <c r="B1620" i="2"/>
  <c r="A1620" i="2"/>
  <c r="H1619" i="2"/>
  <c r="G1619" i="2"/>
  <c r="D1619" i="2"/>
  <c r="C1619" i="2"/>
  <c r="B1619" i="2"/>
  <c r="A1619" i="2"/>
  <c r="H1618" i="2"/>
  <c r="G1618" i="2"/>
  <c r="D1618" i="2"/>
  <c r="C1618" i="2"/>
  <c r="B1618" i="2"/>
  <c r="A1618" i="2"/>
  <c r="H1617" i="2"/>
  <c r="G1617" i="2"/>
  <c r="D1617" i="2"/>
  <c r="C1617" i="2"/>
  <c r="B1617" i="2"/>
  <c r="A1617" i="2"/>
  <c r="H1616" i="2"/>
  <c r="G1616" i="2"/>
  <c r="D1616" i="2"/>
  <c r="C1616" i="2"/>
  <c r="B1616" i="2"/>
  <c r="A1616" i="2"/>
  <c r="H1615" i="2"/>
  <c r="G1615" i="2"/>
  <c r="D1615" i="2"/>
  <c r="C1615" i="2"/>
  <c r="B1615" i="2"/>
  <c r="A1615" i="2"/>
  <c r="H1614" i="2"/>
  <c r="G1614" i="2"/>
  <c r="D1614" i="2"/>
  <c r="C1614" i="2"/>
  <c r="B1614" i="2"/>
  <c r="A1614" i="2"/>
  <c r="H1613" i="2"/>
  <c r="G1613" i="2"/>
  <c r="D1613" i="2"/>
  <c r="C1613" i="2"/>
  <c r="B1613" i="2"/>
  <c r="A1613" i="2"/>
  <c r="H1612" i="2"/>
  <c r="G1612" i="2"/>
  <c r="D1612" i="2"/>
  <c r="C1612" i="2"/>
  <c r="B1612" i="2"/>
  <c r="A1612" i="2"/>
  <c r="H1611" i="2"/>
  <c r="G1611" i="2"/>
  <c r="D1611" i="2"/>
  <c r="C1611" i="2"/>
  <c r="B1611" i="2"/>
  <c r="A1611" i="2"/>
  <c r="H1610" i="2"/>
  <c r="G1610" i="2"/>
  <c r="D1610" i="2"/>
  <c r="C1610" i="2"/>
  <c r="B1610" i="2"/>
  <c r="A1610" i="2"/>
  <c r="H1609" i="2"/>
  <c r="G1609" i="2"/>
  <c r="D1609" i="2"/>
  <c r="C1609" i="2"/>
  <c r="B1609" i="2"/>
  <c r="A1609" i="2"/>
  <c r="H1608" i="2"/>
  <c r="G1608" i="2"/>
  <c r="D1608" i="2"/>
  <c r="C1608" i="2"/>
  <c r="B1608" i="2"/>
  <c r="A1608" i="2"/>
  <c r="H1607" i="2"/>
  <c r="G1607" i="2"/>
  <c r="D1607" i="2"/>
  <c r="C1607" i="2"/>
  <c r="B1607" i="2"/>
  <c r="A1607" i="2"/>
  <c r="H1606" i="2"/>
  <c r="G1606" i="2"/>
  <c r="D1606" i="2"/>
  <c r="C1606" i="2"/>
  <c r="B1606" i="2"/>
  <c r="A1606" i="2"/>
  <c r="H1605" i="2"/>
  <c r="G1605" i="2"/>
  <c r="D1605" i="2"/>
  <c r="C1605" i="2"/>
  <c r="B1605" i="2"/>
  <c r="A1605" i="2"/>
  <c r="H1604" i="2"/>
  <c r="G1604" i="2"/>
  <c r="D1604" i="2"/>
  <c r="C1604" i="2"/>
  <c r="B1604" i="2"/>
  <c r="A1604" i="2"/>
  <c r="H1603" i="2"/>
  <c r="G1603" i="2"/>
  <c r="D1603" i="2"/>
  <c r="C1603" i="2"/>
  <c r="B1603" i="2"/>
  <c r="A1603" i="2"/>
  <c r="H1602" i="2"/>
  <c r="G1602" i="2"/>
  <c r="D1602" i="2"/>
  <c r="C1602" i="2"/>
  <c r="B1602" i="2"/>
  <c r="A1602" i="2"/>
  <c r="H1601" i="2"/>
  <c r="G1601" i="2"/>
  <c r="D1601" i="2"/>
  <c r="C1601" i="2"/>
  <c r="B1601" i="2"/>
  <c r="A1601" i="2"/>
  <c r="H1600" i="2"/>
  <c r="G1600" i="2"/>
  <c r="D1600" i="2"/>
  <c r="C1600" i="2"/>
  <c r="B1600" i="2"/>
  <c r="A1600" i="2"/>
  <c r="H1599" i="2"/>
  <c r="G1599" i="2"/>
  <c r="D1599" i="2"/>
  <c r="C1599" i="2"/>
  <c r="B1599" i="2"/>
  <c r="A1599" i="2"/>
  <c r="H1598" i="2"/>
  <c r="G1598" i="2"/>
  <c r="D1598" i="2"/>
  <c r="C1598" i="2"/>
  <c r="B1598" i="2"/>
  <c r="A1598" i="2"/>
  <c r="H1597" i="2"/>
  <c r="G1597" i="2"/>
  <c r="D1597" i="2"/>
  <c r="C1597" i="2"/>
  <c r="B1597" i="2"/>
  <c r="A1597" i="2"/>
  <c r="H1596" i="2"/>
  <c r="G1596" i="2"/>
  <c r="D1596" i="2"/>
  <c r="C1596" i="2"/>
  <c r="B1596" i="2"/>
  <c r="A1596" i="2"/>
  <c r="H1595" i="2"/>
  <c r="G1595" i="2"/>
  <c r="D1595" i="2"/>
  <c r="C1595" i="2"/>
  <c r="B1595" i="2"/>
  <c r="A1595" i="2"/>
  <c r="H1594" i="2"/>
  <c r="G1594" i="2"/>
  <c r="D1594" i="2"/>
  <c r="C1594" i="2"/>
  <c r="B1594" i="2"/>
  <c r="A1594" i="2"/>
  <c r="H1593" i="2"/>
  <c r="G1593" i="2"/>
  <c r="D1593" i="2"/>
  <c r="C1593" i="2"/>
  <c r="B1593" i="2"/>
  <c r="A1593" i="2"/>
  <c r="H1592" i="2"/>
  <c r="G1592" i="2"/>
  <c r="D1592" i="2"/>
  <c r="C1592" i="2"/>
  <c r="B1592" i="2"/>
  <c r="A1592" i="2"/>
  <c r="H1591" i="2"/>
  <c r="G1591" i="2"/>
  <c r="D1591" i="2"/>
  <c r="C1591" i="2"/>
  <c r="B1591" i="2"/>
  <c r="A1591" i="2"/>
  <c r="H1590" i="2"/>
  <c r="G1590" i="2"/>
  <c r="D1590" i="2"/>
  <c r="C1590" i="2"/>
  <c r="B1590" i="2"/>
  <c r="A1590" i="2"/>
  <c r="H1589" i="2"/>
  <c r="G1589" i="2"/>
  <c r="D1589" i="2"/>
  <c r="C1589" i="2"/>
  <c r="B1589" i="2"/>
  <c r="A1589" i="2"/>
  <c r="H1588" i="2"/>
  <c r="G1588" i="2"/>
  <c r="D1588" i="2"/>
  <c r="C1588" i="2"/>
  <c r="B1588" i="2"/>
  <c r="A1588" i="2"/>
  <c r="H1682" i="2"/>
  <c r="G1682" i="2"/>
  <c r="D1682" i="2"/>
  <c r="C1682" i="2"/>
  <c r="B1682" i="2"/>
  <c r="A1682" i="2"/>
  <c r="H1587" i="2"/>
  <c r="G1587" i="2"/>
  <c r="D1587" i="2"/>
  <c r="C1587" i="2"/>
  <c r="B1587" i="2"/>
  <c r="A1587" i="2"/>
  <c r="H1586" i="2"/>
  <c r="G1586" i="2"/>
  <c r="D1586" i="2"/>
  <c r="C1586" i="2"/>
  <c r="B1586" i="2"/>
  <c r="A1586" i="2"/>
  <c r="H1585" i="2"/>
  <c r="G1585" i="2"/>
  <c r="D1585" i="2"/>
  <c r="C1585" i="2"/>
  <c r="B1585" i="2"/>
  <c r="A1585" i="2"/>
  <c r="H1584" i="2"/>
  <c r="G1584" i="2"/>
  <c r="D1584" i="2"/>
  <c r="C1584" i="2"/>
  <c r="B1584" i="2"/>
  <c r="A1584" i="2"/>
  <c r="H1583" i="2"/>
  <c r="G1583" i="2"/>
  <c r="D1583" i="2"/>
  <c r="C1583" i="2"/>
  <c r="B1583" i="2"/>
  <c r="A1583" i="2"/>
  <c r="H847" i="2"/>
  <c r="G847" i="2"/>
  <c r="D847" i="2"/>
  <c r="C847" i="2"/>
  <c r="B847" i="2"/>
  <c r="A847" i="2"/>
  <c r="H139" i="2"/>
  <c r="G139" i="2"/>
  <c r="D139" i="2"/>
  <c r="C139" i="2"/>
  <c r="B139" i="2"/>
  <c r="A139" i="2"/>
  <c r="H138" i="2"/>
  <c r="G138" i="2"/>
  <c r="D138" i="2"/>
  <c r="C138" i="2"/>
  <c r="B138" i="2"/>
  <c r="A138" i="2"/>
  <c r="H137" i="2"/>
  <c r="G137" i="2"/>
  <c r="D137" i="2"/>
  <c r="C137" i="2"/>
  <c r="B137" i="2"/>
  <c r="A137" i="2"/>
  <c r="H136" i="2"/>
  <c r="G136" i="2"/>
  <c r="D136" i="2"/>
  <c r="C136" i="2"/>
  <c r="B136" i="2"/>
  <c r="A136" i="2"/>
  <c r="H135" i="2"/>
  <c r="G135" i="2"/>
  <c r="D135" i="2"/>
  <c r="C135" i="2"/>
  <c r="B135" i="2"/>
  <c r="A135" i="2"/>
  <c r="H134" i="2"/>
  <c r="G134" i="2"/>
  <c r="D134" i="2"/>
  <c r="C134" i="2"/>
  <c r="B134" i="2"/>
  <c r="A134" i="2"/>
  <c r="H133" i="2"/>
  <c r="G133" i="2"/>
  <c r="D133" i="2"/>
  <c r="C133" i="2"/>
  <c r="B133" i="2"/>
  <c r="A133" i="2"/>
  <c r="H132" i="2"/>
  <c r="G132" i="2"/>
  <c r="D132" i="2"/>
  <c r="C132" i="2"/>
  <c r="B132" i="2"/>
  <c r="A132" i="2"/>
  <c r="H131" i="2"/>
  <c r="G131" i="2"/>
  <c r="D131" i="2"/>
  <c r="C131" i="2"/>
  <c r="B131" i="2"/>
  <c r="A131" i="2"/>
  <c r="H130" i="2"/>
  <c r="G130" i="2"/>
  <c r="D130" i="2"/>
  <c r="C130" i="2"/>
  <c r="B130" i="2"/>
  <c r="A130" i="2"/>
  <c r="H129" i="2"/>
  <c r="G129" i="2"/>
  <c r="D129" i="2"/>
  <c r="C129" i="2"/>
  <c r="B129" i="2"/>
  <c r="A129" i="2"/>
  <c r="H128" i="2"/>
  <c r="G128" i="2"/>
  <c r="D128" i="2"/>
  <c r="C128" i="2"/>
  <c r="B128" i="2"/>
  <c r="A128" i="2"/>
  <c r="H127" i="2"/>
  <c r="G127" i="2"/>
  <c r="D127" i="2"/>
  <c r="C127" i="2"/>
  <c r="B127" i="2"/>
  <c r="A127" i="2"/>
  <c r="H1707" i="2"/>
  <c r="G1707" i="2"/>
  <c r="D1707" i="2"/>
  <c r="C1707" i="2"/>
  <c r="B1707" i="2"/>
  <c r="A1707" i="2"/>
  <c r="H126" i="2"/>
  <c r="G126" i="2"/>
  <c r="D126" i="2"/>
  <c r="C126" i="2"/>
  <c r="B126" i="2"/>
  <c r="A126" i="2"/>
  <c r="H125" i="2"/>
  <c r="G125" i="2"/>
  <c r="D125" i="2"/>
  <c r="C125" i="2"/>
  <c r="B125" i="2"/>
  <c r="A125" i="2"/>
  <c r="H124" i="2"/>
  <c r="G124" i="2"/>
  <c r="D124" i="2"/>
  <c r="C124" i="2"/>
  <c r="B124" i="2"/>
  <c r="A124" i="2"/>
  <c r="H123" i="2"/>
  <c r="G123" i="2"/>
  <c r="D123" i="2"/>
  <c r="C123" i="2"/>
  <c r="B123" i="2"/>
  <c r="A123" i="2"/>
  <c r="H122" i="2"/>
  <c r="G122" i="2"/>
  <c r="D122" i="2"/>
  <c r="C122" i="2"/>
  <c r="B122" i="2"/>
  <c r="A122" i="2"/>
  <c r="H121" i="2"/>
  <c r="G121" i="2"/>
  <c r="D121" i="2"/>
  <c r="C121" i="2"/>
  <c r="B121" i="2"/>
  <c r="A121" i="2"/>
  <c r="H120" i="2"/>
  <c r="G120" i="2"/>
  <c r="D120" i="2"/>
  <c r="C120" i="2"/>
  <c r="B120" i="2"/>
  <c r="A120" i="2"/>
  <c r="H119" i="2"/>
  <c r="G119" i="2"/>
  <c r="D119" i="2"/>
  <c r="C119" i="2"/>
  <c r="B119" i="2"/>
  <c r="A119" i="2"/>
  <c r="H118" i="2"/>
  <c r="G118" i="2"/>
  <c r="D118" i="2"/>
  <c r="C118" i="2"/>
  <c r="B118" i="2"/>
  <c r="A118" i="2"/>
  <c r="H117" i="2"/>
  <c r="G117" i="2"/>
  <c r="D117" i="2"/>
  <c r="C117" i="2"/>
  <c r="B117" i="2"/>
  <c r="A117" i="2"/>
  <c r="H116" i="2"/>
  <c r="G116" i="2"/>
  <c r="D116" i="2"/>
  <c r="C116" i="2"/>
  <c r="B116" i="2"/>
  <c r="A116" i="2"/>
  <c r="H115" i="2"/>
  <c r="G115" i="2"/>
  <c r="D115" i="2"/>
  <c r="C115" i="2"/>
  <c r="B115" i="2"/>
  <c r="A115" i="2"/>
  <c r="H114" i="2"/>
  <c r="G114" i="2"/>
  <c r="D114" i="2"/>
  <c r="C114" i="2"/>
  <c r="B114" i="2"/>
  <c r="A114" i="2"/>
  <c r="H113" i="2"/>
  <c r="G113" i="2"/>
  <c r="D113" i="2"/>
  <c r="C113" i="2"/>
  <c r="B113" i="2"/>
  <c r="A113" i="2"/>
  <c r="H112" i="2"/>
  <c r="G112" i="2"/>
  <c r="D112" i="2"/>
  <c r="C112" i="2"/>
  <c r="B112" i="2"/>
  <c r="A112" i="2"/>
  <c r="H111" i="2"/>
  <c r="G111" i="2"/>
  <c r="D111" i="2"/>
  <c r="C111" i="2"/>
  <c r="B111" i="2"/>
  <c r="A111" i="2"/>
  <c r="H110" i="2"/>
  <c r="G110" i="2"/>
  <c r="D110" i="2"/>
  <c r="C110" i="2"/>
  <c r="B110" i="2"/>
  <c r="A110" i="2"/>
  <c r="H109" i="2"/>
  <c r="G109" i="2"/>
  <c r="D109" i="2"/>
  <c r="C109" i="2"/>
  <c r="B109" i="2"/>
  <c r="A109" i="2"/>
  <c r="H108" i="2"/>
  <c r="G108" i="2"/>
  <c r="D108" i="2"/>
  <c r="C108" i="2"/>
  <c r="B108" i="2"/>
  <c r="A108" i="2"/>
  <c r="H107" i="2"/>
  <c r="G107" i="2"/>
  <c r="D107" i="2"/>
  <c r="C107" i="2"/>
  <c r="B107" i="2"/>
  <c r="A107" i="2"/>
  <c r="H106" i="2"/>
  <c r="G106" i="2"/>
  <c r="D106" i="2"/>
  <c r="C106" i="2"/>
  <c r="B106" i="2"/>
  <c r="A106" i="2"/>
  <c r="H105" i="2"/>
  <c r="G105" i="2"/>
  <c r="D105" i="2"/>
  <c r="C105" i="2"/>
  <c r="B105" i="2"/>
  <c r="A105" i="2"/>
  <c r="H104" i="2"/>
  <c r="G104" i="2"/>
  <c r="D104" i="2"/>
  <c r="C104" i="2"/>
  <c r="B104" i="2"/>
  <c r="A104" i="2"/>
  <c r="H103" i="2"/>
  <c r="G103" i="2"/>
  <c r="D103" i="2"/>
  <c r="C103" i="2"/>
  <c r="B103" i="2"/>
  <c r="A103" i="2"/>
  <c r="H102" i="2"/>
  <c r="G102" i="2"/>
  <c r="D102" i="2"/>
  <c r="C102" i="2"/>
  <c r="B102" i="2"/>
  <c r="A102" i="2"/>
  <c r="H101" i="2"/>
  <c r="G101" i="2"/>
  <c r="D101" i="2"/>
  <c r="C101" i="2"/>
  <c r="B101" i="2"/>
  <c r="A101" i="2"/>
  <c r="H100" i="2"/>
  <c r="G100" i="2"/>
  <c r="D100" i="2"/>
  <c r="C100" i="2"/>
  <c r="B100" i="2"/>
  <c r="A100" i="2"/>
  <c r="H99" i="2"/>
  <c r="G99" i="2"/>
  <c r="D99" i="2"/>
  <c r="C99" i="2"/>
  <c r="B99" i="2"/>
  <c r="A99" i="2"/>
  <c r="H98" i="2"/>
  <c r="G98" i="2"/>
  <c r="D98" i="2"/>
  <c r="C98" i="2"/>
  <c r="B98" i="2"/>
  <c r="A98" i="2"/>
  <c r="H97" i="2"/>
  <c r="G97" i="2"/>
  <c r="D97" i="2"/>
  <c r="C97" i="2"/>
  <c r="B97" i="2"/>
  <c r="A97" i="2"/>
  <c r="H96" i="2"/>
  <c r="G96" i="2"/>
  <c r="D96" i="2"/>
  <c r="C96" i="2"/>
  <c r="B96" i="2"/>
  <c r="A96" i="2"/>
  <c r="H95" i="2"/>
  <c r="G95" i="2"/>
  <c r="D95" i="2"/>
  <c r="C95" i="2"/>
  <c r="B95" i="2"/>
  <c r="A95" i="2"/>
  <c r="H94" i="2"/>
  <c r="G94" i="2"/>
  <c r="D94" i="2"/>
  <c r="C94" i="2"/>
  <c r="B94" i="2"/>
  <c r="A94" i="2"/>
  <c r="H93" i="2"/>
  <c r="G93" i="2"/>
  <c r="D93" i="2"/>
  <c r="C93" i="2"/>
  <c r="B93" i="2"/>
  <c r="A93" i="2"/>
  <c r="H92" i="2"/>
  <c r="G92" i="2"/>
  <c r="D92" i="2"/>
  <c r="C92" i="2"/>
  <c r="B92" i="2"/>
  <c r="A92" i="2"/>
  <c r="H91" i="2"/>
  <c r="G91" i="2"/>
  <c r="D91" i="2"/>
  <c r="C91" i="2"/>
  <c r="B91" i="2"/>
  <c r="A91" i="2"/>
  <c r="H90" i="2"/>
  <c r="G90" i="2"/>
  <c r="D90" i="2"/>
  <c r="C90" i="2"/>
  <c r="B90" i="2"/>
  <c r="A90" i="2"/>
  <c r="H1681" i="2"/>
  <c r="G1681" i="2"/>
  <c r="D1681" i="2"/>
  <c r="C1681" i="2"/>
  <c r="B1681" i="2"/>
  <c r="A1681" i="2"/>
  <c r="H89" i="2"/>
  <c r="G89" i="2"/>
  <c r="D89" i="2"/>
  <c r="C89" i="2"/>
  <c r="B89" i="2"/>
  <c r="A89" i="2"/>
  <c r="H88" i="2"/>
  <c r="G88" i="2"/>
  <c r="D88" i="2"/>
  <c r="C88" i="2"/>
  <c r="B88" i="2"/>
  <c r="A88" i="2"/>
  <c r="H1680" i="2"/>
  <c r="G1680" i="2"/>
  <c r="D1680" i="2"/>
  <c r="C1680" i="2"/>
  <c r="B1680" i="2"/>
  <c r="A1680" i="2"/>
  <c r="H1679" i="2"/>
  <c r="G1679" i="2"/>
  <c r="D1679" i="2"/>
  <c r="C1679" i="2"/>
  <c r="B1679" i="2"/>
  <c r="A1679" i="2"/>
  <c r="H1678" i="2"/>
  <c r="G1678" i="2"/>
  <c r="D1678" i="2"/>
  <c r="C1678" i="2"/>
  <c r="B1678" i="2"/>
  <c r="A1678" i="2"/>
  <c r="H87" i="2"/>
  <c r="G87" i="2"/>
  <c r="D87" i="2"/>
  <c r="C87" i="2"/>
  <c r="B87" i="2"/>
  <c r="A87" i="2"/>
  <c r="H86" i="2"/>
  <c r="G86" i="2"/>
  <c r="D86" i="2"/>
  <c r="C86" i="2"/>
  <c r="B86" i="2"/>
  <c r="A86" i="2"/>
  <c r="H85" i="2"/>
  <c r="G85" i="2"/>
  <c r="D85" i="2"/>
  <c r="C85" i="2"/>
  <c r="B85" i="2"/>
  <c r="A85" i="2"/>
  <c r="H84" i="2"/>
  <c r="G84" i="2"/>
  <c r="D84" i="2"/>
  <c r="C84" i="2"/>
  <c r="B84" i="2"/>
  <c r="A84" i="2"/>
  <c r="H1396" i="2"/>
  <c r="G1396" i="2"/>
  <c r="D1396" i="2"/>
  <c r="C1396" i="2"/>
  <c r="B1396" i="2"/>
  <c r="A1396" i="2"/>
  <c r="H1706" i="2"/>
  <c r="G1706" i="2"/>
  <c r="D1706" i="2"/>
  <c r="C1706" i="2"/>
  <c r="B1706" i="2"/>
  <c r="A1706" i="2"/>
  <c r="H1705" i="2"/>
  <c r="G1705" i="2"/>
  <c r="D1705" i="2"/>
  <c r="C1705" i="2"/>
  <c r="B1705" i="2"/>
  <c r="A1705" i="2"/>
  <c r="H1818" i="2"/>
  <c r="G1818" i="2"/>
  <c r="D1818" i="2"/>
  <c r="C1818" i="2"/>
  <c r="B1818" i="2"/>
  <c r="A1818" i="2"/>
  <c r="H1817" i="2"/>
  <c r="G1817" i="2"/>
  <c r="D1817" i="2"/>
  <c r="C1817" i="2"/>
  <c r="B1817" i="2"/>
  <c r="A1817" i="2"/>
  <c r="H1816" i="2"/>
  <c r="G1816" i="2"/>
  <c r="D1816" i="2"/>
  <c r="C1816" i="2"/>
  <c r="B1816" i="2"/>
  <c r="A1816" i="2"/>
  <c r="H1576" i="2"/>
  <c r="G1576" i="2"/>
  <c r="D1576" i="2"/>
  <c r="C1576" i="2"/>
  <c r="B1576" i="2"/>
  <c r="A1576" i="2"/>
  <c r="H1575" i="2"/>
  <c r="G1575" i="2"/>
  <c r="D1575" i="2"/>
  <c r="C1575" i="2"/>
  <c r="B1575" i="2"/>
  <c r="A1575" i="2"/>
  <c r="H1443" i="2"/>
  <c r="G1443" i="2"/>
  <c r="D1443" i="2"/>
  <c r="C1443" i="2"/>
  <c r="B1443" i="2"/>
  <c r="A1443" i="2"/>
  <c r="H1815" i="2"/>
  <c r="G1815" i="2"/>
  <c r="D1815" i="2"/>
  <c r="C1815" i="2"/>
  <c r="B1815" i="2"/>
  <c r="A1815" i="2"/>
  <c r="H1717" i="2"/>
  <c r="G1717" i="2"/>
  <c r="D1717" i="2"/>
  <c r="C1717" i="2"/>
  <c r="B1717" i="2"/>
  <c r="A1717" i="2"/>
  <c r="H1677" i="2"/>
  <c r="G1677" i="2"/>
  <c r="D1677" i="2"/>
  <c r="C1677" i="2"/>
  <c r="B1677" i="2"/>
  <c r="A1677" i="2"/>
  <c r="H83" i="2"/>
  <c r="G83" i="2"/>
  <c r="D83" i="2"/>
  <c r="C83" i="2"/>
  <c r="B83" i="2"/>
  <c r="A83" i="2"/>
  <c r="H82" i="2"/>
  <c r="G82" i="2"/>
  <c r="D82" i="2"/>
  <c r="C82" i="2"/>
  <c r="B82" i="2"/>
  <c r="A82" i="2"/>
  <c r="H81" i="2"/>
  <c r="G81" i="2"/>
  <c r="D81" i="2"/>
  <c r="C81" i="2"/>
  <c r="B81" i="2"/>
  <c r="A81" i="2"/>
  <c r="H80" i="2"/>
  <c r="G80" i="2"/>
  <c r="D80" i="2"/>
  <c r="C80" i="2"/>
  <c r="B80" i="2"/>
  <c r="A80" i="2"/>
  <c r="H79" i="2"/>
  <c r="G79" i="2"/>
  <c r="D79" i="2"/>
  <c r="C79" i="2"/>
  <c r="B79" i="2"/>
  <c r="A79" i="2"/>
  <c r="H78" i="2"/>
  <c r="G78" i="2"/>
  <c r="D78" i="2"/>
  <c r="C78" i="2"/>
  <c r="B78" i="2"/>
  <c r="A78" i="2"/>
  <c r="H77" i="2"/>
  <c r="G77" i="2"/>
  <c r="D77" i="2"/>
  <c r="C77" i="2"/>
  <c r="B77" i="2"/>
  <c r="A77" i="2"/>
  <c r="H76" i="2"/>
  <c r="G76" i="2"/>
  <c r="D76" i="2"/>
  <c r="C76" i="2"/>
  <c r="B76" i="2"/>
  <c r="A76" i="2"/>
  <c r="H1748" i="2"/>
  <c r="G1748" i="2"/>
  <c r="D1748" i="2"/>
  <c r="C1748" i="2"/>
  <c r="B1748" i="2"/>
  <c r="A1748" i="2"/>
  <c r="H69" i="2"/>
  <c r="G69" i="2"/>
  <c r="D69" i="2"/>
  <c r="C69" i="2"/>
  <c r="B69" i="2"/>
  <c r="A69" i="2"/>
  <c r="H1451" i="2"/>
  <c r="G1451" i="2"/>
  <c r="D1451" i="2"/>
  <c r="C1451" i="2"/>
  <c r="B1451" i="2"/>
  <c r="A1451" i="2"/>
  <c r="H1450" i="2"/>
  <c r="G1450" i="2"/>
  <c r="D1450" i="2"/>
  <c r="C1450" i="2"/>
  <c r="B1450" i="2"/>
  <c r="A1450" i="2"/>
  <c r="H1777" i="2"/>
  <c r="G1777" i="2"/>
  <c r="D1777" i="2"/>
  <c r="C1777" i="2"/>
  <c r="B1777" i="2"/>
  <c r="A1777" i="2"/>
  <c r="H1776" i="2"/>
  <c r="G1776" i="2"/>
  <c r="D1776" i="2"/>
  <c r="C1776" i="2"/>
  <c r="B1776" i="2"/>
  <c r="A1776" i="2"/>
  <c r="H1580" i="2"/>
  <c r="G1580" i="2"/>
  <c r="D1580" i="2"/>
  <c r="C1580" i="2"/>
  <c r="B1580" i="2"/>
  <c r="A1580" i="2"/>
  <c r="H558" i="2"/>
  <c r="G558" i="2"/>
  <c r="D558" i="2"/>
  <c r="C558" i="2"/>
  <c r="B558" i="2"/>
  <c r="A558" i="2"/>
  <c r="H557" i="2"/>
  <c r="G557" i="2"/>
  <c r="D557" i="2"/>
  <c r="C557" i="2"/>
  <c r="B557" i="2"/>
  <c r="A557" i="2"/>
  <c r="H68" i="2"/>
  <c r="G68" i="2"/>
  <c r="D68" i="2"/>
  <c r="C68" i="2"/>
  <c r="B68" i="2"/>
  <c r="A68" i="2"/>
  <c r="H267" i="2"/>
  <c r="G267" i="2"/>
  <c r="D267" i="2"/>
  <c r="C267" i="2"/>
  <c r="B267" i="2"/>
  <c r="A267" i="2"/>
  <c r="H1747" i="2"/>
  <c r="G1747" i="2"/>
  <c r="D1747" i="2"/>
  <c r="C1747" i="2"/>
  <c r="B1747" i="2"/>
  <c r="A1747" i="2"/>
  <c r="H1469" i="2"/>
  <c r="G1469" i="2"/>
  <c r="D1469" i="2"/>
  <c r="C1469" i="2"/>
  <c r="B1469" i="2"/>
  <c r="A1469" i="2"/>
  <c r="H1795" i="2"/>
  <c r="G1795" i="2"/>
  <c r="D1795" i="2"/>
  <c r="C1795" i="2"/>
  <c r="B1795" i="2"/>
  <c r="A1795" i="2"/>
  <c r="H1426" i="2"/>
  <c r="G1426" i="2"/>
  <c r="D1426" i="2"/>
  <c r="C1426" i="2"/>
  <c r="B1426" i="2"/>
  <c r="A1426" i="2"/>
  <c r="H1456" i="2"/>
  <c r="G1456" i="2"/>
  <c r="D1456" i="2"/>
  <c r="C1456" i="2"/>
  <c r="B1456" i="2"/>
  <c r="A1456" i="2"/>
  <c r="H1455" i="2"/>
  <c r="G1455" i="2"/>
  <c r="D1455" i="2"/>
  <c r="C1455" i="2"/>
  <c r="B1455" i="2"/>
  <c r="A1455" i="2"/>
  <c r="H314" i="2"/>
  <c r="G314" i="2"/>
  <c r="D314" i="2"/>
  <c r="C314" i="2"/>
  <c r="B314" i="2"/>
  <c r="A314" i="2"/>
  <c r="H1532" i="2"/>
  <c r="G1532" i="2"/>
  <c r="D1532" i="2"/>
  <c r="C1532" i="2"/>
  <c r="B1532" i="2"/>
  <c r="A1532" i="2"/>
  <c r="H73" i="2"/>
  <c r="G73" i="2"/>
  <c r="D73" i="2"/>
  <c r="C73" i="2"/>
  <c r="B73" i="2"/>
  <c r="A73" i="2"/>
  <c r="H526" i="2"/>
  <c r="G526" i="2"/>
  <c r="D526" i="2"/>
  <c r="C526" i="2"/>
  <c r="B526" i="2"/>
  <c r="A526" i="2"/>
  <c r="H1486" i="2"/>
  <c r="G1486" i="2"/>
  <c r="D1486" i="2"/>
  <c r="C1486" i="2"/>
  <c r="B1486" i="2"/>
  <c r="A1486" i="2"/>
  <c r="H339" i="2"/>
  <c r="G339" i="2"/>
  <c r="D339" i="2"/>
  <c r="C339" i="2"/>
  <c r="B339" i="2"/>
  <c r="A339" i="2"/>
  <c r="H319" i="2"/>
  <c r="G319" i="2"/>
  <c r="D319" i="2"/>
  <c r="C319" i="2"/>
  <c r="B319" i="2"/>
  <c r="A319" i="2"/>
  <c r="H338" i="2"/>
  <c r="G338" i="2"/>
  <c r="D338" i="2"/>
  <c r="C338" i="2"/>
  <c r="B338" i="2"/>
  <c r="A338" i="2"/>
  <c r="H1813" i="2"/>
  <c r="G1813" i="2"/>
  <c r="D1813" i="2"/>
  <c r="C1813" i="2"/>
  <c r="B1813" i="2"/>
  <c r="A1813" i="2"/>
  <c r="H337" i="2"/>
  <c r="G337" i="2"/>
  <c r="D337" i="2"/>
  <c r="C337" i="2"/>
  <c r="B337" i="2"/>
  <c r="A337" i="2"/>
  <c r="H289" i="2"/>
  <c r="G289" i="2"/>
  <c r="D289" i="2"/>
  <c r="C289" i="2"/>
  <c r="B289" i="2"/>
  <c r="A289" i="2"/>
  <c r="H336" i="2"/>
  <c r="G336" i="2"/>
  <c r="D336" i="2"/>
  <c r="C336" i="2"/>
  <c r="B336" i="2"/>
  <c r="A336" i="2"/>
  <c r="H1399" i="2"/>
  <c r="G1399" i="2"/>
  <c r="D1399" i="2"/>
  <c r="C1399" i="2"/>
  <c r="B1399" i="2"/>
  <c r="A1399" i="2"/>
  <c r="H1485" i="2"/>
  <c r="G1485" i="2"/>
  <c r="D1485" i="2"/>
  <c r="C1485" i="2"/>
  <c r="B1485" i="2"/>
  <c r="A1485" i="2"/>
  <c r="H1398" i="2"/>
  <c r="G1398" i="2"/>
  <c r="D1398" i="2"/>
  <c r="C1398" i="2"/>
  <c r="B1398" i="2"/>
  <c r="A1398" i="2"/>
  <c r="H1484" i="2"/>
  <c r="G1484" i="2"/>
  <c r="D1484" i="2"/>
  <c r="C1484" i="2"/>
  <c r="B1484" i="2"/>
  <c r="A1484" i="2"/>
  <c r="H1803" i="2"/>
  <c r="G1803" i="2"/>
  <c r="D1803" i="2"/>
  <c r="C1803" i="2"/>
  <c r="B1803" i="2"/>
  <c r="A1803" i="2"/>
  <c r="H335" i="2"/>
  <c r="G335" i="2"/>
  <c r="D335" i="2"/>
  <c r="C335" i="2"/>
  <c r="B335" i="2"/>
  <c r="A335" i="2"/>
  <c r="H1471" i="2"/>
  <c r="G1471" i="2"/>
  <c r="D1471" i="2"/>
  <c r="C1471" i="2"/>
  <c r="B1471" i="2"/>
  <c r="A1471" i="2"/>
  <c r="H334" i="2"/>
  <c r="G334" i="2"/>
  <c r="D334" i="2"/>
  <c r="C334" i="2"/>
  <c r="B334" i="2"/>
  <c r="A334" i="2"/>
  <c r="H1483" i="2"/>
  <c r="G1483" i="2"/>
  <c r="D1483" i="2"/>
  <c r="C1483" i="2"/>
  <c r="B1483" i="2"/>
  <c r="A1483" i="2"/>
  <c r="H333" i="2"/>
  <c r="G333" i="2"/>
  <c r="D333" i="2"/>
  <c r="C333" i="2"/>
  <c r="B333" i="2"/>
  <c r="A333" i="2"/>
  <c r="H1778" i="2"/>
  <c r="G1778" i="2"/>
  <c r="D1778" i="2"/>
  <c r="C1778" i="2"/>
  <c r="B1778" i="2"/>
  <c r="A1778" i="2"/>
  <c r="H332" i="2"/>
  <c r="G332" i="2"/>
  <c r="D332" i="2"/>
  <c r="C332" i="2"/>
  <c r="B332" i="2"/>
  <c r="A332" i="2"/>
  <c r="H518" i="2"/>
  <c r="G518" i="2"/>
  <c r="D518" i="2"/>
  <c r="C518" i="2"/>
  <c r="B518" i="2"/>
  <c r="A518" i="2"/>
  <c r="H331" i="2"/>
  <c r="G331" i="2"/>
  <c r="D331" i="2"/>
  <c r="C331" i="2"/>
  <c r="B331" i="2"/>
  <c r="A331" i="2"/>
  <c r="H1582" i="2"/>
  <c r="G1582" i="2"/>
  <c r="D1582" i="2"/>
  <c r="C1582" i="2"/>
  <c r="B1582" i="2"/>
  <c r="A1582" i="2"/>
  <c r="H330" i="2"/>
  <c r="G330" i="2"/>
  <c r="D330" i="2"/>
  <c r="C330" i="2"/>
  <c r="B330" i="2"/>
  <c r="A330" i="2"/>
  <c r="H1482" i="2"/>
  <c r="G1482" i="2"/>
  <c r="D1482" i="2"/>
  <c r="C1482" i="2"/>
  <c r="B1482" i="2"/>
  <c r="A1482" i="2"/>
  <c r="H329" i="2"/>
  <c r="G329" i="2"/>
  <c r="D329" i="2"/>
  <c r="C329" i="2"/>
  <c r="B329" i="2"/>
  <c r="A329" i="2"/>
  <c r="H1531" i="2"/>
  <c r="G1531" i="2"/>
  <c r="D1531" i="2"/>
  <c r="C1531" i="2"/>
  <c r="B1531" i="2"/>
  <c r="A1531" i="2"/>
  <c r="H517" i="2"/>
  <c r="G517" i="2"/>
  <c r="D517" i="2"/>
  <c r="C517" i="2"/>
  <c r="B517" i="2"/>
  <c r="A517" i="2"/>
  <c r="H1481" i="2"/>
  <c r="G1481" i="2"/>
  <c r="D1481" i="2"/>
  <c r="C1481" i="2"/>
  <c r="B1481" i="2"/>
  <c r="A1481" i="2"/>
  <c r="H328" i="2"/>
  <c r="G328" i="2"/>
  <c r="D328" i="2"/>
  <c r="C328" i="2"/>
  <c r="B328" i="2"/>
  <c r="A328" i="2"/>
  <c r="H452" i="2"/>
  <c r="G452" i="2"/>
  <c r="D452" i="2"/>
  <c r="C452" i="2"/>
  <c r="B452" i="2"/>
  <c r="A452" i="2"/>
  <c r="H451" i="2"/>
  <c r="G451" i="2"/>
  <c r="D451" i="2"/>
  <c r="C451" i="2"/>
  <c r="B451" i="2"/>
  <c r="A451" i="2"/>
  <c r="H450" i="2"/>
  <c r="G450" i="2"/>
  <c r="D450" i="2"/>
  <c r="C450" i="2"/>
  <c r="B450" i="2"/>
  <c r="A450" i="2"/>
  <c r="H449" i="2"/>
  <c r="G449" i="2"/>
  <c r="D449" i="2"/>
  <c r="C449" i="2"/>
  <c r="B449" i="2"/>
  <c r="A449" i="2"/>
  <c r="H448" i="2"/>
  <c r="G448" i="2"/>
  <c r="D448" i="2"/>
  <c r="C448" i="2"/>
  <c r="B448" i="2"/>
  <c r="A448" i="2"/>
  <c r="H447" i="2"/>
  <c r="G447" i="2"/>
  <c r="D447" i="2"/>
  <c r="C447" i="2"/>
  <c r="B447" i="2"/>
  <c r="A447" i="2"/>
  <c r="H446" i="2"/>
  <c r="G446" i="2"/>
  <c r="D446" i="2"/>
  <c r="C446" i="2"/>
  <c r="B446" i="2"/>
  <c r="A446" i="2"/>
  <c r="H445" i="2"/>
  <c r="G445" i="2"/>
  <c r="D445" i="2"/>
  <c r="C445" i="2"/>
  <c r="B445" i="2"/>
  <c r="A445" i="2"/>
  <c r="H444" i="2"/>
  <c r="G444" i="2"/>
  <c r="D444" i="2"/>
  <c r="C444" i="2"/>
  <c r="B444" i="2"/>
  <c r="A444" i="2"/>
  <c r="H443" i="2"/>
  <c r="G443" i="2"/>
  <c r="D443" i="2"/>
  <c r="C443" i="2"/>
  <c r="B443" i="2"/>
  <c r="A443" i="2"/>
  <c r="H442" i="2"/>
  <c r="G442" i="2"/>
  <c r="D442" i="2"/>
  <c r="C442" i="2"/>
  <c r="B442" i="2"/>
  <c r="A442" i="2"/>
  <c r="H294" i="2"/>
  <c r="G294" i="2"/>
  <c r="D294" i="2"/>
  <c r="C294" i="2"/>
  <c r="B294" i="2"/>
  <c r="A294" i="2"/>
  <c r="H441" i="2"/>
  <c r="G441" i="2"/>
  <c r="D441" i="2"/>
  <c r="C441" i="2"/>
  <c r="B441" i="2"/>
  <c r="A441" i="2"/>
  <c r="H440" i="2"/>
  <c r="G440" i="2"/>
  <c r="D440" i="2"/>
  <c r="C440" i="2"/>
  <c r="B440" i="2"/>
  <c r="A440" i="2"/>
  <c r="H1535" i="2"/>
  <c r="G1535" i="2"/>
  <c r="D1535" i="2"/>
  <c r="C1535" i="2"/>
  <c r="B1535" i="2"/>
  <c r="A1535" i="2"/>
  <c r="H439" i="2"/>
  <c r="G439" i="2"/>
  <c r="D439" i="2"/>
  <c r="C439" i="2"/>
  <c r="B439" i="2"/>
  <c r="A439" i="2"/>
  <c r="H438" i="2"/>
  <c r="G438" i="2"/>
  <c r="D438" i="2"/>
  <c r="C438" i="2"/>
  <c r="B438" i="2"/>
  <c r="A438" i="2"/>
  <c r="H293" i="2"/>
  <c r="G293" i="2"/>
  <c r="D293" i="2"/>
  <c r="C293" i="2"/>
  <c r="B293" i="2"/>
  <c r="A293" i="2"/>
  <c r="H292" i="2"/>
  <c r="G292" i="2"/>
  <c r="D292" i="2"/>
  <c r="C292" i="2"/>
  <c r="B292" i="2"/>
  <c r="A292" i="2"/>
  <c r="H437" i="2"/>
  <c r="G437" i="2"/>
  <c r="D437" i="2"/>
  <c r="C437" i="2"/>
  <c r="B437" i="2"/>
  <c r="A437" i="2"/>
  <c r="H436" i="2"/>
  <c r="G436" i="2"/>
  <c r="D436" i="2"/>
  <c r="C436" i="2"/>
  <c r="B436" i="2"/>
  <c r="A436" i="2"/>
  <c r="H435" i="2"/>
  <c r="G435" i="2"/>
  <c r="D435" i="2"/>
  <c r="C435" i="2"/>
  <c r="B435" i="2"/>
  <c r="A435" i="2"/>
  <c r="H1530" i="2"/>
  <c r="G1530" i="2"/>
  <c r="D1530" i="2"/>
  <c r="C1530" i="2"/>
  <c r="B1530" i="2"/>
  <c r="A1530" i="2"/>
  <c r="H1666" i="2"/>
  <c r="G1666" i="2"/>
  <c r="D1666" i="2"/>
  <c r="C1666" i="2"/>
  <c r="B1666" i="2"/>
  <c r="A1666" i="2"/>
  <c r="H434" i="2"/>
  <c r="G434" i="2"/>
  <c r="D434" i="2"/>
  <c r="C434" i="2"/>
  <c r="B434" i="2"/>
  <c r="A434" i="2"/>
  <c r="H525" i="2"/>
  <c r="G525" i="2"/>
  <c r="D525" i="2"/>
  <c r="C525" i="2"/>
  <c r="B525" i="2"/>
  <c r="A525" i="2"/>
  <c r="H559" i="2"/>
  <c r="G559" i="2"/>
  <c r="D559" i="2"/>
  <c r="C559" i="2"/>
  <c r="B559" i="2"/>
  <c r="A559" i="2"/>
  <c r="H433" i="2"/>
  <c r="G433" i="2"/>
  <c r="D433" i="2"/>
  <c r="C433" i="2"/>
  <c r="B433" i="2"/>
  <c r="A433" i="2"/>
  <c r="H1541" i="2"/>
  <c r="G1541" i="2"/>
  <c r="D1541" i="2"/>
  <c r="C1541" i="2"/>
  <c r="B1541" i="2"/>
  <c r="A1541" i="2"/>
  <c r="H1526" i="2"/>
  <c r="G1526" i="2"/>
  <c r="D1526" i="2"/>
  <c r="C1526" i="2"/>
  <c r="B1526" i="2"/>
  <c r="A1526" i="2"/>
  <c r="H1540" i="2"/>
  <c r="G1540" i="2"/>
  <c r="D1540" i="2"/>
  <c r="C1540" i="2"/>
  <c r="B1540" i="2"/>
  <c r="A1540" i="2"/>
  <c r="H1539" i="2"/>
  <c r="G1539" i="2"/>
  <c r="D1539" i="2"/>
  <c r="C1539" i="2"/>
  <c r="B1539" i="2"/>
  <c r="A1539" i="2"/>
  <c r="H1564" i="2"/>
  <c r="G1564" i="2"/>
  <c r="D1564" i="2"/>
  <c r="C1564" i="2"/>
  <c r="B1564" i="2"/>
  <c r="A1564" i="2"/>
  <c r="H1529" i="2"/>
  <c r="G1529" i="2"/>
  <c r="D1529" i="2"/>
  <c r="C1529" i="2"/>
  <c r="B1529" i="2"/>
  <c r="A1529" i="2"/>
  <c r="H1804" i="2"/>
  <c r="G1804" i="2"/>
  <c r="D1804" i="2"/>
  <c r="C1804" i="2"/>
  <c r="B1804" i="2"/>
  <c r="A1804" i="2"/>
  <c r="H1538" i="2"/>
  <c r="G1538" i="2"/>
  <c r="D1538" i="2"/>
  <c r="C1538" i="2"/>
  <c r="B1538" i="2"/>
  <c r="A1538" i="2"/>
  <c r="H274" i="2"/>
  <c r="G274" i="2"/>
  <c r="D274" i="2"/>
  <c r="C274" i="2"/>
  <c r="B274" i="2"/>
  <c r="A274" i="2"/>
  <c r="H27" i="2"/>
  <c r="G27" i="2"/>
  <c r="D27" i="2"/>
  <c r="C27" i="2"/>
  <c r="B27" i="2"/>
  <c r="A27" i="2"/>
  <c r="H1528" i="2"/>
  <c r="G1528" i="2"/>
  <c r="D1528" i="2"/>
  <c r="C1528" i="2"/>
  <c r="B1528" i="2"/>
  <c r="A1528" i="2"/>
  <c r="H567" i="2"/>
  <c r="G567" i="2"/>
  <c r="D567" i="2"/>
  <c r="C567" i="2"/>
  <c r="B567" i="2"/>
  <c r="A567" i="2"/>
  <c r="H1527" i="2"/>
  <c r="G1527" i="2"/>
  <c r="D1527" i="2"/>
  <c r="C1527" i="2"/>
  <c r="B1527" i="2"/>
  <c r="A1527" i="2"/>
  <c r="H566" i="2"/>
  <c r="G566" i="2"/>
  <c r="D566" i="2"/>
  <c r="C566" i="2"/>
  <c r="B566" i="2"/>
  <c r="A566" i="2"/>
  <c r="H26" i="2"/>
  <c r="G26" i="2"/>
  <c r="D26" i="2"/>
  <c r="C26" i="2"/>
  <c r="B26" i="2"/>
  <c r="A26" i="2"/>
  <c r="H25" i="2"/>
  <c r="G25" i="2"/>
  <c r="D25" i="2"/>
  <c r="C25" i="2"/>
  <c r="B25" i="2"/>
  <c r="A25" i="2"/>
  <c r="H273" i="2"/>
  <c r="G273" i="2"/>
  <c r="D273" i="2"/>
  <c r="C273" i="2"/>
  <c r="B273" i="2"/>
  <c r="A273" i="2"/>
  <c r="H1440" i="2"/>
  <c r="G1440" i="2"/>
  <c r="D1440" i="2"/>
  <c r="C1440" i="2"/>
  <c r="B1440" i="2"/>
  <c r="A1440" i="2"/>
  <c r="H1415" i="2"/>
  <c r="G1415" i="2"/>
  <c r="D1415" i="2"/>
  <c r="C1415" i="2"/>
  <c r="B1415" i="2"/>
  <c r="A1415" i="2"/>
  <c r="H324" i="2"/>
  <c r="G324" i="2"/>
  <c r="D324" i="2"/>
  <c r="C324" i="2"/>
  <c r="B324" i="2"/>
  <c r="A324" i="2"/>
  <c r="H432" i="2"/>
  <c r="G432" i="2"/>
  <c r="D432" i="2"/>
  <c r="C432" i="2"/>
  <c r="B432" i="2"/>
  <c r="A432" i="2"/>
  <c r="H1733" i="2"/>
  <c r="G1733" i="2"/>
  <c r="D1733" i="2"/>
  <c r="C1733" i="2"/>
  <c r="B1733" i="2"/>
  <c r="A1733" i="2"/>
  <c r="H308" i="2"/>
  <c r="G308" i="2"/>
  <c r="D308" i="2"/>
  <c r="C308" i="2"/>
  <c r="B308" i="2"/>
  <c r="A308" i="2"/>
  <c r="H1756" i="2"/>
  <c r="G1756" i="2"/>
  <c r="D1756" i="2"/>
  <c r="C1756" i="2"/>
  <c r="B1756" i="2"/>
  <c r="A1756" i="2"/>
  <c r="H596" i="2"/>
  <c r="G596" i="2"/>
  <c r="D596" i="2"/>
  <c r="C596" i="2"/>
  <c r="B596" i="2"/>
  <c r="A596" i="2"/>
  <c r="H1732" i="2"/>
  <c r="G1732" i="2"/>
  <c r="D1732" i="2"/>
  <c r="C1732" i="2"/>
  <c r="B1732" i="2"/>
  <c r="A1732" i="2"/>
  <c r="H24" i="2"/>
  <c r="G24" i="2"/>
  <c r="D24" i="2"/>
  <c r="C24" i="2"/>
  <c r="B24" i="2"/>
  <c r="A24" i="2"/>
  <c r="H1731" i="2"/>
  <c r="G1731" i="2"/>
  <c r="D1731" i="2"/>
  <c r="C1731" i="2"/>
  <c r="B1731" i="2"/>
  <c r="A1731" i="2"/>
  <c r="H1730" i="2"/>
  <c r="G1730" i="2"/>
  <c r="D1730" i="2"/>
  <c r="C1730" i="2"/>
  <c r="B1730" i="2"/>
  <c r="A1730" i="2"/>
  <c r="H1729" i="2"/>
  <c r="G1729" i="2"/>
  <c r="D1729" i="2"/>
  <c r="C1729" i="2"/>
  <c r="B1729" i="2"/>
  <c r="A1729" i="2"/>
  <c r="H1728" i="2"/>
  <c r="G1728" i="2"/>
  <c r="D1728" i="2"/>
  <c r="C1728" i="2"/>
  <c r="B1728" i="2"/>
  <c r="A1728" i="2"/>
  <c r="H23" i="2"/>
  <c r="G23" i="2"/>
  <c r="D23" i="2"/>
  <c r="C23" i="2"/>
  <c r="B23" i="2"/>
  <c r="A23" i="2"/>
  <c r="H418" i="2"/>
  <c r="G418" i="2"/>
  <c r="D418" i="2"/>
  <c r="C418" i="2"/>
  <c r="B418" i="2"/>
  <c r="A418" i="2"/>
  <c r="H22" i="2"/>
  <c r="G22" i="2"/>
  <c r="D22" i="2"/>
  <c r="C22" i="2"/>
  <c r="B22" i="2"/>
  <c r="A22" i="2"/>
  <c r="H1805" i="2"/>
  <c r="G1805" i="2"/>
  <c r="D1805" i="2"/>
  <c r="C1805" i="2"/>
  <c r="B1805" i="2"/>
  <c r="A1805" i="2"/>
  <c r="H75" i="2"/>
  <c r="G75" i="2"/>
  <c r="D75" i="2"/>
  <c r="C75" i="2"/>
  <c r="B75" i="2"/>
  <c r="A75" i="2"/>
  <c r="H21" i="2"/>
  <c r="G21" i="2"/>
  <c r="D21" i="2"/>
  <c r="C21" i="2"/>
  <c r="B21" i="2"/>
  <c r="A21" i="2"/>
  <c r="H74" i="2"/>
  <c r="G74" i="2"/>
  <c r="D74" i="2"/>
  <c r="C74" i="2"/>
  <c r="B74" i="2"/>
  <c r="A74" i="2"/>
  <c r="H1746" i="2"/>
  <c r="G1746" i="2"/>
  <c r="D1746" i="2"/>
  <c r="C1746" i="2"/>
  <c r="B1746" i="2"/>
  <c r="A1746" i="2"/>
  <c r="H1562" i="2"/>
  <c r="G1562" i="2"/>
  <c r="D1562" i="2"/>
  <c r="C1562" i="2"/>
  <c r="B1562" i="2"/>
  <c r="A1562" i="2"/>
  <c r="H18" i="2"/>
  <c r="G18" i="2"/>
  <c r="D18" i="2"/>
  <c r="C18" i="2"/>
  <c r="B18" i="2"/>
  <c r="A18" i="2"/>
  <c r="H1862" i="1"/>
  <c r="G1862" i="1"/>
  <c r="D1862" i="1"/>
  <c r="C1862" i="1"/>
  <c r="B1862" i="1"/>
  <c r="A1862" i="1"/>
  <c r="H1861" i="1"/>
  <c r="G1861" i="1"/>
  <c r="D1861" i="1"/>
  <c r="C1861" i="1"/>
  <c r="B1861" i="1"/>
  <c r="A1861" i="1"/>
  <c r="H1860" i="1"/>
  <c r="G1860" i="1"/>
  <c r="D1860" i="1"/>
  <c r="C1860" i="1"/>
  <c r="B1860" i="1"/>
  <c r="A1860" i="1"/>
  <c r="H1859" i="1"/>
  <c r="G1859" i="1"/>
  <c r="D1859" i="1"/>
  <c r="C1859" i="1"/>
  <c r="B1859" i="1"/>
  <c r="A1859" i="1"/>
  <c r="H1858" i="1"/>
  <c r="G1858" i="1"/>
  <c r="D1858" i="1"/>
  <c r="C1858" i="1"/>
  <c r="B1858" i="1"/>
  <c r="A1858" i="1"/>
  <c r="H1857" i="1"/>
  <c r="G1857" i="1"/>
  <c r="D1857" i="1"/>
  <c r="C1857" i="1"/>
  <c r="B1857" i="1"/>
  <c r="A1857" i="1"/>
  <c r="H1856" i="1"/>
  <c r="G1856" i="1"/>
  <c r="D1856" i="1"/>
  <c r="C1856" i="1"/>
  <c r="B1856" i="1"/>
  <c r="A1856" i="1"/>
  <c r="H1855" i="1"/>
  <c r="G1855" i="1"/>
  <c r="D1855" i="1"/>
  <c r="C1855" i="1"/>
  <c r="B1855" i="1"/>
  <c r="A1855" i="1"/>
  <c r="H1854" i="1"/>
  <c r="G1854" i="1"/>
  <c r="D1854" i="1"/>
  <c r="C1854" i="1"/>
  <c r="B1854" i="1"/>
  <c r="A1854" i="1"/>
  <c r="H1853" i="1"/>
  <c r="G1853" i="1"/>
  <c r="D1853" i="1"/>
  <c r="C1853" i="1"/>
  <c r="B1853" i="1"/>
  <c r="A1853" i="1"/>
  <c r="H1852" i="1"/>
  <c r="G1852" i="1"/>
  <c r="D1852" i="1"/>
  <c r="C1852" i="1"/>
  <c r="B1852" i="1"/>
  <c r="A1852" i="1"/>
  <c r="H1851" i="1"/>
  <c r="G1851" i="1"/>
  <c r="D1851" i="1"/>
  <c r="C1851" i="1"/>
  <c r="B1851" i="1"/>
  <c r="A1851" i="1"/>
  <c r="H1850" i="1"/>
  <c r="G1850" i="1"/>
  <c r="D1850" i="1"/>
  <c r="C1850" i="1"/>
  <c r="B1850" i="1"/>
  <c r="A1850" i="1"/>
  <c r="H1849" i="1"/>
  <c r="G1849" i="1"/>
  <c r="D1849" i="1"/>
  <c r="C1849" i="1"/>
  <c r="B1849" i="1"/>
  <c r="A1849" i="1"/>
  <c r="H1848" i="1"/>
  <c r="G1848" i="1"/>
  <c r="D1848" i="1"/>
  <c r="C1848" i="1"/>
  <c r="B1848" i="1"/>
  <c r="A1848" i="1"/>
  <c r="H1847" i="1"/>
  <c r="G1847" i="1"/>
  <c r="D1847" i="1"/>
  <c r="C1847" i="1"/>
  <c r="B1847" i="1"/>
  <c r="A1847" i="1"/>
  <c r="H1846" i="1"/>
  <c r="G1846" i="1"/>
  <c r="D1846" i="1"/>
  <c r="C1846" i="1"/>
  <c r="B1846" i="1"/>
  <c r="A1846" i="1"/>
  <c r="H1845" i="1"/>
  <c r="G1845" i="1"/>
  <c r="D1845" i="1"/>
  <c r="C1845" i="1"/>
  <c r="B1845" i="1"/>
  <c r="A1845" i="1"/>
  <c r="H1844" i="1"/>
  <c r="G1844" i="1"/>
  <c r="D1844" i="1"/>
  <c r="C1844" i="1"/>
  <c r="B1844" i="1"/>
  <c r="A1844" i="1"/>
  <c r="H1843" i="1"/>
  <c r="G1843" i="1"/>
  <c r="D1843" i="1"/>
  <c r="C1843" i="1"/>
  <c r="B1843" i="1"/>
  <c r="A1843" i="1"/>
  <c r="H1842" i="1"/>
  <c r="G1842" i="1"/>
  <c r="D1842" i="1"/>
  <c r="C1842" i="1"/>
  <c r="B1842" i="1"/>
  <c r="A1842" i="1"/>
  <c r="H1841" i="1"/>
  <c r="G1841" i="1"/>
  <c r="D1841" i="1"/>
  <c r="C1841" i="1"/>
  <c r="B1841" i="1"/>
  <c r="A1841" i="1"/>
  <c r="H1840" i="1"/>
  <c r="G1840" i="1"/>
  <c r="D1840" i="1"/>
  <c r="C1840" i="1"/>
  <c r="B1840" i="1"/>
  <c r="A1840" i="1"/>
  <c r="H1839" i="1"/>
  <c r="G1839" i="1"/>
  <c r="D1839" i="1"/>
  <c r="C1839" i="1"/>
  <c r="B1839" i="1"/>
  <c r="A1839" i="1"/>
  <c r="H1838" i="1"/>
  <c r="G1838" i="1"/>
  <c r="D1838" i="1"/>
  <c r="C1838" i="1"/>
  <c r="B1838" i="1"/>
  <c r="A1838" i="1"/>
  <c r="H1837" i="1"/>
  <c r="G1837" i="1"/>
  <c r="D1837" i="1"/>
  <c r="C1837" i="1"/>
  <c r="B1837" i="1"/>
  <c r="A1837" i="1"/>
  <c r="H1836" i="1"/>
  <c r="G1836" i="1"/>
  <c r="D1836" i="1"/>
  <c r="C1836" i="1"/>
  <c r="B1836" i="1"/>
  <c r="A1836" i="1"/>
  <c r="H1835" i="1"/>
  <c r="G1835" i="1"/>
  <c r="D1835" i="1"/>
  <c r="C1835" i="1"/>
  <c r="B1835" i="1"/>
  <c r="A1835" i="1"/>
  <c r="H1834" i="1"/>
  <c r="G1834" i="1"/>
  <c r="D1834" i="1"/>
  <c r="C1834" i="1"/>
  <c r="B1834" i="1"/>
  <c r="A1834" i="1"/>
  <c r="H1833" i="1"/>
  <c r="G1833" i="1"/>
  <c r="D1833" i="1"/>
  <c r="C1833" i="1"/>
  <c r="B1833" i="1"/>
  <c r="A1833" i="1"/>
  <c r="H1832" i="1"/>
  <c r="G1832" i="1"/>
  <c r="D1832" i="1"/>
  <c r="C1832" i="1"/>
  <c r="B1832" i="1"/>
  <c r="A1832" i="1"/>
  <c r="H1831" i="1"/>
  <c r="G1831" i="1"/>
  <c r="D1831" i="1"/>
  <c r="C1831" i="1"/>
  <c r="B1831" i="1"/>
  <c r="A1831" i="1"/>
  <c r="H1830" i="1"/>
  <c r="G1830" i="1"/>
  <c r="D1830" i="1"/>
  <c r="C1830" i="1"/>
  <c r="B1830" i="1"/>
  <c r="A1830" i="1"/>
  <c r="H1829" i="1"/>
  <c r="G1829" i="1"/>
  <c r="D1829" i="1"/>
  <c r="C1829" i="1"/>
  <c r="B1829" i="1"/>
  <c r="A1829" i="1"/>
  <c r="H1828" i="1"/>
  <c r="G1828" i="1"/>
  <c r="D1828" i="1"/>
  <c r="C1828" i="1"/>
  <c r="B1828" i="1"/>
  <c r="A1828" i="1"/>
  <c r="H1827" i="1"/>
  <c r="G1827" i="1"/>
  <c r="D1827" i="1"/>
  <c r="C1827" i="1"/>
  <c r="B1827" i="1"/>
  <c r="A1827" i="1"/>
  <c r="H1826" i="1"/>
  <c r="G1826" i="1"/>
  <c r="D1826" i="1"/>
  <c r="C1826" i="1"/>
  <c r="B1826" i="1"/>
  <c r="A1826" i="1"/>
  <c r="H1825" i="1"/>
  <c r="G1825" i="1"/>
  <c r="D1825" i="1"/>
  <c r="C1825" i="1"/>
  <c r="B1825" i="1"/>
  <c r="A1825" i="1"/>
  <c r="H1824" i="1"/>
  <c r="G1824" i="1"/>
  <c r="D1824" i="1"/>
  <c r="C1824" i="1"/>
  <c r="B1824" i="1"/>
  <c r="A1824" i="1"/>
  <c r="H1823" i="1"/>
  <c r="G1823" i="1"/>
  <c r="D1823" i="1"/>
  <c r="C1823" i="1"/>
  <c r="B1823" i="1"/>
  <c r="A1823" i="1"/>
  <c r="H1822" i="1"/>
  <c r="G1822" i="1"/>
  <c r="D1822" i="1"/>
  <c r="C1822" i="1"/>
  <c r="B1822" i="1"/>
  <c r="A1822" i="1"/>
  <c r="H1821" i="1"/>
  <c r="G1821" i="1"/>
  <c r="D1821" i="1"/>
  <c r="C1821" i="1"/>
  <c r="B1821" i="1"/>
  <c r="A1821" i="1"/>
  <c r="H1820" i="1"/>
  <c r="G1820" i="1"/>
  <c r="D1820" i="1"/>
  <c r="C1820" i="1"/>
  <c r="B1820" i="1"/>
  <c r="A1820" i="1"/>
  <c r="H1819" i="1"/>
  <c r="G1819" i="1"/>
  <c r="D1819" i="1"/>
  <c r="C1819" i="1"/>
  <c r="B1819" i="1"/>
  <c r="A1819" i="1"/>
  <c r="H1818" i="1"/>
  <c r="G1818" i="1"/>
  <c r="D1818" i="1"/>
  <c r="C1818" i="1"/>
  <c r="B1818" i="1"/>
  <c r="A1818" i="1"/>
  <c r="H1817" i="1"/>
  <c r="G1817" i="1"/>
  <c r="D1817" i="1"/>
  <c r="C1817" i="1"/>
  <c r="B1817" i="1"/>
  <c r="A1817" i="1"/>
  <c r="H1816" i="1"/>
  <c r="G1816" i="1"/>
  <c r="D1816" i="1"/>
  <c r="C1816" i="1"/>
  <c r="B1816" i="1"/>
  <c r="A1816" i="1"/>
  <c r="H1815" i="1"/>
  <c r="G1815" i="1"/>
  <c r="D1815" i="1"/>
  <c r="C1815" i="1"/>
  <c r="B1815" i="1"/>
  <c r="A1815" i="1"/>
  <c r="H1814" i="1"/>
  <c r="G1814" i="1"/>
  <c r="D1814" i="1"/>
  <c r="C1814" i="1"/>
  <c r="B1814" i="1"/>
  <c r="A1814" i="1"/>
  <c r="H1813" i="1"/>
  <c r="G1813" i="1"/>
  <c r="D1813" i="1"/>
  <c r="C1813" i="1"/>
  <c r="B1813" i="1"/>
  <c r="A1813" i="1"/>
  <c r="H1812" i="1"/>
  <c r="G1812" i="1"/>
  <c r="D1812" i="1"/>
  <c r="C1812" i="1"/>
  <c r="B1812" i="1"/>
  <c r="A1812" i="1"/>
  <c r="H1811" i="1"/>
  <c r="G1811" i="1"/>
  <c r="D1811" i="1"/>
  <c r="C1811" i="1"/>
  <c r="B1811" i="1"/>
  <c r="A1811" i="1"/>
  <c r="H1810" i="1"/>
  <c r="G1810" i="1"/>
  <c r="D1810" i="1"/>
  <c r="C1810" i="1"/>
  <c r="B1810" i="1"/>
  <c r="A1810" i="1"/>
  <c r="H1809" i="1"/>
  <c r="G1809" i="1"/>
  <c r="D1809" i="1"/>
  <c r="C1809" i="1"/>
  <c r="B1809" i="1"/>
  <c r="A1809" i="1"/>
  <c r="H1808" i="1"/>
  <c r="G1808" i="1"/>
  <c r="D1808" i="1"/>
  <c r="C1808" i="1"/>
  <c r="B1808" i="1"/>
  <c r="A1808" i="1"/>
  <c r="H1807" i="1"/>
  <c r="G1807" i="1"/>
  <c r="D1807" i="1"/>
  <c r="C1807" i="1"/>
  <c r="B1807" i="1"/>
  <c r="A1807" i="1"/>
  <c r="H1806" i="1"/>
  <c r="G1806" i="1"/>
  <c r="D1806" i="1"/>
  <c r="C1806" i="1"/>
  <c r="B1806" i="1"/>
  <c r="A1806" i="1"/>
  <c r="H1805" i="1"/>
  <c r="G1805" i="1"/>
  <c r="D1805" i="1"/>
  <c r="C1805" i="1"/>
  <c r="B1805" i="1"/>
  <c r="A1805" i="1"/>
  <c r="H1804" i="1"/>
  <c r="G1804" i="1"/>
  <c r="D1804" i="1"/>
  <c r="C1804" i="1"/>
  <c r="B1804" i="1"/>
  <c r="A1804" i="1"/>
  <c r="H1803" i="1"/>
  <c r="G1803" i="1"/>
  <c r="D1803" i="1"/>
  <c r="C1803" i="1"/>
  <c r="B1803" i="1"/>
  <c r="A1803" i="1"/>
  <c r="H1802" i="1"/>
  <c r="G1802" i="1"/>
  <c r="D1802" i="1"/>
  <c r="C1802" i="1"/>
  <c r="B1802" i="1"/>
  <c r="A1802" i="1"/>
  <c r="H1801" i="1"/>
  <c r="G1801" i="1"/>
  <c r="D1801" i="1"/>
  <c r="C1801" i="1"/>
  <c r="B1801" i="1"/>
  <c r="A1801" i="1"/>
  <c r="H1800" i="1"/>
  <c r="G1800" i="1"/>
  <c r="D1800" i="1"/>
  <c r="C1800" i="1"/>
  <c r="B1800" i="1"/>
  <c r="A1800" i="1"/>
  <c r="H1799" i="1"/>
  <c r="G1799" i="1"/>
  <c r="D1799" i="1"/>
  <c r="C1799" i="1"/>
  <c r="B1799" i="1"/>
  <c r="A1799" i="1"/>
  <c r="H1798" i="1"/>
  <c r="G1798" i="1"/>
  <c r="D1798" i="1"/>
  <c r="C1798" i="1"/>
  <c r="B1798" i="1"/>
  <c r="A1798" i="1"/>
  <c r="H1797" i="1"/>
  <c r="G1797" i="1"/>
  <c r="D1797" i="1"/>
  <c r="C1797" i="1"/>
  <c r="B1797" i="1"/>
  <c r="A1797" i="1"/>
  <c r="H1796" i="1"/>
  <c r="G1796" i="1"/>
  <c r="D1796" i="1"/>
  <c r="C1796" i="1"/>
  <c r="B1796" i="1"/>
  <c r="A1796" i="1"/>
  <c r="H1795" i="1"/>
  <c r="G1795" i="1"/>
  <c r="D1795" i="1"/>
  <c r="C1795" i="1"/>
  <c r="B1795" i="1"/>
  <c r="A1795" i="1"/>
  <c r="H1794" i="1"/>
  <c r="G1794" i="1"/>
  <c r="D1794" i="1"/>
  <c r="C1794" i="1"/>
  <c r="B1794" i="1"/>
  <c r="A1794" i="1"/>
  <c r="H1793" i="1"/>
  <c r="G1793" i="1"/>
  <c r="D1793" i="1"/>
  <c r="C1793" i="1"/>
  <c r="B1793" i="1"/>
  <c r="A1793" i="1"/>
  <c r="H1792" i="1"/>
  <c r="G1792" i="1"/>
  <c r="D1792" i="1"/>
  <c r="C1792" i="1"/>
  <c r="B1792" i="1"/>
  <c r="A1792" i="1"/>
  <c r="H1791" i="1"/>
  <c r="G1791" i="1"/>
  <c r="D1791" i="1"/>
  <c r="C1791" i="1"/>
  <c r="B1791" i="1"/>
  <c r="A1791" i="1"/>
  <c r="H1790" i="1"/>
  <c r="G1790" i="1"/>
  <c r="D1790" i="1"/>
  <c r="C1790" i="1"/>
  <c r="B1790" i="1"/>
  <c r="A1790" i="1"/>
  <c r="H1789" i="1"/>
  <c r="G1789" i="1"/>
  <c r="D1789" i="1"/>
  <c r="C1789" i="1"/>
  <c r="B1789" i="1"/>
  <c r="A1789" i="1"/>
  <c r="H1788" i="1"/>
  <c r="G1788" i="1"/>
  <c r="D1788" i="1"/>
  <c r="C1788" i="1"/>
  <c r="B1788" i="1"/>
  <c r="A1788" i="1"/>
  <c r="H1787" i="1"/>
  <c r="G1787" i="1"/>
  <c r="D1787" i="1"/>
  <c r="C1787" i="1"/>
  <c r="B1787" i="1"/>
  <c r="A1787" i="1"/>
  <c r="H1786" i="1"/>
  <c r="G1786" i="1"/>
  <c r="D1786" i="1"/>
  <c r="C1786" i="1"/>
  <c r="B1786" i="1"/>
  <c r="A1786" i="1"/>
  <c r="H1785" i="1"/>
  <c r="G1785" i="1"/>
  <c r="D1785" i="1"/>
  <c r="C1785" i="1"/>
  <c r="B1785" i="1"/>
  <c r="A1785" i="1"/>
  <c r="H1784" i="1"/>
  <c r="G1784" i="1"/>
  <c r="D1784" i="1"/>
  <c r="C1784" i="1"/>
  <c r="B1784" i="1"/>
  <c r="A1784" i="1"/>
  <c r="H1783" i="1"/>
  <c r="G1783" i="1"/>
  <c r="D1783" i="1"/>
  <c r="C1783" i="1"/>
  <c r="B1783" i="1"/>
  <c r="A1783" i="1"/>
  <c r="H1782" i="1"/>
  <c r="G1782" i="1"/>
  <c r="D1782" i="1"/>
  <c r="C1782" i="1"/>
  <c r="B1782" i="1"/>
  <c r="A1782" i="1"/>
  <c r="H1781" i="1"/>
  <c r="G1781" i="1"/>
  <c r="D1781" i="1"/>
  <c r="C1781" i="1"/>
  <c r="B1781" i="1"/>
  <c r="A1781" i="1"/>
  <c r="H1780" i="1"/>
  <c r="G1780" i="1"/>
  <c r="D1780" i="1"/>
  <c r="C1780" i="1"/>
  <c r="B1780" i="1"/>
  <c r="A1780" i="1"/>
  <c r="H1779" i="1"/>
  <c r="G1779" i="1"/>
  <c r="D1779" i="1"/>
  <c r="C1779" i="1"/>
  <c r="B1779" i="1"/>
  <c r="A1779" i="1"/>
  <c r="H1778" i="1"/>
  <c r="G1778" i="1"/>
  <c r="D1778" i="1"/>
  <c r="C1778" i="1"/>
  <c r="B1778" i="1"/>
  <c r="A1778" i="1"/>
  <c r="H1777" i="1"/>
  <c r="G1777" i="1"/>
  <c r="D1777" i="1"/>
  <c r="C1777" i="1"/>
  <c r="B1777" i="1"/>
  <c r="A1777" i="1"/>
  <c r="H1776" i="1"/>
  <c r="G1776" i="1"/>
  <c r="D1776" i="1"/>
  <c r="C1776" i="1"/>
  <c r="B1776" i="1"/>
  <c r="A1776" i="1"/>
  <c r="H1775" i="1"/>
  <c r="G1775" i="1"/>
  <c r="D1775" i="1"/>
  <c r="C1775" i="1"/>
  <c r="B1775" i="1"/>
  <c r="A1775" i="1"/>
  <c r="H1774" i="1"/>
  <c r="G1774" i="1"/>
  <c r="D1774" i="1"/>
  <c r="C1774" i="1"/>
  <c r="B1774" i="1"/>
  <c r="A1774" i="1"/>
  <c r="H1773" i="1"/>
  <c r="G1773" i="1"/>
  <c r="D1773" i="1"/>
  <c r="C1773" i="1"/>
  <c r="B1773" i="1"/>
  <c r="A1773" i="1"/>
  <c r="H1772" i="1"/>
  <c r="G1772" i="1"/>
  <c r="D1772" i="1"/>
  <c r="C1772" i="1"/>
  <c r="B1772" i="1"/>
  <c r="A1772" i="1"/>
  <c r="H1771" i="1"/>
  <c r="G1771" i="1"/>
  <c r="D1771" i="1"/>
  <c r="C1771" i="1"/>
  <c r="B1771" i="1"/>
  <c r="A1771" i="1"/>
  <c r="H1770" i="1"/>
  <c r="G1770" i="1"/>
  <c r="D1770" i="1"/>
  <c r="C1770" i="1"/>
  <c r="B1770" i="1"/>
  <c r="A1770" i="1"/>
  <c r="H1769" i="1"/>
  <c r="G1769" i="1"/>
  <c r="D1769" i="1"/>
  <c r="C1769" i="1"/>
  <c r="B1769" i="1"/>
  <c r="A1769" i="1"/>
  <c r="H1768" i="1"/>
  <c r="G1768" i="1"/>
  <c r="D1768" i="1"/>
  <c r="C1768" i="1"/>
  <c r="B1768" i="1"/>
  <c r="A1768" i="1"/>
  <c r="H1767" i="1"/>
  <c r="G1767" i="1"/>
  <c r="D1767" i="1"/>
  <c r="C1767" i="1"/>
  <c r="B1767" i="1"/>
  <c r="A1767" i="1"/>
  <c r="H1766" i="1"/>
  <c r="G1766" i="1"/>
  <c r="D1766" i="1"/>
  <c r="C1766" i="1"/>
  <c r="B1766" i="1"/>
  <c r="A1766" i="1"/>
  <c r="H1765" i="1"/>
  <c r="G1765" i="1"/>
  <c r="D1765" i="1"/>
  <c r="C1765" i="1"/>
  <c r="B1765" i="1"/>
  <c r="A1765" i="1"/>
  <c r="H1764" i="1"/>
  <c r="G1764" i="1"/>
  <c r="D1764" i="1"/>
  <c r="C1764" i="1"/>
  <c r="B1764" i="1"/>
  <c r="A1764" i="1"/>
  <c r="H1763" i="1"/>
  <c r="G1763" i="1"/>
  <c r="D1763" i="1"/>
  <c r="C1763" i="1"/>
  <c r="B1763" i="1"/>
  <c r="A1763" i="1"/>
  <c r="H1762" i="1"/>
  <c r="G1762" i="1"/>
  <c r="D1762" i="1"/>
  <c r="C1762" i="1"/>
  <c r="B1762" i="1"/>
  <c r="A1762" i="1"/>
  <c r="H1761" i="1"/>
  <c r="G1761" i="1"/>
  <c r="D1761" i="1"/>
  <c r="C1761" i="1"/>
  <c r="B1761" i="1"/>
  <c r="A1761" i="1"/>
  <c r="H1760" i="1"/>
  <c r="G1760" i="1"/>
  <c r="D1760" i="1"/>
  <c r="C1760" i="1"/>
  <c r="B1760" i="1"/>
  <c r="A1760" i="1"/>
  <c r="H1759" i="1"/>
  <c r="G1759" i="1"/>
  <c r="D1759" i="1"/>
  <c r="C1759" i="1"/>
  <c r="B1759" i="1"/>
  <c r="A1759" i="1"/>
  <c r="H1758" i="1"/>
  <c r="G1758" i="1"/>
  <c r="D1758" i="1"/>
  <c r="C1758" i="1"/>
  <c r="B1758" i="1"/>
  <c r="A1758" i="1"/>
  <c r="H1757" i="1"/>
  <c r="G1757" i="1"/>
  <c r="D1757" i="1"/>
  <c r="C1757" i="1"/>
  <c r="B1757" i="1"/>
  <c r="A1757" i="1"/>
  <c r="H1756" i="1"/>
  <c r="G1756" i="1"/>
  <c r="D1756" i="1"/>
  <c r="C1756" i="1"/>
  <c r="B1756" i="1"/>
  <c r="A1756" i="1"/>
  <c r="H1755" i="1"/>
  <c r="G1755" i="1"/>
  <c r="D1755" i="1"/>
  <c r="C1755" i="1"/>
  <c r="B1755" i="1"/>
  <c r="A1755" i="1"/>
  <c r="H1754" i="1"/>
  <c r="G1754" i="1"/>
  <c r="D1754" i="1"/>
  <c r="C1754" i="1"/>
  <c r="B1754" i="1"/>
  <c r="A1754" i="1"/>
  <c r="H1753" i="1"/>
  <c r="G1753" i="1"/>
  <c r="D1753" i="1"/>
  <c r="C1753" i="1"/>
  <c r="B1753" i="1"/>
  <c r="A1753" i="1"/>
  <c r="H1752" i="1"/>
  <c r="G1752" i="1"/>
  <c r="D1752" i="1"/>
  <c r="C1752" i="1"/>
  <c r="B1752" i="1"/>
  <c r="A1752" i="1"/>
  <c r="H1751" i="1"/>
  <c r="G1751" i="1"/>
  <c r="D1751" i="1"/>
  <c r="C1751" i="1"/>
  <c r="B1751" i="1"/>
  <c r="A1751" i="1"/>
  <c r="H1750" i="1"/>
  <c r="G1750" i="1"/>
  <c r="D1750" i="1"/>
  <c r="C1750" i="1"/>
  <c r="B1750" i="1"/>
  <c r="A1750" i="1"/>
  <c r="H1749" i="1"/>
  <c r="G1749" i="1"/>
  <c r="D1749" i="1"/>
  <c r="C1749" i="1"/>
  <c r="B1749" i="1"/>
  <c r="A1749" i="1"/>
  <c r="H1748" i="1"/>
  <c r="G1748" i="1"/>
  <c r="D1748" i="1"/>
  <c r="C1748" i="1"/>
  <c r="B1748" i="1"/>
  <c r="A1748" i="1"/>
  <c r="H1747" i="1"/>
  <c r="G1747" i="1"/>
  <c r="D1747" i="1"/>
  <c r="C1747" i="1"/>
  <c r="B1747" i="1"/>
  <c r="A1747" i="1"/>
  <c r="H1746" i="1"/>
  <c r="G1746" i="1"/>
  <c r="D1746" i="1"/>
  <c r="C1746" i="1"/>
  <c r="B1746" i="1"/>
  <c r="A1746" i="1"/>
  <c r="H1745" i="1"/>
  <c r="G1745" i="1"/>
  <c r="D1745" i="1"/>
  <c r="C1745" i="1"/>
  <c r="B1745" i="1"/>
  <c r="A1745" i="1"/>
  <c r="H1744" i="1"/>
  <c r="G1744" i="1"/>
  <c r="D1744" i="1"/>
  <c r="C1744" i="1"/>
  <c r="B1744" i="1"/>
  <c r="A1744" i="1"/>
  <c r="H1743" i="1"/>
  <c r="G1743" i="1"/>
  <c r="D1743" i="1"/>
  <c r="C1743" i="1"/>
  <c r="B1743" i="1"/>
  <c r="A1743" i="1"/>
  <c r="H1742" i="1"/>
  <c r="G1742" i="1"/>
  <c r="D1742" i="1"/>
  <c r="C1742" i="1"/>
  <c r="B1742" i="1"/>
  <c r="A1742" i="1"/>
  <c r="H1741" i="1"/>
  <c r="G1741" i="1"/>
  <c r="D1741" i="1"/>
  <c r="C1741" i="1"/>
  <c r="B1741" i="1"/>
  <c r="A1741" i="1"/>
  <c r="H1740" i="1"/>
  <c r="G1740" i="1"/>
  <c r="D1740" i="1"/>
  <c r="C1740" i="1"/>
  <c r="B1740" i="1"/>
  <c r="A1740" i="1"/>
  <c r="H1739" i="1"/>
  <c r="G1739" i="1"/>
  <c r="D1739" i="1"/>
  <c r="C1739" i="1"/>
  <c r="B1739" i="1"/>
  <c r="A1739" i="1"/>
  <c r="H1738" i="1"/>
  <c r="G1738" i="1"/>
  <c r="D1738" i="1"/>
  <c r="C1738" i="1"/>
  <c r="B1738" i="1"/>
  <c r="A1738" i="1"/>
  <c r="H1737" i="1"/>
  <c r="G1737" i="1"/>
  <c r="D1737" i="1"/>
  <c r="C1737" i="1"/>
  <c r="B1737" i="1"/>
  <c r="A1737" i="1"/>
  <c r="H1736" i="1"/>
  <c r="G1736" i="1"/>
  <c r="D1736" i="1"/>
  <c r="C1736" i="1"/>
  <c r="B1736" i="1"/>
  <c r="A1736" i="1"/>
  <c r="H1735" i="1"/>
  <c r="G1735" i="1"/>
  <c r="D1735" i="1"/>
  <c r="C1735" i="1"/>
  <c r="B1735" i="1"/>
  <c r="A1735" i="1"/>
  <c r="H1734" i="1"/>
  <c r="G1734" i="1"/>
  <c r="D1734" i="1"/>
  <c r="C1734" i="1"/>
  <c r="B1734" i="1"/>
  <c r="A1734" i="1"/>
  <c r="H1733" i="1"/>
  <c r="G1733" i="1"/>
  <c r="D1733" i="1"/>
  <c r="C1733" i="1"/>
  <c r="B1733" i="1"/>
  <c r="A1733" i="1"/>
  <c r="H1732" i="1"/>
  <c r="G1732" i="1"/>
  <c r="D1732" i="1"/>
  <c r="C1732" i="1"/>
  <c r="B1732" i="1"/>
  <c r="A1732" i="1"/>
  <c r="H1731" i="1"/>
  <c r="G1731" i="1"/>
  <c r="D1731" i="1"/>
  <c r="C1731" i="1"/>
  <c r="B1731" i="1"/>
  <c r="A1731" i="1"/>
  <c r="H1730" i="1"/>
  <c r="G1730" i="1"/>
  <c r="D1730" i="1"/>
  <c r="C1730" i="1"/>
  <c r="B1730" i="1"/>
  <c r="A1730" i="1"/>
  <c r="H1729" i="1"/>
  <c r="G1729" i="1"/>
  <c r="D1729" i="1"/>
  <c r="C1729" i="1"/>
  <c r="B1729" i="1"/>
  <c r="A1729" i="1"/>
  <c r="H1728" i="1"/>
  <c r="G1728" i="1"/>
  <c r="D1728" i="1"/>
  <c r="C1728" i="1"/>
  <c r="B1728" i="1"/>
  <c r="A1728" i="1"/>
  <c r="H1727" i="1"/>
  <c r="G1727" i="1"/>
  <c r="D1727" i="1"/>
  <c r="C1727" i="1"/>
  <c r="B1727" i="1"/>
  <c r="A1727" i="1"/>
  <c r="H1726" i="1"/>
  <c r="G1726" i="1"/>
  <c r="D1726" i="1"/>
  <c r="C1726" i="1"/>
  <c r="B1726" i="1"/>
  <c r="A1726" i="1"/>
  <c r="H1725" i="1"/>
  <c r="G1725" i="1"/>
  <c r="D1725" i="1"/>
  <c r="C1725" i="1"/>
  <c r="B1725" i="1"/>
  <c r="A1725" i="1"/>
  <c r="H1724" i="1"/>
  <c r="G1724" i="1"/>
  <c r="D1724" i="1"/>
  <c r="C1724" i="1"/>
  <c r="B1724" i="1"/>
  <c r="A1724" i="1"/>
  <c r="H1723" i="1"/>
  <c r="G1723" i="1"/>
  <c r="D1723" i="1"/>
  <c r="C1723" i="1"/>
  <c r="B1723" i="1"/>
  <c r="A1723" i="1"/>
  <c r="H1722" i="1"/>
  <c r="G1722" i="1"/>
  <c r="D1722" i="1"/>
  <c r="C1722" i="1"/>
  <c r="B1722" i="1"/>
  <c r="A1722" i="1"/>
  <c r="H1721" i="1"/>
  <c r="G1721" i="1"/>
  <c r="D1721" i="1"/>
  <c r="C1721" i="1"/>
  <c r="B1721" i="1"/>
  <c r="A1721" i="1"/>
  <c r="H1720" i="1"/>
  <c r="G1720" i="1"/>
  <c r="D1720" i="1"/>
  <c r="C1720" i="1"/>
  <c r="B1720" i="1"/>
  <c r="A1720" i="1"/>
  <c r="H1719" i="1"/>
  <c r="G1719" i="1"/>
  <c r="D1719" i="1"/>
  <c r="C1719" i="1"/>
  <c r="B1719" i="1"/>
  <c r="A1719" i="1"/>
  <c r="H1718" i="1"/>
  <c r="G1718" i="1"/>
  <c r="D1718" i="1"/>
  <c r="C1718" i="1"/>
  <c r="B1718" i="1"/>
  <c r="A1718" i="1"/>
  <c r="H1717" i="1"/>
  <c r="G1717" i="1"/>
  <c r="D1717" i="1"/>
  <c r="C1717" i="1"/>
  <c r="B1717" i="1"/>
  <c r="A1717" i="1"/>
  <c r="H1716" i="1"/>
  <c r="G1716" i="1"/>
  <c r="D1716" i="1"/>
  <c r="C1716" i="1"/>
  <c r="B1716" i="1"/>
  <c r="A1716" i="1"/>
  <c r="H1715" i="1"/>
  <c r="G1715" i="1"/>
  <c r="D1715" i="1"/>
  <c r="C1715" i="1"/>
  <c r="B1715" i="1"/>
  <c r="A1715" i="1"/>
  <c r="H1714" i="1"/>
  <c r="G1714" i="1"/>
  <c r="D1714" i="1"/>
  <c r="C1714" i="1"/>
  <c r="B1714" i="1"/>
  <c r="A1714" i="1"/>
  <c r="H1713" i="1"/>
  <c r="G1713" i="1"/>
  <c r="D1713" i="1"/>
  <c r="C1713" i="1"/>
  <c r="B1713" i="1"/>
  <c r="A1713" i="1"/>
  <c r="H1712" i="1"/>
  <c r="G1712" i="1"/>
  <c r="D1712" i="1"/>
  <c r="C1712" i="1"/>
  <c r="B1712" i="1"/>
  <c r="A1712" i="1"/>
  <c r="H1711" i="1"/>
  <c r="G1711" i="1"/>
  <c r="D1711" i="1"/>
  <c r="C1711" i="1"/>
  <c r="B1711" i="1"/>
  <c r="A1711" i="1"/>
  <c r="H1710" i="1"/>
  <c r="G1710" i="1"/>
  <c r="D1710" i="1"/>
  <c r="C1710" i="1"/>
  <c r="B1710" i="1"/>
  <c r="A1710" i="1"/>
  <c r="H1709" i="1"/>
  <c r="G1709" i="1"/>
  <c r="D1709" i="1"/>
  <c r="C1709" i="1"/>
  <c r="B1709" i="1"/>
  <c r="A1709" i="1"/>
  <c r="H1708" i="1"/>
  <c r="G1708" i="1"/>
  <c r="D1708" i="1"/>
  <c r="C1708" i="1"/>
  <c r="B1708" i="1"/>
  <c r="A1708" i="1"/>
  <c r="H1707" i="1"/>
  <c r="G1707" i="1"/>
  <c r="D1707" i="1"/>
  <c r="C1707" i="1"/>
  <c r="B1707" i="1"/>
  <c r="A1707" i="1"/>
  <c r="H1706" i="1"/>
  <c r="G1706" i="1"/>
  <c r="D1706" i="1"/>
  <c r="C1706" i="1"/>
  <c r="B1706" i="1"/>
  <c r="A1706" i="1"/>
  <c r="H1705" i="1"/>
  <c r="G1705" i="1"/>
  <c r="D1705" i="1"/>
  <c r="C1705" i="1"/>
  <c r="B1705" i="1"/>
  <c r="A1705" i="1"/>
  <c r="H1704" i="1"/>
  <c r="G1704" i="1"/>
  <c r="D1704" i="1"/>
  <c r="C1704" i="1"/>
  <c r="B1704" i="1"/>
  <c r="A1704" i="1"/>
  <c r="H1703" i="1"/>
  <c r="G1703" i="1"/>
  <c r="D1703" i="1"/>
  <c r="C1703" i="1"/>
  <c r="B1703" i="1"/>
  <c r="A1703" i="1"/>
  <c r="H1702" i="1"/>
  <c r="G1702" i="1"/>
  <c r="D1702" i="1"/>
  <c r="C1702" i="1"/>
  <c r="B1702" i="1"/>
  <c r="A1702" i="1"/>
  <c r="H1701" i="1"/>
  <c r="G1701" i="1"/>
  <c r="D1701" i="1"/>
  <c r="C1701" i="1"/>
  <c r="B1701" i="1"/>
  <c r="A1701" i="1"/>
  <c r="H1700" i="1"/>
  <c r="G1700" i="1"/>
  <c r="D1700" i="1"/>
  <c r="C1700" i="1"/>
  <c r="B1700" i="1"/>
  <c r="A1700" i="1"/>
  <c r="H1699" i="1"/>
  <c r="G1699" i="1"/>
  <c r="D1699" i="1"/>
  <c r="C1699" i="1"/>
  <c r="B1699" i="1"/>
  <c r="A1699" i="1"/>
  <c r="H1698" i="1"/>
  <c r="G1698" i="1"/>
  <c r="D1698" i="1"/>
  <c r="C1698" i="1"/>
  <c r="B1698" i="1"/>
  <c r="A1698" i="1"/>
  <c r="H1697" i="1"/>
  <c r="G1697" i="1"/>
  <c r="D1697" i="1"/>
  <c r="C1697" i="1"/>
  <c r="B1697" i="1"/>
  <c r="A1697" i="1"/>
  <c r="H1696" i="1"/>
  <c r="G1696" i="1"/>
  <c r="D1696" i="1"/>
  <c r="C1696" i="1"/>
  <c r="B1696" i="1"/>
  <c r="A1696" i="1"/>
  <c r="H1695" i="1"/>
  <c r="G1695" i="1"/>
  <c r="D1695" i="1"/>
  <c r="C1695" i="1"/>
  <c r="B1695" i="1"/>
  <c r="A1695" i="1"/>
  <c r="H1694" i="1"/>
  <c r="G1694" i="1"/>
  <c r="D1694" i="1"/>
  <c r="C1694" i="1"/>
  <c r="B1694" i="1"/>
  <c r="A1694" i="1"/>
  <c r="H1693" i="1"/>
  <c r="G1693" i="1"/>
  <c r="D1693" i="1"/>
  <c r="C1693" i="1"/>
  <c r="B1693" i="1"/>
  <c r="A1693" i="1"/>
  <c r="H1692" i="1"/>
  <c r="G1692" i="1"/>
  <c r="D1692" i="1"/>
  <c r="C1692" i="1"/>
  <c r="B1692" i="1"/>
  <c r="A1692" i="1"/>
  <c r="H1691" i="1"/>
  <c r="G1691" i="1"/>
  <c r="D1691" i="1"/>
  <c r="C1691" i="1"/>
  <c r="B1691" i="1"/>
  <c r="A1691" i="1"/>
  <c r="H1690" i="1"/>
  <c r="G1690" i="1"/>
  <c r="D1690" i="1"/>
  <c r="C1690" i="1"/>
  <c r="B1690" i="1"/>
  <c r="A1690" i="1"/>
  <c r="H1689" i="1"/>
  <c r="G1689" i="1"/>
  <c r="D1689" i="1"/>
  <c r="C1689" i="1"/>
  <c r="B1689" i="1"/>
  <c r="A1689" i="1"/>
  <c r="H1688" i="1"/>
  <c r="G1688" i="1"/>
  <c r="D1688" i="1"/>
  <c r="C1688" i="1"/>
  <c r="B1688" i="1"/>
  <c r="A1688" i="1"/>
  <c r="H1687" i="1"/>
  <c r="G1687" i="1"/>
  <c r="D1687" i="1"/>
  <c r="C1687" i="1"/>
  <c r="B1687" i="1"/>
  <c r="A1687" i="1"/>
  <c r="H1686" i="1"/>
  <c r="G1686" i="1"/>
  <c r="D1686" i="1"/>
  <c r="C1686" i="1"/>
  <c r="B1686" i="1"/>
  <c r="A1686" i="1"/>
  <c r="H1685" i="1"/>
  <c r="G1685" i="1"/>
  <c r="D1685" i="1"/>
  <c r="C1685" i="1"/>
  <c r="B1685" i="1"/>
  <c r="A1685" i="1"/>
  <c r="H1684" i="1"/>
  <c r="G1684" i="1"/>
  <c r="D1684" i="1"/>
  <c r="C1684" i="1"/>
  <c r="B1684" i="1"/>
  <c r="A1684" i="1"/>
  <c r="H1683" i="1"/>
  <c r="G1683" i="1"/>
  <c r="D1683" i="1"/>
  <c r="C1683" i="1"/>
  <c r="B1683" i="1"/>
  <c r="A1683" i="1"/>
  <c r="H1682" i="1"/>
  <c r="G1682" i="1"/>
  <c r="D1682" i="1"/>
  <c r="C1682" i="1"/>
  <c r="B1682" i="1"/>
  <c r="A1682" i="1"/>
  <c r="H1681" i="1"/>
  <c r="G1681" i="1"/>
  <c r="D1681" i="1"/>
  <c r="C1681" i="1"/>
  <c r="B1681" i="1"/>
  <c r="A1681" i="1"/>
  <c r="H1680" i="1"/>
  <c r="G1680" i="1"/>
  <c r="D1680" i="1"/>
  <c r="C1680" i="1"/>
  <c r="B1680" i="1"/>
  <c r="A1680" i="1"/>
  <c r="H1679" i="1"/>
  <c r="G1679" i="1"/>
  <c r="D1679" i="1"/>
  <c r="C1679" i="1"/>
  <c r="B1679" i="1"/>
  <c r="A1679" i="1"/>
  <c r="H1678" i="1"/>
  <c r="G1678" i="1"/>
  <c r="D1678" i="1"/>
  <c r="C1678" i="1"/>
  <c r="B1678" i="1"/>
  <c r="A1678" i="1"/>
  <c r="H1677" i="1"/>
  <c r="G1677" i="1"/>
  <c r="D1677" i="1"/>
  <c r="C1677" i="1"/>
  <c r="B1677" i="1"/>
  <c r="A1677" i="1"/>
  <c r="H1676" i="1"/>
  <c r="G1676" i="1"/>
  <c r="D1676" i="1"/>
  <c r="C1676" i="1"/>
  <c r="B1676" i="1"/>
  <c r="A1676" i="1"/>
  <c r="H1675" i="1"/>
  <c r="G1675" i="1"/>
  <c r="D1675" i="1"/>
  <c r="C1675" i="1"/>
  <c r="B1675" i="1"/>
  <c r="A1675" i="1"/>
  <c r="H1674" i="1"/>
  <c r="G1674" i="1"/>
  <c r="D1674" i="1"/>
  <c r="C1674" i="1"/>
  <c r="B1674" i="1"/>
  <c r="A1674" i="1"/>
  <c r="H1673" i="1"/>
  <c r="G1673" i="1"/>
  <c r="D1673" i="1"/>
  <c r="C1673" i="1"/>
  <c r="B1673" i="1"/>
  <c r="A1673" i="1"/>
  <c r="H1672" i="1"/>
  <c r="G1672" i="1"/>
  <c r="D1672" i="1"/>
  <c r="C1672" i="1"/>
  <c r="B1672" i="1"/>
  <c r="A1672" i="1"/>
  <c r="H1671" i="1"/>
  <c r="G1671" i="1"/>
  <c r="D1671" i="1"/>
  <c r="C1671" i="1"/>
  <c r="B1671" i="1"/>
  <c r="A1671" i="1"/>
  <c r="H1670" i="1"/>
  <c r="G1670" i="1"/>
  <c r="D1670" i="1"/>
  <c r="C1670" i="1"/>
  <c r="B1670" i="1"/>
  <c r="A1670" i="1"/>
  <c r="H1669" i="1"/>
  <c r="G1669" i="1"/>
  <c r="D1669" i="1"/>
  <c r="C1669" i="1"/>
  <c r="B1669" i="1"/>
  <c r="A1669" i="1"/>
  <c r="H1668" i="1"/>
  <c r="G1668" i="1"/>
  <c r="D1668" i="1"/>
  <c r="C1668" i="1"/>
  <c r="B1668" i="1"/>
  <c r="A1668" i="1"/>
  <c r="H1667" i="1"/>
  <c r="G1667" i="1"/>
  <c r="D1667" i="1"/>
  <c r="C1667" i="1"/>
  <c r="B1667" i="1"/>
  <c r="A1667" i="1"/>
  <c r="H1666" i="1"/>
  <c r="G1666" i="1"/>
  <c r="D1666" i="1"/>
  <c r="C1666" i="1"/>
  <c r="B1666" i="1"/>
  <c r="A1666" i="1"/>
  <c r="H1665" i="1"/>
  <c r="G1665" i="1"/>
  <c r="D1665" i="1"/>
  <c r="C1665" i="1"/>
  <c r="B1665" i="1"/>
  <c r="A1665" i="1"/>
  <c r="H1664" i="1"/>
  <c r="G1664" i="1"/>
  <c r="D1664" i="1"/>
  <c r="C1664" i="1"/>
  <c r="B1664" i="1"/>
  <c r="A1664" i="1"/>
  <c r="H1663" i="1"/>
  <c r="G1663" i="1"/>
  <c r="D1663" i="1"/>
  <c r="C1663" i="1"/>
  <c r="B1663" i="1"/>
  <c r="A1663" i="1"/>
  <c r="H1662" i="1"/>
  <c r="G1662" i="1"/>
  <c r="D1662" i="1"/>
  <c r="C1662" i="1"/>
  <c r="B1662" i="1"/>
  <c r="A1662" i="1"/>
  <c r="H1661" i="1"/>
  <c r="G1661" i="1"/>
  <c r="D1661" i="1"/>
  <c r="C1661" i="1"/>
  <c r="B1661" i="1"/>
  <c r="A1661" i="1"/>
  <c r="H1660" i="1"/>
  <c r="G1660" i="1"/>
  <c r="D1660" i="1"/>
  <c r="C1660" i="1"/>
  <c r="B1660" i="1"/>
  <c r="A1660" i="1"/>
  <c r="H1659" i="1"/>
  <c r="G1659" i="1"/>
  <c r="D1659" i="1"/>
  <c r="C1659" i="1"/>
  <c r="B1659" i="1"/>
  <c r="A1659" i="1"/>
  <c r="H1658" i="1"/>
  <c r="G1658" i="1"/>
  <c r="D1658" i="1"/>
  <c r="C1658" i="1"/>
  <c r="B1658" i="1"/>
  <c r="A1658" i="1"/>
  <c r="H1657" i="1"/>
  <c r="G1657" i="1"/>
  <c r="D1657" i="1"/>
  <c r="C1657" i="1"/>
  <c r="B1657" i="1"/>
  <c r="A1657" i="1"/>
  <c r="H1656" i="1"/>
  <c r="G1656" i="1"/>
  <c r="D1656" i="1"/>
  <c r="C1656" i="1"/>
  <c r="B1656" i="1"/>
  <c r="A1656" i="1"/>
  <c r="H1655" i="1"/>
  <c r="G1655" i="1"/>
  <c r="D1655" i="1"/>
  <c r="C1655" i="1"/>
  <c r="B1655" i="1"/>
  <c r="A1655" i="1"/>
  <c r="H1654" i="1"/>
  <c r="G1654" i="1"/>
  <c r="D1654" i="1"/>
  <c r="C1654" i="1"/>
  <c r="B1654" i="1"/>
  <c r="A1654" i="1"/>
  <c r="H1653" i="1"/>
  <c r="G1653" i="1"/>
  <c r="D1653" i="1"/>
  <c r="C1653" i="1"/>
  <c r="B1653" i="1"/>
  <c r="A1653" i="1"/>
  <c r="H1652" i="1"/>
  <c r="G1652" i="1"/>
  <c r="D1652" i="1"/>
  <c r="C1652" i="1"/>
  <c r="B1652" i="1"/>
  <c r="A1652" i="1"/>
  <c r="H1651" i="1"/>
  <c r="G1651" i="1"/>
  <c r="D1651" i="1"/>
  <c r="C1651" i="1"/>
  <c r="B1651" i="1"/>
  <c r="A1651" i="1"/>
  <c r="H1650" i="1"/>
  <c r="G1650" i="1"/>
  <c r="D1650" i="1"/>
  <c r="C1650" i="1"/>
  <c r="B1650" i="1"/>
  <c r="A1650" i="1"/>
  <c r="H1649" i="1"/>
  <c r="G1649" i="1"/>
  <c r="D1649" i="1"/>
  <c r="C1649" i="1"/>
  <c r="B1649" i="1"/>
  <c r="A1649" i="1"/>
  <c r="H1648" i="1"/>
  <c r="G1648" i="1"/>
  <c r="D1648" i="1"/>
  <c r="C1648" i="1"/>
  <c r="B1648" i="1"/>
  <c r="A1648" i="1"/>
  <c r="H1647" i="1"/>
  <c r="G1647" i="1"/>
  <c r="D1647" i="1"/>
  <c r="C1647" i="1"/>
  <c r="B1647" i="1"/>
  <c r="A1647" i="1"/>
  <c r="H1646" i="1"/>
  <c r="G1646" i="1"/>
  <c r="D1646" i="1"/>
  <c r="C1646" i="1"/>
  <c r="B1646" i="1"/>
  <c r="A1646" i="1"/>
  <c r="H1645" i="1"/>
  <c r="G1645" i="1"/>
  <c r="D1645" i="1"/>
  <c r="C1645" i="1"/>
  <c r="B1645" i="1"/>
  <c r="A1645" i="1"/>
  <c r="H1644" i="1"/>
  <c r="G1644" i="1"/>
  <c r="D1644" i="1"/>
  <c r="C1644" i="1"/>
  <c r="B1644" i="1"/>
  <c r="A1644" i="1"/>
  <c r="H1643" i="1"/>
  <c r="G1643" i="1"/>
  <c r="D1643" i="1"/>
  <c r="C1643" i="1"/>
  <c r="B1643" i="1"/>
  <c r="A1643" i="1"/>
  <c r="H1642" i="1"/>
  <c r="G1642" i="1"/>
  <c r="D1642" i="1"/>
  <c r="C1642" i="1"/>
  <c r="B1642" i="1"/>
  <c r="A1642" i="1"/>
  <c r="H1641" i="1"/>
  <c r="G1641" i="1"/>
  <c r="D1641" i="1"/>
  <c r="C1641" i="1"/>
  <c r="B1641" i="1"/>
  <c r="A1641" i="1"/>
  <c r="H1640" i="1"/>
  <c r="G1640" i="1"/>
  <c r="D1640" i="1"/>
  <c r="C1640" i="1"/>
  <c r="B1640" i="1"/>
  <c r="A1640" i="1"/>
  <c r="H1639" i="1"/>
  <c r="G1639" i="1"/>
  <c r="D1639" i="1"/>
  <c r="C1639" i="1"/>
  <c r="B1639" i="1"/>
  <c r="A1639" i="1"/>
  <c r="H1638" i="1"/>
  <c r="G1638" i="1"/>
  <c r="D1638" i="1"/>
  <c r="C1638" i="1"/>
  <c r="B1638" i="1"/>
  <c r="A1638" i="1"/>
  <c r="H1637" i="1"/>
  <c r="G1637" i="1"/>
  <c r="D1637" i="1"/>
  <c r="C1637" i="1"/>
  <c r="B1637" i="1"/>
  <c r="A1637" i="1"/>
  <c r="H1636" i="1"/>
  <c r="G1636" i="1"/>
  <c r="D1636" i="1"/>
  <c r="C1636" i="1"/>
  <c r="B1636" i="1"/>
  <c r="A1636" i="1"/>
  <c r="H1635" i="1"/>
  <c r="G1635" i="1"/>
  <c r="D1635" i="1"/>
  <c r="C1635" i="1"/>
  <c r="B1635" i="1"/>
  <c r="A1635" i="1"/>
  <c r="H1634" i="1"/>
  <c r="G1634" i="1"/>
  <c r="D1634" i="1"/>
  <c r="C1634" i="1"/>
  <c r="B1634" i="1"/>
  <c r="A1634" i="1"/>
  <c r="H1633" i="1"/>
  <c r="G1633" i="1"/>
  <c r="D1633" i="1"/>
  <c r="C1633" i="1"/>
  <c r="B1633" i="1"/>
  <c r="A1633" i="1"/>
  <c r="H1632" i="1"/>
  <c r="G1632" i="1"/>
  <c r="D1632" i="1"/>
  <c r="C1632" i="1"/>
  <c r="B1632" i="1"/>
  <c r="A1632" i="1"/>
  <c r="H1631" i="1"/>
  <c r="G1631" i="1"/>
  <c r="D1631" i="1"/>
  <c r="C1631" i="1"/>
  <c r="B1631" i="1"/>
  <c r="A1631" i="1"/>
  <c r="H1630" i="1"/>
  <c r="G1630" i="1"/>
  <c r="D1630" i="1"/>
  <c r="C1630" i="1"/>
  <c r="B1630" i="1"/>
  <c r="A1630" i="1"/>
  <c r="H1629" i="1"/>
  <c r="G1629" i="1"/>
  <c r="D1629" i="1"/>
  <c r="C1629" i="1"/>
  <c r="B1629" i="1"/>
  <c r="A1629" i="1"/>
  <c r="H1628" i="1"/>
  <c r="G1628" i="1"/>
  <c r="D1628" i="1"/>
  <c r="C1628" i="1"/>
  <c r="B1628" i="1"/>
  <c r="A1628" i="1"/>
  <c r="H1627" i="1"/>
  <c r="G1627" i="1"/>
  <c r="D1627" i="1"/>
  <c r="C1627" i="1"/>
  <c r="B1627" i="1"/>
  <c r="A1627" i="1"/>
  <c r="H1626" i="1"/>
  <c r="G1626" i="1"/>
  <c r="D1626" i="1"/>
  <c r="C1626" i="1"/>
  <c r="B1626" i="1"/>
  <c r="A1626" i="1"/>
  <c r="H1625" i="1"/>
  <c r="G1625" i="1"/>
  <c r="D1625" i="1"/>
  <c r="C1625" i="1"/>
  <c r="B1625" i="1"/>
  <c r="A1625" i="1"/>
  <c r="H1624" i="1"/>
  <c r="G1624" i="1"/>
  <c r="D1624" i="1"/>
  <c r="C1624" i="1"/>
  <c r="B1624" i="1"/>
  <c r="A1624" i="1"/>
  <c r="H1623" i="1"/>
  <c r="G1623" i="1"/>
  <c r="D1623" i="1"/>
  <c r="C1623" i="1"/>
  <c r="B1623" i="1"/>
  <c r="A1623" i="1"/>
  <c r="H1622" i="1"/>
  <c r="G1622" i="1"/>
  <c r="D1622" i="1"/>
  <c r="C1622" i="1"/>
  <c r="B1622" i="1"/>
  <c r="A1622" i="1"/>
  <c r="H1621" i="1"/>
  <c r="G1621" i="1"/>
  <c r="D1621" i="1"/>
  <c r="C1621" i="1"/>
  <c r="B1621" i="1"/>
  <c r="A1621" i="1"/>
  <c r="H1620" i="1"/>
  <c r="G1620" i="1"/>
  <c r="D1620" i="1"/>
  <c r="C1620" i="1"/>
  <c r="B1620" i="1"/>
  <c r="A1620" i="1"/>
  <c r="H1619" i="1"/>
  <c r="G1619" i="1"/>
  <c r="D1619" i="1"/>
  <c r="C1619" i="1"/>
  <c r="B1619" i="1"/>
  <c r="A1619" i="1"/>
  <c r="H1618" i="1"/>
  <c r="G1618" i="1"/>
  <c r="D1618" i="1"/>
  <c r="C1618" i="1"/>
  <c r="B1618" i="1"/>
  <c r="A1618" i="1"/>
  <c r="H1617" i="1"/>
  <c r="G1617" i="1"/>
  <c r="D1617" i="1"/>
  <c r="C1617" i="1"/>
  <c r="B1617" i="1"/>
  <c r="A1617" i="1"/>
  <c r="H1616" i="1"/>
  <c r="G1616" i="1"/>
  <c r="D1616" i="1"/>
  <c r="C1616" i="1"/>
  <c r="B1616" i="1"/>
  <c r="A1616" i="1"/>
  <c r="H1615" i="1"/>
  <c r="G1615" i="1"/>
  <c r="D1615" i="1"/>
  <c r="C1615" i="1"/>
  <c r="B1615" i="1"/>
  <c r="A1615" i="1"/>
  <c r="H1614" i="1"/>
  <c r="G1614" i="1"/>
  <c r="D1614" i="1"/>
  <c r="C1614" i="1"/>
  <c r="B1614" i="1"/>
  <c r="A1614" i="1"/>
  <c r="H1613" i="1"/>
  <c r="G1613" i="1"/>
  <c r="D1613" i="1"/>
  <c r="C1613" i="1"/>
  <c r="B1613" i="1"/>
  <c r="A1613" i="1"/>
  <c r="H1612" i="1"/>
  <c r="G1612" i="1"/>
  <c r="D1612" i="1"/>
  <c r="C1612" i="1"/>
  <c r="B1612" i="1"/>
  <c r="A1612" i="1"/>
  <c r="H1611" i="1"/>
  <c r="G1611" i="1"/>
  <c r="D1611" i="1"/>
  <c r="C1611" i="1"/>
  <c r="B1611" i="1"/>
  <c r="A1611" i="1"/>
  <c r="H1610" i="1"/>
  <c r="G1610" i="1"/>
  <c r="D1610" i="1"/>
  <c r="C1610" i="1"/>
  <c r="B1610" i="1"/>
  <c r="A1610" i="1"/>
  <c r="H1609" i="1"/>
  <c r="G1609" i="1"/>
  <c r="D1609" i="1"/>
  <c r="C1609" i="1"/>
  <c r="B1609" i="1"/>
  <c r="A1609" i="1"/>
  <c r="H1608" i="1"/>
  <c r="G1608" i="1"/>
  <c r="D1608" i="1"/>
  <c r="C1608" i="1"/>
  <c r="B1608" i="1"/>
  <c r="A1608" i="1"/>
  <c r="H1607" i="1"/>
  <c r="G1607" i="1"/>
  <c r="D1607" i="1"/>
  <c r="C1607" i="1"/>
  <c r="B1607" i="1"/>
  <c r="A1607" i="1"/>
  <c r="H1606" i="1"/>
  <c r="G1606" i="1"/>
  <c r="D1606" i="1"/>
  <c r="C1606" i="1"/>
  <c r="B1606" i="1"/>
  <c r="A1606" i="1"/>
  <c r="H1605" i="1"/>
  <c r="G1605" i="1"/>
  <c r="D1605" i="1"/>
  <c r="C1605" i="1"/>
  <c r="B1605" i="1"/>
  <c r="A1605" i="1"/>
  <c r="H1604" i="1"/>
  <c r="G1604" i="1"/>
  <c r="D1604" i="1"/>
  <c r="C1604" i="1"/>
  <c r="B1604" i="1"/>
  <c r="A1604" i="1"/>
  <c r="H1603" i="1"/>
  <c r="G1603" i="1"/>
  <c r="D1603" i="1"/>
  <c r="C1603" i="1"/>
  <c r="B1603" i="1"/>
  <c r="A1603" i="1"/>
  <c r="H1602" i="1"/>
  <c r="G1602" i="1"/>
  <c r="D1602" i="1"/>
  <c r="C1602" i="1"/>
  <c r="B1602" i="1"/>
  <c r="A1602" i="1"/>
  <c r="H1601" i="1"/>
  <c r="G1601" i="1"/>
  <c r="D1601" i="1"/>
  <c r="C1601" i="1"/>
  <c r="B1601" i="1"/>
  <c r="A1601" i="1"/>
  <c r="H1600" i="1"/>
  <c r="G1600" i="1"/>
  <c r="D1600" i="1"/>
  <c r="C1600" i="1"/>
  <c r="B1600" i="1"/>
  <c r="A1600" i="1"/>
  <c r="H1599" i="1"/>
  <c r="G1599" i="1"/>
  <c r="D1599" i="1"/>
  <c r="C1599" i="1"/>
  <c r="B1599" i="1"/>
  <c r="A1599" i="1"/>
  <c r="H1598" i="1"/>
  <c r="G1598" i="1"/>
  <c r="D1598" i="1"/>
  <c r="C1598" i="1"/>
  <c r="B1598" i="1"/>
  <c r="A1598" i="1"/>
  <c r="H1597" i="1"/>
  <c r="G1597" i="1"/>
  <c r="D1597" i="1"/>
  <c r="C1597" i="1"/>
  <c r="B1597" i="1"/>
  <c r="A1597" i="1"/>
  <c r="H1596" i="1"/>
  <c r="G1596" i="1"/>
  <c r="D1596" i="1"/>
  <c r="C1596" i="1"/>
  <c r="B1596" i="1"/>
  <c r="A1596" i="1"/>
  <c r="H1595" i="1"/>
  <c r="G1595" i="1"/>
  <c r="D1595" i="1"/>
  <c r="C1595" i="1"/>
  <c r="B1595" i="1"/>
  <c r="A1595" i="1"/>
  <c r="H1594" i="1"/>
  <c r="G1594" i="1"/>
  <c r="D1594" i="1"/>
  <c r="C1594" i="1"/>
  <c r="B1594" i="1"/>
  <c r="A1594" i="1"/>
  <c r="H1593" i="1"/>
  <c r="G1593" i="1"/>
  <c r="D1593" i="1"/>
  <c r="C1593" i="1"/>
  <c r="B1593" i="1"/>
  <c r="A1593" i="1"/>
  <c r="H1592" i="1"/>
  <c r="G1592" i="1"/>
  <c r="D1592" i="1"/>
  <c r="C1592" i="1"/>
  <c r="B1592" i="1"/>
  <c r="A1592" i="1"/>
  <c r="H1591" i="1"/>
  <c r="G1591" i="1"/>
  <c r="D1591" i="1"/>
  <c r="C1591" i="1"/>
  <c r="B1591" i="1"/>
  <c r="A1591" i="1"/>
  <c r="H1590" i="1"/>
  <c r="G1590" i="1"/>
  <c r="D1590" i="1"/>
  <c r="C1590" i="1"/>
  <c r="B1590" i="1"/>
  <c r="A1590" i="1"/>
  <c r="H1589" i="1"/>
  <c r="G1589" i="1"/>
  <c r="D1589" i="1"/>
  <c r="C1589" i="1"/>
  <c r="B1589" i="1"/>
  <c r="A1589" i="1"/>
  <c r="H1588" i="1"/>
  <c r="G1588" i="1"/>
  <c r="D1588" i="1"/>
  <c r="C1588" i="1"/>
  <c r="B1588" i="1"/>
  <c r="A1588" i="1"/>
  <c r="H1587" i="1"/>
  <c r="G1587" i="1"/>
  <c r="D1587" i="1"/>
  <c r="C1587" i="1"/>
  <c r="B1587" i="1"/>
  <c r="A1587" i="1"/>
  <c r="H1586" i="1"/>
  <c r="G1586" i="1"/>
  <c r="D1586" i="1"/>
  <c r="C1586" i="1"/>
  <c r="B1586" i="1"/>
  <c r="A1586" i="1"/>
  <c r="H1585" i="1"/>
  <c r="G1585" i="1"/>
  <c r="D1585" i="1"/>
  <c r="C1585" i="1"/>
  <c r="B1585" i="1"/>
  <c r="A1585" i="1"/>
  <c r="H1584" i="1"/>
  <c r="G1584" i="1"/>
  <c r="D1584" i="1"/>
  <c r="C1584" i="1"/>
  <c r="B1584" i="1"/>
  <c r="A1584" i="1"/>
  <c r="H1583" i="1"/>
  <c r="G1583" i="1"/>
  <c r="D1583" i="1"/>
  <c r="C1583" i="1"/>
  <c r="B1583" i="1"/>
  <c r="A1583" i="1"/>
  <c r="H1582" i="1"/>
  <c r="G1582" i="1"/>
  <c r="D1582" i="1"/>
  <c r="C1582" i="1"/>
  <c r="B1582" i="1"/>
  <c r="A1582" i="1"/>
  <c r="H1581" i="1"/>
  <c r="G1581" i="1"/>
  <c r="D1581" i="1"/>
  <c r="C1581" i="1"/>
  <c r="B1581" i="1"/>
  <c r="A1581" i="1"/>
  <c r="H1580" i="1"/>
  <c r="G1580" i="1"/>
  <c r="D1580" i="1"/>
  <c r="C1580" i="1"/>
  <c r="B1580" i="1"/>
  <c r="A1580" i="1"/>
  <c r="H1579" i="1"/>
  <c r="G1579" i="1"/>
  <c r="D1579" i="1"/>
  <c r="C1579" i="1"/>
  <c r="B1579" i="1"/>
  <c r="A1579" i="1"/>
  <c r="H1578" i="1"/>
  <c r="G1578" i="1"/>
  <c r="D1578" i="1"/>
  <c r="C1578" i="1"/>
  <c r="B1578" i="1"/>
  <c r="A1578" i="1"/>
  <c r="H1577" i="1"/>
  <c r="G1577" i="1"/>
  <c r="D1577" i="1"/>
  <c r="C1577" i="1"/>
  <c r="B1577" i="1"/>
  <c r="A1577" i="1"/>
  <c r="H1576" i="1"/>
  <c r="G1576" i="1"/>
  <c r="D1576" i="1"/>
  <c r="C1576" i="1"/>
  <c r="B1576" i="1"/>
  <c r="A1576" i="1"/>
  <c r="H1575" i="1"/>
  <c r="G1575" i="1"/>
  <c r="D1575" i="1"/>
  <c r="C1575" i="1"/>
  <c r="B1575" i="1"/>
  <c r="A1575" i="1"/>
  <c r="H1574" i="1"/>
  <c r="G1574" i="1"/>
  <c r="D1574" i="1"/>
  <c r="C1574" i="1"/>
  <c r="B1574" i="1"/>
  <c r="A1574" i="1"/>
  <c r="H1573" i="1"/>
  <c r="G1573" i="1"/>
  <c r="D1573" i="1"/>
  <c r="C1573" i="1"/>
  <c r="B1573" i="1"/>
  <c r="A1573" i="1"/>
  <c r="H1572" i="1"/>
  <c r="G1572" i="1"/>
  <c r="D1572" i="1"/>
  <c r="C1572" i="1"/>
  <c r="B1572" i="1"/>
  <c r="A1572" i="1"/>
  <c r="H1571" i="1"/>
  <c r="G1571" i="1"/>
  <c r="D1571" i="1"/>
  <c r="C1571" i="1"/>
  <c r="B1571" i="1"/>
  <c r="A1571" i="1"/>
  <c r="H1570" i="1"/>
  <c r="G1570" i="1"/>
  <c r="D1570" i="1"/>
  <c r="C1570" i="1"/>
  <c r="B1570" i="1"/>
  <c r="A1570" i="1"/>
  <c r="H1569" i="1"/>
  <c r="G1569" i="1"/>
  <c r="D1569" i="1"/>
  <c r="C1569" i="1"/>
  <c r="B1569" i="1"/>
  <c r="A1569" i="1"/>
  <c r="H1568" i="1"/>
  <c r="G1568" i="1"/>
  <c r="D1568" i="1"/>
  <c r="C1568" i="1"/>
  <c r="B1568" i="1"/>
  <c r="A1568" i="1"/>
  <c r="H1567" i="1"/>
  <c r="G1567" i="1"/>
  <c r="D1567" i="1"/>
  <c r="C1567" i="1"/>
  <c r="B1567" i="1"/>
  <c r="A1567" i="1"/>
  <c r="H1566" i="1"/>
  <c r="G1566" i="1"/>
  <c r="D1566" i="1"/>
  <c r="C1566" i="1"/>
  <c r="B1566" i="1"/>
  <c r="A1566" i="1"/>
  <c r="H1565" i="1"/>
  <c r="G1565" i="1"/>
  <c r="D1565" i="1"/>
  <c r="C1565" i="1"/>
  <c r="B1565" i="1"/>
  <c r="A1565" i="1"/>
  <c r="H1564" i="1"/>
  <c r="G1564" i="1"/>
  <c r="D1564" i="1"/>
  <c r="C1564" i="1"/>
  <c r="B1564" i="1"/>
  <c r="A1564" i="1"/>
  <c r="H1563" i="1"/>
  <c r="G1563" i="1"/>
  <c r="D1563" i="1"/>
  <c r="C1563" i="1"/>
  <c r="B1563" i="1"/>
  <c r="A1563" i="1"/>
  <c r="H1562" i="1"/>
  <c r="G1562" i="1"/>
  <c r="D1562" i="1"/>
  <c r="C1562" i="1"/>
  <c r="B1562" i="1"/>
  <c r="A1562" i="1"/>
  <c r="H1561" i="1"/>
  <c r="G1561" i="1"/>
  <c r="D1561" i="1"/>
  <c r="C1561" i="1"/>
  <c r="B1561" i="1"/>
  <c r="A1561" i="1"/>
  <c r="H1560" i="1"/>
  <c r="G1560" i="1"/>
  <c r="D1560" i="1"/>
  <c r="C1560" i="1"/>
  <c r="B1560" i="1"/>
  <c r="A1560" i="1"/>
  <c r="H1559" i="1"/>
  <c r="G1559" i="1"/>
  <c r="D1559" i="1"/>
  <c r="C1559" i="1"/>
  <c r="B1559" i="1"/>
  <c r="A1559" i="1"/>
  <c r="H1558" i="1"/>
  <c r="G1558" i="1"/>
  <c r="D1558" i="1"/>
  <c r="C1558" i="1"/>
  <c r="B1558" i="1"/>
  <c r="A1558" i="1"/>
  <c r="H1557" i="1"/>
  <c r="G1557" i="1"/>
  <c r="D1557" i="1"/>
  <c r="C1557" i="1"/>
  <c r="B1557" i="1"/>
  <c r="A1557" i="1"/>
  <c r="H1556" i="1"/>
  <c r="G1556" i="1"/>
  <c r="D1556" i="1"/>
  <c r="C1556" i="1"/>
  <c r="B1556" i="1"/>
  <c r="A1556" i="1"/>
  <c r="H1555" i="1"/>
  <c r="G1555" i="1"/>
  <c r="D1555" i="1"/>
  <c r="C1555" i="1"/>
  <c r="B1555" i="1"/>
  <c r="A1555" i="1"/>
  <c r="H1554" i="1"/>
  <c r="G1554" i="1"/>
  <c r="D1554" i="1"/>
  <c r="C1554" i="1"/>
  <c r="B1554" i="1"/>
  <c r="A1554" i="1"/>
  <c r="H1553" i="1"/>
  <c r="G1553" i="1"/>
  <c r="D1553" i="1"/>
  <c r="C1553" i="1"/>
  <c r="B1553" i="1"/>
  <c r="A1553" i="1"/>
  <c r="H1552" i="1"/>
  <c r="G1552" i="1"/>
  <c r="D1552" i="1"/>
  <c r="C1552" i="1"/>
  <c r="B1552" i="1"/>
  <c r="A1552" i="1"/>
  <c r="H1551" i="1"/>
  <c r="G1551" i="1"/>
  <c r="D1551" i="1"/>
  <c r="C1551" i="1"/>
  <c r="B1551" i="1"/>
  <c r="A1551" i="1"/>
  <c r="H1550" i="1"/>
  <c r="G1550" i="1"/>
  <c r="D1550" i="1"/>
  <c r="C1550" i="1"/>
  <c r="B1550" i="1"/>
  <c r="A1550" i="1"/>
  <c r="H1549" i="1"/>
  <c r="G1549" i="1"/>
  <c r="D1549" i="1"/>
  <c r="C1549" i="1"/>
  <c r="B1549" i="1"/>
  <c r="A1549" i="1"/>
  <c r="H1548" i="1"/>
  <c r="G1548" i="1"/>
  <c r="D1548" i="1"/>
  <c r="C1548" i="1"/>
  <c r="B1548" i="1"/>
  <c r="A1548" i="1"/>
  <c r="H1547" i="1"/>
  <c r="G1547" i="1"/>
  <c r="D1547" i="1"/>
  <c r="C1547" i="1"/>
  <c r="B1547" i="1"/>
  <c r="A1547" i="1"/>
  <c r="H1546" i="1"/>
  <c r="G1546" i="1"/>
  <c r="D1546" i="1"/>
  <c r="C1546" i="1"/>
  <c r="B1546" i="1"/>
  <c r="A1546" i="1"/>
  <c r="H1545" i="1"/>
  <c r="G1545" i="1"/>
  <c r="D1545" i="1"/>
  <c r="C1545" i="1"/>
  <c r="B1545" i="1"/>
  <c r="A1545" i="1"/>
  <c r="H1544" i="1"/>
  <c r="G1544" i="1"/>
  <c r="D1544" i="1"/>
  <c r="C1544" i="1"/>
  <c r="B1544" i="1"/>
  <c r="A1544" i="1"/>
  <c r="H1543" i="1"/>
  <c r="G1543" i="1"/>
  <c r="D1543" i="1"/>
  <c r="C1543" i="1"/>
  <c r="B1543" i="1"/>
  <c r="A1543" i="1"/>
  <c r="H1542" i="1"/>
  <c r="G1542" i="1"/>
  <c r="D1542" i="1"/>
  <c r="C1542" i="1"/>
  <c r="B1542" i="1"/>
  <c r="A1542" i="1"/>
  <c r="H1541" i="1"/>
  <c r="G1541" i="1"/>
  <c r="D1541" i="1"/>
  <c r="C1541" i="1"/>
  <c r="B1541" i="1"/>
  <c r="A1541" i="1"/>
  <c r="H1540" i="1"/>
  <c r="G1540" i="1"/>
  <c r="D1540" i="1"/>
  <c r="C1540" i="1"/>
  <c r="B1540" i="1"/>
  <c r="A1540" i="1"/>
  <c r="H1539" i="1"/>
  <c r="G1539" i="1"/>
  <c r="D1539" i="1"/>
  <c r="C1539" i="1"/>
  <c r="B1539" i="1"/>
  <c r="A1539" i="1"/>
  <c r="H1538" i="1"/>
  <c r="G1538" i="1"/>
  <c r="D1538" i="1"/>
  <c r="C1538" i="1"/>
  <c r="B1538" i="1"/>
  <c r="A1538" i="1"/>
  <c r="H1537" i="1"/>
  <c r="G1537" i="1"/>
  <c r="D1537" i="1"/>
  <c r="C1537" i="1"/>
  <c r="B1537" i="1"/>
  <c r="A1537" i="1"/>
  <c r="H1536" i="1"/>
  <c r="G1536" i="1"/>
  <c r="D1536" i="1"/>
  <c r="C1536" i="1"/>
  <c r="B1536" i="1"/>
  <c r="A1536" i="1"/>
  <c r="H1535" i="1"/>
  <c r="G1535" i="1"/>
  <c r="D1535" i="1"/>
  <c r="C1535" i="1"/>
  <c r="B1535" i="1"/>
  <c r="A1535" i="1"/>
  <c r="H1534" i="1"/>
  <c r="G1534" i="1"/>
  <c r="D1534" i="1"/>
  <c r="C1534" i="1"/>
  <c r="B1534" i="1"/>
  <c r="A1534" i="1"/>
  <c r="H1533" i="1"/>
  <c r="G1533" i="1"/>
  <c r="D1533" i="1"/>
  <c r="C1533" i="1"/>
  <c r="B1533" i="1"/>
  <c r="A1533" i="1"/>
  <c r="H1532" i="1"/>
  <c r="G1532" i="1"/>
  <c r="D1532" i="1"/>
  <c r="C1532" i="1"/>
  <c r="B1532" i="1"/>
  <c r="A1532" i="1"/>
  <c r="H1531" i="1"/>
  <c r="G1531" i="1"/>
  <c r="D1531" i="1"/>
  <c r="C1531" i="1"/>
  <c r="B1531" i="1"/>
  <c r="A1531" i="1"/>
  <c r="H1530" i="1"/>
  <c r="G1530" i="1"/>
  <c r="D1530" i="1"/>
  <c r="C1530" i="1"/>
  <c r="B1530" i="1"/>
  <c r="A1530" i="1"/>
  <c r="H1529" i="1"/>
  <c r="G1529" i="1"/>
  <c r="D1529" i="1"/>
  <c r="C1529" i="1"/>
  <c r="B1529" i="1"/>
  <c r="A1529" i="1"/>
  <c r="H1528" i="1"/>
  <c r="G1528" i="1"/>
  <c r="D1528" i="1"/>
  <c r="C1528" i="1"/>
  <c r="B1528" i="1"/>
  <c r="A1528" i="1"/>
  <c r="H1527" i="1"/>
  <c r="G1527" i="1"/>
  <c r="D1527" i="1"/>
  <c r="C1527" i="1"/>
  <c r="B1527" i="1"/>
  <c r="A1527" i="1"/>
  <c r="H1526" i="1"/>
  <c r="G1526" i="1"/>
  <c r="D1526" i="1"/>
  <c r="C1526" i="1"/>
  <c r="B1526" i="1"/>
  <c r="A1526" i="1"/>
  <c r="H1525" i="1"/>
  <c r="G1525" i="1"/>
  <c r="D1525" i="1"/>
  <c r="C1525" i="1"/>
  <c r="B1525" i="1"/>
  <c r="A1525" i="1"/>
  <c r="H1524" i="1"/>
  <c r="G1524" i="1"/>
  <c r="D1524" i="1"/>
  <c r="C1524" i="1"/>
  <c r="B1524" i="1"/>
  <c r="A1524" i="1"/>
  <c r="H1523" i="1"/>
  <c r="G1523" i="1"/>
  <c r="D1523" i="1"/>
  <c r="C1523" i="1"/>
  <c r="B1523" i="1"/>
  <c r="A1523" i="1"/>
  <c r="H1522" i="1"/>
  <c r="G1522" i="1"/>
  <c r="D1522" i="1"/>
  <c r="C1522" i="1"/>
  <c r="B1522" i="1"/>
  <c r="A1522" i="1"/>
  <c r="H1521" i="1"/>
  <c r="G1521" i="1"/>
  <c r="D1521" i="1"/>
  <c r="C1521" i="1"/>
  <c r="B1521" i="1"/>
  <c r="A1521" i="1"/>
  <c r="H1520" i="1"/>
  <c r="G1520" i="1"/>
  <c r="D1520" i="1"/>
  <c r="C1520" i="1"/>
  <c r="B1520" i="1"/>
  <c r="A1520" i="1"/>
  <c r="H1519" i="1"/>
  <c r="G1519" i="1"/>
  <c r="D1519" i="1"/>
  <c r="C1519" i="1"/>
  <c r="B1519" i="1"/>
  <c r="A1519" i="1"/>
  <c r="H1518" i="1"/>
  <c r="G1518" i="1"/>
  <c r="D1518" i="1"/>
  <c r="C1518" i="1"/>
  <c r="B1518" i="1"/>
  <c r="A1518" i="1"/>
  <c r="H1517" i="1"/>
  <c r="G1517" i="1"/>
  <c r="D1517" i="1"/>
  <c r="C1517" i="1"/>
  <c r="B1517" i="1"/>
  <c r="A1517" i="1"/>
  <c r="H1516" i="1"/>
  <c r="G1516" i="1"/>
  <c r="D1516" i="1"/>
  <c r="C1516" i="1"/>
  <c r="B1516" i="1"/>
  <c r="A1516" i="1"/>
  <c r="H1515" i="1"/>
  <c r="G1515" i="1"/>
  <c r="D1515" i="1"/>
  <c r="C1515" i="1"/>
  <c r="B1515" i="1"/>
  <c r="A1515" i="1"/>
  <c r="H1514" i="1"/>
  <c r="G1514" i="1"/>
  <c r="D1514" i="1"/>
  <c r="C1514" i="1"/>
  <c r="B1514" i="1"/>
  <c r="A1514" i="1"/>
  <c r="H1513" i="1"/>
  <c r="G1513" i="1"/>
  <c r="D1513" i="1"/>
  <c r="C1513" i="1"/>
  <c r="B1513" i="1"/>
  <c r="A1513" i="1"/>
  <c r="H1512" i="1"/>
  <c r="G1512" i="1"/>
  <c r="D1512" i="1"/>
  <c r="C1512" i="1"/>
  <c r="B1512" i="1"/>
  <c r="A1512" i="1"/>
  <c r="H1511" i="1"/>
  <c r="G1511" i="1"/>
  <c r="D1511" i="1"/>
  <c r="C1511" i="1"/>
  <c r="B1511" i="1"/>
  <c r="A1511" i="1"/>
  <c r="H1510" i="1"/>
  <c r="G1510" i="1"/>
  <c r="D1510" i="1"/>
  <c r="C1510" i="1"/>
  <c r="B1510" i="1"/>
  <c r="A1510" i="1"/>
  <c r="H1509" i="1"/>
  <c r="G1509" i="1"/>
  <c r="D1509" i="1"/>
  <c r="C1509" i="1"/>
  <c r="B1509" i="1"/>
  <c r="A1509" i="1"/>
  <c r="H1508" i="1"/>
  <c r="G1508" i="1"/>
  <c r="D1508" i="1"/>
  <c r="C1508" i="1"/>
  <c r="B1508" i="1"/>
  <c r="A1508" i="1"/>
  <c r="H1507" i="1"/>
  <c r="G1507" i="1"/>
  <c r="D1507" i="1"/>
  <c r="C1507" i="1"/>
  <c r="B1507" i="1"/>
  <c r="A1507" i="1"/>
  <c r="H1506" i="1"/>
  <c r="G1506" i="1"/>
  <c r="D1506" i="1"/>
  <c r="C1506" i="1"/>
  <c r="B1506" i="1"/>
  <c r="A1506" i="1"/>
  <c r="H1505" i="1"/>
  <c r="G1505" i="1"/>
  <c r="D1505" i="1"/>
  <c r="C1505" i="1"/>
  <c r="B1505" i="1"/>
  <c r="A1505" i="1"/>
  <c r="H1504" i="1"/>
  <c r="G1504" i="1"/>
  <c r="D1504" i="1"/>
  <c r="C1504" i="1"/>
  <c r="B1504" i="1"/>
  <c r="A1504" i="1"/>
  <c r="H1503" i="1"/>
  <c r="G1503" i="1"/>
  <c r="D1503" i="1"/>
  <c r="C1503" i="1"/>
  <c r="B1503" i="1"/>
  <c r="A1503" i="1"/>
  <c r="H1502" i="1"/>
  <c r="G1502" i="1"/>
  <c r="D1502" i="1"/>
  <c r="C1502" i="1"/>
  <c r="B1502" i="1"/>
  <c r="A1502" i="1"/>
  <c r="H1501" i="1"/>
  <c r="G1501" i="1"/>
  <c r="D1501" i="1"/>
  <c r="C1501" i="1"/>
  <c r="B1501" i="1"/>
  <c r="A1501" i="1"/>
  <c r="H1500" i="1"/>
  <c r="G1500" i="1"/>
  <c r="D1500" i="1"/>
  <c r="C1500" i="1"/>
  <c r="B1500" i="1"/>
  <c r="A1500" i="1"/>
  <c r="H1499" i="1"/>
  <c r="G1499" i="1"/>
  <c r="D1499" i="1"/>
  <c r="C1499" i="1"/>
  <c r="B1499" i="1"/>
  <c r="A1499" i="1"/>
  <c r="H1498" i="1"/>
  <c r="G1498" i="1"/>
  <c r="D1498" i="1"/>
  <c r="C1498" i="1"/>
  <c r="B1498" i="1"/>
  <c r="A1498" i="1"/>
  <c r="H1497" i="1"/>
  <c r="G1497" i="1"/>
  <c r="D1497" i="1"/>
  <c r="C1497" i="1"/>
  <c r="B1497" i="1"/>
  <c r="A1497" i="1"/>
  <c r="H1496" i="1"/>
  <c r="G1496" i="1"/>
  <c r="D1496" i="1"/>
  <c r="C1496" i="1"/>
  <c r="B1496" i="1"/>
  <c r="A1496" i="1"/>
  <c r="H1495" i="1"/>
  <c r="G1495" i="1"/>
  <c r="D1495" i="1"/>
  <c r="C1495" i="1"/>
  <c r="B1495" i="1"/>
  <c r="A1495" i="1"/>
  <c r="H1494" i="1"/>
  <c r="G1494" i="1"/>
  <c r="D1494" i="1"/>
  <c r="C1494" i="1"/>
  <c r="B1494" i="1"/>
  <c r="A1494" i="1"/>
  <c r="H1493" i="1"/>
  <c r="G1493" i="1"/>
  <c r="D1493" i="1"/>
  <c r="C1493" i="1"/>
  <c r="B1493" i="1"/>
  <c r="A1493" i="1"/>
  <c r="H1492" i="1"/>
  <c r="G1492" i="1"/>
  <c r="D1492" i="1"/>
  <c r="C1492" i="1"/>
  <c r="B1492" i="1"/>
  <c r="A1492" i="1"/>
  <c r="H1491" i="1"/>
  <c r="G1491" i="1"/>
  <c r="D1491" i="1"/>
  <c r="C1491" i="1"/>
  <c r="B1491" i="1"/>
  <c r="A1491" i="1"/>
  <c r="H1490" i="1"/>
  <c r="G1490" i="1"/>
  <c r="D1490" i="1"/>
  <c r="C1490" i="1"/>
  <c r="B1490" i="1"/>
  <c r="A1490" i="1"/>
  <c r="H1489" i="1"/>
  <c r="G1489" i="1"/>
  <c r="D1489" i="1"/>
  <c r="C1489" i="1"/>
  <c r="B1489" i="1"/>
  <c r="A1489" i="1"/>
  <c r="H1488" i="1"/>
  <c r="G1488" i="1"/>
  <c r="D1488" i="1"/>
  <c r="C1488" i="1"/>
  <c r="B1488" i="1"/>
  <c r="A1488" i="1"/>
  <c r="H1487" i="1"/>
  <c r="G1487" i="1"/>
  <c r="D1487" i="1"/>
  <c r="C1487" i="1"/>
  <c r="B1487" i="1"/>
  <c r="A1487" i="1"/>
  <c r="H1486" i="1"/>
  <c r="G1486" i="1"/>
  <c r="D1486" i="1"/>
  <c r="C1486" i="1"/>
  <c r="B1486" i="1"/>
  <c r="A1486" i="1"/>
  <c r="H1485" i="1"/>
  <c r="G1485" i="1"/>
  <c r="D1485" i="1"/>
  <c r="C1485" i="1"/>
  <c r="B1485" i="1"/>
  <c r="A1485" i="1"/>
  <c r="H1484" i="1"/>
  <c r="G1484" i="1"/>
  <c r="D1484" i="1"/>
  <c r="C1484" i="1"/>
  <c r="B1484" i="1"/>
  <c r="A1484" i="1"/>
  <c r="H1483" i="1"/>
  <c r="G1483" i="1"/>
  <c r="D1483" i="1"/>
  <c r="C1483" i="1"/>
  <c r="B1483" i="1"/>
  <c r="A1483" i="1"/>
  <c r="H1482" i="1"/>
  <c r="G1482" i="1"/>
  <c r="D1482" i="1"/>
  <c r="C1482" i="1"/>
  <c r="B1482" i="1"/>
  <c r="A1482" i="1"/>
  <c r="H1481" i="1"/>
  <c r="G1481" i="1"/>
  <c r="D1481" i="1"/>
  <c r="C1481" i="1"/>
  <c r="B1481" i="1"/>
  <c r="A1481" i="1"/>
  <c r="H1480" i="1"/>
  <c r="G1480" i="1"/>
  <c r="D1480" i="1"/>
  <c r="C1480" i="1"/>
  <c r="B1480" i="1"/>
  <c r="A1480" i="1"/>
  <c r="H1479" i="1"/>
  <c r="G1479" i="1"/>
  <c r="D1479" i="1"/>
  <c r="C1479" i="1"/>
  <c r="B1479" i="1"/>
  <c r="A1479" i="1"/>
  <c r="H1478" i="1"/>
  <c r="G1478" i="1"/>
  <c r="D1478" i="1"/>
  <c r="C1478" i="1"/>
  <c r="B1478" i="1"/>
  <c r="A1478" i="1"/>
  <c r="H1477" i="1"/>
  <c r="G1477" i="1"/>
  <c r="D1477" i="1"/>
  <c r="C1477" i="1"/>
  <c r="B1477" i="1"/>
  <c r="A1477" i="1"/>
  <c r="H1476" i="1"/>
  <c r="G1476" i="1"/>
  <c r="D1476" i="1"/>
  <c r="C1476" i="1"/>
  <c r="B1476" i="1"/>
  <c r="A1476" i="1"/>
  <c r="H1475" i="1"/>
  <c r="G1475" i="1"/>
  <c r="D1475" i="1"/>
  <c r="C1475" i="1"/>
  <c r="B1475" i="1"/>
  <c r="A1475" i="1"/>
  <c r="H1474" i="1"/>
  <c r="G1474" i="1"/>
  <c r="D1474" i="1"/>
  <c r="C1474" i="1"/>
  <c r="B1474" i="1"/>
  <c r="A1474" i="1"/>
  <c r="H1473" i="1"/>
  <c r="G1473" i="1"/>
  <c r="D1473" i="1"/>
  <c r="C1473" i="1"/>
  <c r="B1473" i="1"/>
  <c r="A1473" i="1"/>
  <c r="H1472" i="1"/>
  <c r="G1472" i="1"/>
  <c r="D1472" i="1"/>
  <c r="C1472" i="1"/>
  <c r="B1472" i="1"/>
  <c r="A1472" i="1"/>
  <c r="H1471" i="1"/>
  <c r="G1471" i="1"/>
  <c r="D1471" i="1"/>
  <c r="C1471" i="1"/>
  <c r="B1471" i="1"/>
  <c r="A1471" i="1"/>
  <c r="H1470" i="1"/>
  <c r="G1470" i="1"/>
  <c r="D1470" i="1"/>
  <c r="C1470" i="1"/>
  <c r="B1470" i="1"/>
  <c r="A1470" i="1"/>
  <c r="H1469" i="1"/>
  <c r="G1469" i="1"/>
  <c r="D1469" i="1"/>
  <c r="C1469" i="1"/>
  <c r="B1469" i="1"/>
  <c r="A1469" i="1"/>
  <c r="H1468" i="1"/>
  <c r="G1468" i="1"/>
  <c r="D1468" i="1"/>
  <c r="C1468" i="1"/>
  <c r="B1468" i="1"/>
  <c r="A1468" i="1"/>
  <c r="H1467" i="1"/>
  <c r="G1467" i="1"/>
  <c r="D1467" i="1"/>
  <c r="C1467" i="1"/>
  <c r="B1467" i="1"/>
  <c r="A1467" i="1"/>
  <c r="H1466" i="1"/>
  <c r="G1466" i="1"/>
  <c r="D1466" i="1"/>
  <c r="C1466" i="1"/>
  <c r="B1466" i="1"/>
  <c r="A1466" i="1"/>
  <c r="H1465" i="1"/>
  <c r="G1465" i="1"/>
  <c r="D1465" i="1"/>
  <c r="C1465" i="1"/>
  <c r="B1465" i="1"/>
  <c r="A1465" i="1"/>
  <c r="H1464" i="1"/>
  <c r="G1464" i="1"/>
  <c r="D1464" i="1"/>
  <c r="C1464" i="1"/>
  <c r="B1464" i="1"/>
  <c r="A1464" i="1"/>
  <c r="H1463" i="1"/>
  <c r="G1463" i="1"/>
  <c r="D1463" i="1"/>
  <c r="C1463" i="1"/>
  <c r="B1463" i="1"/>
  <c r="A1463" i="1"/>
  <c r="H1462" i="1"/>
  <c r="G1462" i="1"/>
  <c r="D1462" i="1"/>
  <c r="C1462" i="1"/>
  <c r="B1462" i="1"/>
  <c r="A1462" i="1"/>
  <c r="H1461" i="1"/>
  <c r="G1461" i="1"/>
  <c r="D1461" i="1"/>
  <c r="C1461" i="1"/>
  <c r="B1461" i="1"/>
  <c r="A1461" i="1"/>
  <c r="H1460" i="1"/>
  <c r="G1460" i="1"/>
  <c r="D1460" i="1"/>
  <c r="C1460" i="1"/>
  <c r="B1460" i="1"/>
  <c r="A1460" i="1"/>
  <c r="H1459" i="1"/>
  <c r="G1459" i="1"/>
  <c r="D1459" i="1"/>
  <c r="C1459" i="1"/>
  <c r="B1459" i="1"/>
  <c r="A1459" i="1"/>
  <c r="H1458" i="1"/>
  <c r="G1458" i="1"/>
  <c r="D1458" i="1"/>
  <c r="C1458" i="1"/>
  <c r="B1458" i="1"/>
  <c r="A1458" i="1"/>
  <c r="H1457" i="1"/>
  <c r="G1457" i="1"/>
  <c r="D1457" i="1"/>
  <c r="C1457" i="1"/>
  <c r="B1457" i="1"/>
  <c r="A1457" i="1"/>
  <c r="H1456" i="1"/>
  <c r="G1456" i="1"/>
  <c r="D1456" i="1"/>
  <c r="C1456" i="1"/>
  <c r="B1456" i="1"/>
  <c r="A1456" i="1"/>
  <c r="H1455" i="1"/>
  <c r="G1455" i="1"/>
  <c r="D1455" i="1"/>
  <c r="C1455" i="1"/>
  <c r="B1455" i="1"/>
  <c r="A1455" i="1"/>
  <c r="H1454" i="1"/>
  <c r="G1454" i="1"/>
  <c r="D1454" i="1"/>
  <c r="C1454" i="1"/>
  <c r="B1454" i="1"/>
  <c r="A1454" i="1"/>
  <c r="H1453" i="1"/>
  <c r="G1453" i="1"/>
  <c r="D1453" i="1"/>
  <c r="C1453" i="1"/>
  <c r="B1453" i="1"/>
  <c r="A1453" i="1"/>
  <c r="H1452" i="1"/>
  <c r="G1452" i="1"/>
  <c r="D1452" i="1"/>
  <c r="C1452" i="1"/>
  <c r="B1452" i="1"/>
  <c r="A1452" i="1"/>
  <c r="H1451" i="1"/>
  <c r="G1451" i="1"/>
  <c r="D1451" i="1"/>
  <c r="C1451" i="1"/>
  <c r="B1451" i="1"/>
  <c r="A1451" i="1"/>
  <c r="H1450" i="1"/>
  <c r="G1450" i="1"/>
  <c r="D1450" i="1"/>
  <c r="C1450" i="1"/>
  <c r="B1450" i="1"/>
  <c r="A1450" i="1"/>
  <c r="H1449" i="1"/>
  <c r="G1449" i="1"/>
  <c r="D1449" i="1"/>
  <c r="C1449" i="1"/>
  <c r="B1449" i="1"/>
  <c r="A1449" i="1"/>
  <c r="H1448" i="1"/>
  <c r="G1448" i="1"/>
  <c r="D1448" i="1"/>
  <c r="C1448" i="1"/>
  <c r="B1448" i="1"/>
  <c r="A1448" i="1"/>
  <c r="H1447" i="1"/>
  <c r="G1447" i="1"/>
  <c r="D1447" i="1"/>
  <c r="C1447" i="1"/>
  <c r="B1447" i="1"/>
  <c r="A1447" i="1"/>
  <c r="H1446" i="1"/>
  <c r="G1446" i="1"/>
  <c r="D1446" i="1"/>
  <c r="C1446" i="1"/>
  <c r="B1446" i="1"/>
  <c r="A1446" i="1"/>
  <c r="H1445" i="1"/>
  <c r="G1445" i="1"/>
  <c r="D1445" i="1"/>
  <c r="C1445" i="1"/>
  <c r="B1445" i="1"/>
  <c r="A1445" i="1"/>
  <c r="H1444" i="1"/>
  <c r="G1444" i="1"/>
  <c r="D1444" i="1"/>
  <c r="C1444" i="1"/>
  <c r="B1444" i="1"/>
  <c r="A1444" i="1"/>
  <c r="H1443" i="1"/>
  <c r="G1443" i="1"/>
  <c r="D1443" i="1"/>
  <c r="C1443" i="1"/>
  <c r="B1443" i="1"/>
  <c r="A1443" i="1"/>
  <c r="H1442" i="1"/>
  <c r="G1442" i="1"/>
  <c r="D1442" i="1"/>
  <c r="C1442" i="1"/>
  <c r="B1442" i="1"/>
  <c r="A1442" i="1"/>
  <c r="H1441" i="1"/>
  <c r="G1441" i="1"/>
  <c r="D1441" i="1"/>
  <c r="C1441" i="1"/>
  <c r="B1441" i="1"/>
  <c r="A1441" i="1"/>
  <c r="H1440" i="1"/>
  <c r="G1440" i="1"/>
  <c r="D1440" i="1"/>
  <c r="C1440" i="1"/>
  <c r="B1440" i="1"/>
  <c r="A1440" i="1"/>
  <c r="H1439" i="1"/>
  <c r="G1439" i="1"/>
  <c r="D1439" i="1"/>
  <c r="C1439" i="1"/>
  <c r="B1439" i="1"/>
  <c r="A1439" i="1"/>
  <c r="H1438" i="1"/>
  <c r="G1438" i="1"/>
  <c r="D1438" i="1"/>
  <c r="C1438" i="1"/>
  <c r="B1438" i="1"/>
  <c r="A1438" i="1"/>
  <c r="H1437" i="1"/>
  <c r="G1437" i="1"/>
  <c r="D1437" i="1"/>
  <c r="C1437" i="1"/>
  <c r="B1437" i="1"/>
  <c r="A1437" i="1"/>
  <c r="H1436" i="1"/>
  <c r="G1436" i="1"/>
  <c r="D1436" i="1"/>
  <c r="C1436" i="1"/>
  <c r="B1436" i="1"/>
  <c r="A1436" i="1"/>
  <c r="H1435" i="1"/>
  <c r="G1435" i="1"/>
  <c r="D1435" i="1"/>
  <c r="C1435" i="1"/>
  <c r="B1435" i="1"/>
  <c r="A1435" i="1"/>
  <c r="H1434" i="1"/>
  <c r="G1434" i="1"/>
  <c r="D1434" i="1"/>
  <c r="C1434" i="1"/>
  <c r="B1434" i="1"/>
  <c r="A1434" i="1"/>
  <c r="H1433" i="1"/>
  <c r="G1433" i="1"/>
  <c r="D1433" i="1"/>
  <c r="C1433" i="1"/>
  <c r="B1433" i="1"/>
  <c r="A1433" i="1"/>
  <c r="H1432" i="1"/>
  <c r="G1432" i="1"/>
  <c r="D1432" i="1"/>
  <c r="C1432" i="1"/>
  <c r="B1432" i="1"/>
  <c r="A1432" i="1"/>
  <c r="H1431" i="1"/>
  <c r="G1431" i="1"/>
  <c r="D1431" i="1"/>
  <c r="C1431" i="1"/>
  <c r="B1431" i="1"/>
  <c r="A1431" i="1"/>
  <c r="H1430" i="1"/>
  <c r="G1430" i="1"/>
  <c r="D1430" i="1"/>
  <c r="C1430" i="1"/>
  <c r="B1430" i="1"/>
  <c r="A1430" i="1"/>
  <c r="H1429" i="1"/>
  <c r="G1429" i="1"/>
  <c r="D1429" i="1"/>
  <c r="C1429" i="1"/>
  <c r="B1429" i="1"/>
  <c r="A1429" i="1"/>
  <c r="H1428" i="1"/>
  <c r="G1428" i="1"/>
  <c r="D1428" i="1"/>
  <c r="C1428" i="1"/>
  <c r="B1428" i="1"/>
  <c r="A1428" i="1"/>
  <c r="H1427" i="1"/>
  <c r="G1427" i="1"/>
  <c r="D1427" i="1"/>
  <c r="C1427" i="1"/>
  <c r="B1427" i="1"/>
  <c r="A1427" i="1"/>
  <c r="H1426" i="1"/>
  <c r="G1426" i="1"/>
  <c r="D1426" i="1"/>
  <c r="C1426" i="1"/>
  <c r="B1426" i="1"/>
  <c r="A1426" i="1"/>
  <c r="H1425" i="1"/>
  <c r="G1425" i="1"/>
  <c r="D1425" i="1"/>
  <c r="C1425" i="1"/>
  <c r="B1425" i="1"/>
  <c r="A1425" i="1"/>
  <c r="H1424" i="1"/>
  <c r="G1424" i="1"/>
  <c r="D1424" i="1"/>
  <c r="C1424" i="1"/>
  <c r="B1424" i="1"/>
  <c r="A1424" i="1"/>
  <c r="H1423" i="1"/>
  <c r="G1423" i="1"/>
  <c r="D1423" i="1"/>
  <c r="C1423" i="1"/>
  <c r="B1423" i="1"/>
  <c r="A1423" i="1"/>
  <c r="H1422" i="1"/>
  <c r="G1422" i="1"/>
  <c r="D1422" i="1"/>
  <c r="C1422" i="1"/>
  <c r="B1422" i="1"/>
  <c r="A1422" i="1"/>
  <c r="H1421" i="1"/>
  <c r="G1421" i="1"/>
  <c r="D1421" i="1"/>
  <c r="C1421" i="1"/>
  <c r="B1421" i="1"/>
  <c r="A1421" i="1"/>
  <c r="H1420" i="1"/>
  <c r="G1420" i="1"/>
  <c r="D1420" i="1"/>
  <c r="C1420" i="1"/>
  <c r="B1420" i="1"/>
  <c r="A1420" i="1"/>
  <c r="H1419" i="1"/>
  <c r="G1419" i="1"/>
  <c r="D1419" i="1"/>
  <c r="C1419" i="1"/>
  <c r="B1419" i="1"/>
  <c r="A1419" i="1"/>
  <c r="H1418" i="1"/>
  <c r="G1418" i="1"/>
  <c r="D1418" i="1"/>
  <c r="C1418" i="1"/>
  <c r="B1418" i="1"/>
  <c r="A1418" i="1"/>
  <c r="H1417" i="1"/>
  <c r="G1417" i="1"/>
  <c r="D1417" i="1"/>
  <c r="C1417" i="1"/>
  <c r="B1417" i="1"/>
  <c r="A1417" i="1"/>
  <c r="H1416" i="1"/>
  <c r="G1416" i="1"/>
  <c r="D1416" i="1"/>
  <c r="C1416" i="1"/>
  <c r="B1416" i="1"/>
  <c r="A1416" i="1"/>
  <c r="H1415" i="1"/>
  <c r="G1415" i="1"/>
  <c r="D1415" i="1"/>
  <c r="C1415" i="1"/>
  <c r="B1415" i="1"/>
  <c r="A1415" i="1"/>
  <c r="H1414" i="1"/>
  <c r="G1414" i="1"/>
  <c r="D1414" i="1"/>
  <c r="C1414" i="1"/>
  <c r="B1414" i="1"/>
  <c r="A1414" i="1"/>
  <c r="H1413" i="1"/>
  <c r="G1413" i="1"/>
  <c r="D1413" i="1"/>
  <c r="C1413" i="1"/>
  <c r="B1413" i="1"/>
  <c r="A1413" i="1"/>
  <c r="H1412" i="1"/>
  <c r="G1412" i="1"/>
  <c r="D1412" i="1"/>
  <c r="C1412" i="1"/>
  <c r="B1412" i="1"/>
  <c r="A1412" i="1"/>
  <c r="H1411" i="1"/>
  <c r="G1411" i="1"/>
  <c r="D1411" i="1"/>
  <c r="C1411" i="1"/>
  <c r="B1411" i="1"/>
  <c r="A1411" i="1"/>
  <c r="H1410" i="1"/>
  <c r="G1410" i="1"/>
  <c r="D1410" i="1"/>
  <c r="C1410" i="1"/>
  <c r="B1410" i="1"/>
  <c r="A1410" i="1"/>
  <c r="H1409" i="1"/>
  <c r="G1409" i="1"/>
  <c r="D1409" i="1"/>
  <c r="C1409" i="1"/>
  <c r="B1409" i="1"/>
  <c r="A1409" i="1"/>
  <c r="H1408" i="1"/>
  <c r="G1408" i="1"/>
  <c r="D1408" i="1"/>
  <c r="C1408" i="1"/>
  <c r="B1408" i="1"/>
  <c r="A1408" i="1"/>
  <c r="H1407" i="1"/>
  <c r="G1407" i="1"/>
  <c r="D1407" i="1"/>
  <c r="C1407" i="1"/>
  <c r="B1407" i="1"/>
  <c r="A1407" i="1"/>
  <c r="H1406" i="1"/>
  <c r="G1406" i="1"/>
  <c r="D1406" i="1"/>
  <c r="C1406" i="1"/>
  <c r="B1406" i="1"/>
  <c r="A1406" i="1"/>
  <c r="H1405" i="1"/>
  <c r="G1405" i="1"/>
  <c r="D1405" i="1"/>
  <c r="C1405" i="1"/>
  <c r="B1405" i="1"/>
  <c r="A1405" i="1"/>
  <c r="H1404" i="1"/>
  <c r="G1404" i="1"/>
  <c r="D1404" i="1"/>
  <c r="C1404" i="1"/>
  <c r="B1404" i="1"/>
  <c r="A1404" i="1"/>
  <c r="H1403" i="1"/>
  <c r="G1403" i="1"/>
  <c r="D1403" i="1"/>
  <c r="C1403" i="1"/>
  <c r="B1403" i="1"/>
  <c r="A1403" i="1"/>
  <c r="H1402" i="1"/>
  <c r="G1402" i="1"/>
  <c r="D1402" i="1"/>
  <c r="C1402" i="1"/>
  <c r="B1402" i="1"/>
  <c r="A1402" i="1"/>
  <c r="H1401" i="1"/>
  <c r="G1401" i="1"/>
  <c r="D1401" i="1"/>
  <c r="C1401" i="1"/>
  <c r="B1401" i="1"/>
  <c r="A1401" i="1"/>
  <c r="H1400" i="1"/>
  <c r="G1400" i="1"/>
  <c r="D1400" i="1"/>
  <c r="C1400" i="1"/>
  <c r="B1400" i="1"/>
  <c r="A1400" i="1"/>
  <c r="H1399" i="1"/>
  <c r="G1399" i="1"/>
  <c r="D1399" i="1"/>
  <c r="C1399" i="1"/>
  <c r="B1399" i="1"/>
  <c r="A1399" i="1"/>
  <c r="H1398" i="1"/>
  <c r="G1398" i="1"/>
  <c r="D1398" i="1"/>
  <c r="C1398" i="1"/>
  <c r="B1398" i="1"/>
  <c r="A1398" i="1"/>
  <c r="H1397" i="1"/>
  <c r="G1397" i="1"/>
  <c r="D1397" i="1"/>
  <c r="C1397" i="1"/>
  <c r="B1397" i="1"/>
  <c r="A1397" i="1"/>
  <c r="H1396" i="1"/>
  <c r="G1396" i="1"/>
  <c r="D1396" i="1"/>
  <c r="C1396" i="1"/>
  <c r="B1396" i="1"/>
  <c r="A1396" i="1"/>
  <c r="H1395" i="1"/>
  <c r="G1395" i="1"/>
  <c r="D1395" i="1"/>
  <c r="C1395" i="1"/>
  <c r="B1395" i="1"/>
  <c r="A1395" i="1"/>
  <c r="H1394" i="1"/>
  <c r="G1394" i="1"/>
  <c r="D1394" i="1"/>
  <c r="C1394" i="1"/>
  <c r="B1394" i="1"/>
  <c r="A1394" i="1"/>
  <c r="H1393" i="1"/>
  <c r="G1393" i="1"/>
  <c r="D1393" i="1"/>
  <c r="C1393" i="1"/>
  <c r="B1393" i="1"/>
  <c r="A1393" i="1"/>
  <c r="H1392" i="1"/>
  <c r="G1392" i="1"/>
  <c r="D1392" i="1"/>
  <c r="C1392" i="1"/>
  <c r="B1392" i="1"/>
  <c r="A1392" i="1"/>
  <c r="H1391" i="1"/>
  <c r="G1391" i="1"/>
  <c r="D1391" i="1"/>
  <c r="C1391" i="1"/>
  <c r="B1391" i="1"/>
  <c r="A1391" i="1"/>
  <c r="H1390" i="1"/>
  <c r="G1390" i="1"/>
  <c r="D1390" i="1"/>
  <c r="C1390" i="1"/>
  <c r="B1390" i="1"/>
  <c r="A1390" i="1"/>
  <c r="H1389" i="1"/>
  <c r="G1389" i="1"/>
  <c r="D1389" i="1"/>
  <c r="C1389" i="1"/>
  <c r="B1389" i="1"/>
  <c r="A1389" i="1"/>
  <c r="H1388" i="1"/>
  <c r="G1388" i="1"/>
  <c r="D1388" i="1"/>
  <c r="C1388" i="1"/>
  <c r="B1388" i="1"/>
  <c r="A1388" i="1"/>
  <c r="H1387" i="1"/>
  <c r="G1387" i="1"/>
  <c r="D1387" i="1"/>
  <c r="C1387" i="1"/>
  <c r="B1387" i="1"/>
  <c r="A1387" i="1"/>
  <c r="H1386" i="1"/>
  <c r="G1386" i="1"/>
  <c r="D1386" i="1"/>
  <c r="C1386" i="1"/>
  <c r="B1386" i="1"/>
  <c r="A1386" i="1"/>
  <c r="H1385" i="1"/>
  <c r="G1385" i="1"/>
  <c r="D1385" i="1"/>
  <c r="C1385" i="1"/>
  <c r="B1385" i="1"/>
  <c r="A1385" i="1"/>
  <c r="H1384" i="1"/>
  <c r="G1384" i="1"/>
  <c r="D1384" i="1"/>
  <c r="C1384" i="1"/>
  <c r="B1384" i="1"/>
  <c r="A1384" i="1"/>
  <c r="H1383" i="1"/>
  <c r="G1383" i="1"/>
  <c r="D1383" i="1"/>
  <c r="C1383" i="1"/>
  <c r="B1383" i="1"/>
  <c r="A1383" i="1"/>
  <c r="H1382" i="1"/>
  <c r="G1382" i="1"/>
  <c r="D1382" i="1"/>
  <c r="C1382" i="1"/>
  <c r="B1382" i="1"/>
  <c r="A1382" i="1"/>
  <c r="H1381" i="1"/>
  <c r="G1381" i="1"/>
  <c r="D1381" i="1"/>
  <c r="C1381" i="1"/>
  <c r="B1381" i="1"/>
  <c r="A1381" i="1"/>
  <c r="H1380" i="1"/>
  <c r="G1380" i="1"/>
  <c r="D1380" i="1"/>
  <c r="C1380" i="1"/>
  <c r="B1380" i="1"/>
  <c r="A1380" i="1"/>
  <c r="H1379" i="1"/>
  <c r="G1379" i="1"/>
  <c r="D1379" i="1"/>
  <c r="C1379" i="1"/>
  <c r="B1379" i="1"/>
  <c r="A1379" i="1"/>
  <c r="H1378" i="1"/>
  <c r="G1378" i="1"/>
  <c r="D1378" i="1"/>
  <c r="C1378" i="1"/>
  <c r="B1378" i="1"/>
  <c r="A1378" i="1"/>
  <c r="H1377" i="1"/>
  <c r="G1377" i="1"/>
  <c r="D1377" i="1"/>
  <c r="C1377" i="1"/>
  <c r="B1377" i="1"/>
  <c r="A1377" i="1"/>
  <c r="H1376" i="1"/>
  <c r="G1376" i="1"/>
  <c r="D1376" i="1"/>
  <c r="C1376" i="1"/>
  <c r="B1376" i="1"/>
  <c r="A1376" i="1"/>
  <c r="H1375" i="1"/>
  <c r="G1375" i="1"/>
  <c r="D1375" i="1"/>
  <c r="C1375" i="1"/>
  <c r="B1375" i="1"/>
  <c r="A1375" i="1"/>
  <c r="H1374" i="1"/>
  <c r="G1374" i="1"/>
  <c r="D1374" i="1"/>
  <c r="C1374" i="1"/>
  <c r="B1374" i="1"/>
  <c r="A1374" i="1"/>
  <c r="H1373" i="1"/>
  <c r="G1373" i="1"/>
  <c r="D1373" i="1"/>
  <c r="C1373" i="1"/>
  <c r="B1373" i="1"/>
  <c r="A1373" i="1"/>
  <c r="H1372" i="1"/>
  <c r="G1372" i="1"/>
  <c r="D1372" i="1"/>
  <c r="C1372" i="1"/>
  <c r="B1372" i="1"/>
  <c r="A1372" i="1"/>
  <c r="H1371" i="1"/>
  <c r="G1371" i="1"/>
  <c r="D1371" i="1"/>
  <c r="C1371" i="1"/>
  <c r="B1371" i="1"/>
  <c r="A1371" i="1"/>
  <c r="H1370" i="1"/>
  <c r="G1370" i="1"/>
  <c r="D1370" i="1"/>
  <c r="C1370" i="1"/>
  <c r="B1370" i="1"/>
  <c r="A1370" i="1"/>
  <c r="H1369" i="1"/>
  <c r="G1369" i="1"/>
  <c r="D1369" i="1"/>
  <c r="C1369" i="1"/>
  <c r="B1369" i="1"/>
  <c r="A1369" i="1"/>
  <c r="H1368" i="1"/>
  <c r="G1368" i="1"/>
  <c r="D1368" i="1"/>
  <c r="C1368" i="1"/>
  <c r="B1368" i="1"/>
  <c r="A1368" i="1"/>
  <c r="H1367" i="1"/>
  <c r="G1367" i="1"/>
  <c r="D1367" i="1"/>
  <c r="C1367" i="1"/>
  <c r="B1367" i="1"/>
  <c r="A1367" i="1"/>
  <c r="H1366" i="1"/>
  <c r="G1366" i="1"/>
  <c r="D1366" i="1"/>
  <c r="C1366" i="1"/>
  <c r="B1366" i="1"/>
  <c r="A1366" i="1"/>
  <c r="H1365" i="1"/>
  <c r="G1365" i="1"/>
  <c r="D1365" i="1"/>
  <c r="C1365" i="1"/>
  <c r="B1365" i="1"/>
  <c r="A1365" i="1"/>
  <c r="H1364" i="1"/>
  <c r="G1364" i="1"/>
  <c r="D1364" i="1"/>
  <c r="C1364" i="1"/>
  <c r="B1364" i="1"/>
  <c r="A1364" i="1"/>
  <c r="H1363" i="1"/>
  <c r="G1363" i="1"/>
  <c r="D1363" i="1"/>
  <c r="C1363" i="1"/>
  <c r="B1363" i="1"/>
  <c r="A1363" i="1"/>
  <c r="H1362" i="1"/>
  <c r="G1362" i="1"/>
  <c r="D1362" i="1"/>
  <c r="C1362" i="1"/>
  <c r="B1362" i="1"/>
  <c r="A1362" i="1"/>
  <c r="H1361" i="1"/>
  <c r="G1361" i="1"/>
  <c r="D1361" i="1"/>
  <c r="C1361" i="1"/>
  <c r="B1361" i="1"/>
  <c r="A1361" i="1"/>
  <c r="H1360" i="1"/>
  <c r="G1360" i="1"/>
  <c r="D1360" i="1"/>
  <c r="C1360" i="1"/>
  <c r="B1360" i="1"/>
  <c r="A1360" i="1"/>
  <c r="H1359" i="1"/>
  <c r="G1359" i="1"/>
  <c r="D1359" i="1"/>
  <c r="C1359" i="1"/>
  <c r="B1359" i="1"/>
  <c r="A1359" i="1"/>
  <c r="H1358" i="1"/>
  <c r="G1358" i="1"/>
  <c r="D1358" i="1"/>
  <c r="C1358" i="1"/>
  <c r="B1358" i="1"/>
  <c r="A1358" i="1"/>
  <c r="H1357" i="1"/>
  <c r="G1357" i="1"/>
  <c r="D1357" i="1"/>
  <c r="C1357" i="1"/>
  <c r="B1357" i="1"/>
  <c r="A1357" i="1"/>
  <c r="H1356" i="1"/>
  <c r="G1356" i="1"/>
  <c r="D1356" i="1"/>
  <c r="C1356" i="1"/>
  <c r="B1356" i="1"/>
  <c r="A1356" i="1"/>
  <c r="H1355" i="1"/>
  <c r="G1355" i="1"/>
  <c r="D1355" i="1"/>
  <c r="C1355" i="1"/>
  <c r="B1355" i="1"/>
  <c r="A1355" i="1"/>
  <c r="H1354" i="1"/>
  <c r="G1354" i="1"/>
  <c r="D1354" i="1"/>
  <c r="C1354" i="1"/>
  <c r="B1354" i="1"/>
  <c r="A1354" i="1"/>
  <c r="H1353" i="1"/>
  <c r="G1353" i="1"/>
  <c r="D1353" i="1"/>
  <c r="C1353" i="1"/>
  <c r="B1353" i="1"/>
  <c r="A1353" i="1"/>
  <c r="H1352" i="1"/>
  <c r="G1352" i="1"/>
  <c r="D1352" i="1"/>
  <c r="C1352" i="1"/>
  <c r="B1352" i="1"/>
  <c r="A1352" i="1"/>
  <c r="H1351" i="1"/>
  <c r="G1351" i="1"/>
  <c r="D1351" i="1"/>
  <c r="C1351" i="1"/>
  <c r="B1351" i="1"/>
  <c r="A1351" i="1"/>
  <c r="H1350" i="1"/>
  <c r="G1350" i="1"/>
  <c r="D1350" i="1"/>
  <c r="C1350" i="1"/>
  <c r="B1350" i="1"/>
  <c r="A1350" i="1"/>
  <c r="H1349" i="1"/>
  <c r="G1349" i="1"/>
  <c r="D1349" i="1"/>
  <c r="C1349" i="1"/>
  <c r="B1349" i="1"/>
  <c r="A1349" i="1"/>
  <c r="H1348" i="1"/>
  <c r="G1348" i="1"/>
  <c r="D1348" i="1"/>
  <c r="C1348" i="1"/>
  <c r="B1348" i="1"/>
  <c r="A1348" i="1"/>
  <c r="H1347" i="1"/>
  <c r="G1347" i="1"/>
  <c r="D1347" i="1"/>
  <c r="C1347" i="1"/>
  <c r="B1347" i="1"/>
  <c r="A1347" i="1"/>
  <c r="H1346" i="1"/>
  <c r="G1346" i="1"/>
  <c r="D1346" i="1"/>
  <c r="C1346" i="1"/>
  <c r="B1346" i="1"/>
  <c r="A1346" i="1"/>
  <c r="H1345" i="1"/>
  <c r="G1345" i="1"/>
  <c r="D1345" i="1"/>
  <c r="C1345" i="1"/>
  <c r="B1345" i="1"/>
  <c r="A1345" i="1"/>
  <c r="H1344" i="1"/>
  <c r="G1344" i="1"/>
  <c r="D1344" i="1"/>
  <c r="C1344" i="1"/>
  <c r="B1344" i="1"/>
  <c r="A1344" i="1"/>
  <c r="H1343" i="1"/>
  <c r="G1343" i="1"/>
  <c r="D1343" i="1"/>
  <c r="C1343" i="1"/>
  <c r="B1343" i="1"/>
  <c r="A1343" i="1"/>
  <c r="H1342" i="1"/>
  <c r="G1342" i="1"/>
  <c r="D1342" i="1"/>
  <c r="C1342" i="1"/>
  <c r="B1342" i="1"/>
  <c r="A1342" i="1"/>
  <c r="H1341" i="1"/>
  <c r="G1341" i="1"/>
  <c r="D1341" i="1"/>
  <c r="C1341" i="1"/>
  <c r="B1341" i="1"/>
  <c r="A1341" i="1"/>
  <c r="H1340" i="1"/>
  <c r="G1340" i="1"/>
  <c r="D1340" i="1"/>
  <c r="C1340" i="1"/>
  <c r="B1340" i="1"/>
  <c r="A1340" i="1"/>
  <c r="H1339" i="1"/>
  <c r="G1339" i="1"/>
  <c r="D1339" i="1"/>
  <c r="C1339" i="1"/>
  <c r="B1339" i="1"/>
  <c r="A1339" i="1"/>
  <c r="H1338" i="1"/>
  <c r="G1338" i="1"/>
  <c r="D1338" i="1"/>
  <c r="C1338" i="1"/>
  <c r="B1338" i="1"/>
  <c r="A1338" i="1"/>
  <c r="H1337" i="1"/>
  <c r="G1337" i="1"/>
  <c r="D1337" i="1"/>
  <c r="C1337" i="1"/>
  <c r="B1337" i="1"/>
  <c r="A1337" i="1"/>
  <c r="H1336" i="1"/>
  <c r="G1336" i="1"/>
  <c r="D1336" i="1"/>
  <c r="C1336" i="1"/>
  <c r="B1336" i="1"/>
  <c r="A1336" i="1"/>
  <c r="H1335" i="1"/>
  <c r="G1335" i="1"/>
  <c r="D1335" i="1"/>
  <c r="C1335" i="1"/>
  <c r="B1335" i="1"/>
  <c r="A1335" i="1"/>
  <c r="H1334" i="1"/>
  <c r="G1334" i="1"/>
  <c r="D1334" i="1"/>
  <c r="C1334" i="1"/>
  <c r="B1334" i="1"/>
  <c r="A1334" i="1"/>
  <c r="H1333" i="1"/>
  <c r="G1333" i="1"/>
  <c r="D1333" i="1"/>
  <c r="C1333" i="1"/>
  <c r="B1333" i="1"/>
  <c r="A1333" i="1"/>
  <c r="H1332" i="1"/>
  <c r="G1332" i="1"/>
  <c r="D1332" i="1"/>
  <c r="C1332" i="1"/>
  <c r="B1332" i="1"/>
  <c r="A1332" i="1"/>
  <c r="H1331" i="1"/>
  <c r="G1331" i="1"/>
  <c r="D1331" i="1"/>
  <c r="C1331" i="1"/>
  <c r="B1331" i="1"/>
  <c r="A1331" i="1"/>
  <c r="H1330" i="1"/>
  <c r="G1330" i="1"/>
  <c r="D1330" i="1"/>
  <c r="C1330" i="1"/>
  <c r="B1330" i="1"/>
  <c r="A1330" i="1"/>
  <c r="H1329" i="1"/>
  <c r="G1329" i="1"/>
  <c r="D1329" i="1"/>
  <c r="C1329" i="1"/>
  <c r="B1329" i="1"/>
  <c r="A1329" i="1"/>
  <c r="H1328" i="1"/>
  <c r="G1328" i="1"/>
  <c r="D1328" i="1"/>
  <c r="C1328" i="1"/>
  <c r="B1328" i="1"/>
  <c r="A1328" i="1"/>
  <c r="H1327" i="1"/>
  <c r="G1327" i="1"/>
  <c r="D1327" i="1"/>
  <c r="C1327" i="1"/>
  <c r="B1327" i="1"/>
  <c r="A1327" i="1"/>
  <c r="H1326" i="1"/>
  <c r="G1326" i="1"/>
  <c r="D1326" i="1"/>
  <c r="C1326" i="1"/>
  <c r="B1326" i="1"/>
  <c r="A1326" i="1"/>
  <c r="H1325" i="1"/>
  <c r="G1325" i="1"/>
  <c r="D1325" i="1"/>
  <c r="C1325" i="1"/>
  <c r="B1325" i="1"/>
  <c r="A1325" i="1"/>
  <c r="H1324" i="1"/>
  <c r="G1324" i="1"/>
  <c r="D1324" i="1"/>
  <c r="C1324" i="1"/>
  <c r="B1324" i="1"/>
  <c r="A1324" i="1"/>
  <c r="H1323" i="1"/>
  <c r="G1323" i="1"/>
  <c r="D1323" i="1"/>
  <c r="C1323" i="1"/>
  <c r="B1323" i="1"/>
  <c r="A1323" i="1"/>
  <c r="H1322" i="1"/>
  <c r="G1322" i="1"/>
  <c r="D1322" i="1"/>
  <c r="C1322" i="1"/>
  <c r="B1322" i="1"/>
  <c r="A1322" i="1"/>
  <c r="H1321" i="1"/>
  <c r="G1321" i="1"/>
  <c r="D1321" i="1"/>
  <c r="C1321" i="1"/>
  <c r="B1321" i="1"/>
  <c r="A1321" i="1"/>
  <c r="H1320" i="1"/>
  <c r="G1320" i="1"/>
  <c r="D1320" i="1"/>
  <c r="C1320" i="1"/>
  <c r="B1320" i="1"/>
  <c r="A1320" i="1"/>
  <c r="H1319" i="1"/>
  <c r="G1319" i="1"/>
  <c r="D1319" i="1"/>
  <c r="C1319" i="1"/>
  <c r="B1319" i="1"/>
  <c r="A1319" i="1"/>
  <c r="H1318" i="1"/>
  <c r="G1318" i="1"/>
  <c r="D1318" i="1"/>
  <c r="C1318" i="1"/>
  <c r="B1318" i="1"/>
  <c r="A1318" i="1"/>
  <c r="H1317" i="1"/>
  <c r="G1317" i="1"/>
  <c r="D1317" i="1"/>
  <c r="C1317" i="1"/>
  <c r="B1317" i="1"/>
  <c r="A1317" i="1"/>
  <c r="H1316" i="1"/>
  <c r="G1316" i="1"/>
  <c r="D1316" i="1"/>
  <c r="C1316" i="1"/>
  <c r="B1316" i="1"/>
  <c r="A1316" i="1"/>
  <c r="H1315" i="1"/>
  <c r="G1315" i="1"/>
  <c r="D1315" i="1"/>
  <c r="C1315" i="1"/>
  <c r="B1315" i="1"/>
  <c r="A1315" i="1"/>
  <c r="H1314" i="1"/>
  <c r="G1314" i="1"/>
  <c r="D1314" i="1"/>
  <c r="C1314" i="1"/>
  <c r="B1314" i="1"/>
  <c r="A1314" i="1"/>
  <c r="H1313" i="1"/>
  <c r="G1313" i="1"/>
  <c r="D1313" i="1"/>
  <c r="C1313" i="1"/>
  <c r="B1313" i="1"/>
  <c r="A1313" i="1"/>
  <c r="H1312" i="1"/>
  <c r="G1312" i="1"/>
  <c r="D1312" i="1"/>
  <c r="C1312" i="1"/>
  <c r="B1312" i="1"/>
  <c r="A1312" i="1"/>
  <c r="H1311" i="1"/>
  <c r="G1311" i="1"/>
  <c r="D1311" i="1"/>
  <c r="C1311" i="1"/>
  <c r="B1311" i="1"/>
  <c r="A1311" i="1"/>
  <c r="H1310" i="1"/>
  <c r="G1310" i="1"/>
  <c r="D1310" i="1"/>
  <c r="C1310" i="1"/>
  <c r="B1310" i="1"/>
  <c r="A1310" i="1"/>
  <c r="H1309" i="1"/>
  <c r="G1309" i="1"/>
  <c r="D1309" i="1"/>
  <c r="C1309" i="1"/>
  <c r="B1309" i="1"/>
  <c r="A1309" i="1"/>
  <c r="H1308" i="1"/>
  <c r="G1308" i="1"/>
  <c r="D1308" i="1"/>
  <c r="C1308" i="1"/>
  <c r="B1308" i="1"/>
  <c r="A1308" i="1"/>
  <c r="H1307" i="1"/>
  <c r="G1307" i="1"/>
  <c r="D1307" i="1"/>
  <c r="C1307" i="1"/>
  <c r="B1307" i="1"/>
  <c r="A1307" i="1"/>
  <c r="H1306" i="1"/>
  <c r="G1306" i="1"/>
  <c r="D1306" i="1"/>
  <c r="C1306" i="1"/>
  <c r="B1306" i="1"/>
  <c r="A1306" i="1"/>
  <c r="H1305" i="1"/>
  <c r="G1305" i="1"/>
  <c r="D1305" i="1"/>
  <c r="C1305" i="1"/>
  <c r="B1305" i="1"/>
  <c r="A1305" i="1"/>
  <c r="H1304" i="1"/>
  <c r="G1304" i="1"/>
  <c r="D1304" i="1"/>
  <c r="C1304" i="1"/>
  <c r="B1304" i="1"/>
  <c r="A1304" i="1"/>
  <c r="H1303" i="1"/>
  <c r="G1303" i="1"/>
  <c r="D1303" i="1"/>
  <c r="C1303" i="1"/>
  <c r="B1303" i="1"/>
  <c r="A1303" i="1"/>
  <c r="H1302" i="1"/>
  <c r="G1302" i="1"/>
  <c r="D1302" i="1"/>
  <c r="C1302" i="1"/>
  <c r="B1302" i="1"/>
  <c r="A1302" i="1"/>
  <c r="H1301" i="1"/>
  <c r="G1301" i="1"/>
  <c r="D1301" i="1"/>
  <c r="C1301" i="1"/>
  <c r="B1301" i="1"/>
  <c r="A1301" i="1"/>
  <c r="H1300" i="1"/>
  <c r="G1300" i="1"/>
  <c r="D1300" i="1"/>
  <c r="C1300" i="1"/>
  <c r="B1300" i="1"/>
  <c r="A1300" i="1"/>
  <c r="H1299" i="1"/>
  <c r="G1299" i="1"/>
  <c r="D1299" i="1"/>
  <c r="C1299" i="1"/>
  <c r="B1299" i="1"/>
  <c r="A1299" i="1"/>
  <c r="H1298" i="1"/>
  <c r="G1298" i="1"/>
  <c r="D1298" i="1"/>
  <c r="C1298" i="1"/>
  <c r="B1298" i="1"/>
  <c r="A1298" i="1"/>
  <c r="H1297" i="1"/>
  <c r="G1297" i="1"/>
  <c r="D1297" i="1"/>
  <c r="C1297" i="1"/>
  <c r="B1297" i="1"/>
  <c r="A1297" i="1"/>
  <c r="H1296" i="1"/>
  <c r="G1296" i="1"/>
  <c r="D1296" i="1"/>
  <c r="C1296" i="1"/>
  <c r="B1296" i="1"/>
  <c r="A1296" i="1"/>
  <c r="H1295" i="1"/>
  <c r="G1295" i="1"/>
  <c r="D1295" i="1"/>
  <c r="C1295" i="1"/>
  <c r="B1295" i="1"/>
  <c r="A1295" i="1"/>
  <c r="H1294" i="1"/>
  <c r="G1294" i="1"/>
  <c r="D1294" i="1"/>
  <c r="C1294" i="1"/>
  <c r="B1294" i="1"/>
  <c r="A1294" i="1"/>
  <c r="H1293" i="1"/>
  <c r="G1293" i="1"/>
  <c r="D1293" i="1"/>
  <c r="C1293" i="1"/>
  <c r="B1293" i="1"/>
  <c r="A1293" i="1"/>
  <c r="H1292" i="1"/>
  <c r="G1292" i="1"/>
  <c r="D1292" i="1"/>
  <c r="C1292" i="1"/>
  <c r="B1292" i="1"/>
  <c r="A1292" i="1"/>
  <c r="H1291" i="1"/>
  <c r="G1291" i="1"/>
  <c r="D1291" i="1"/>
  <c r="C1291" i="1"/>
  <c r="B1291" i="1"/>
  <c r="A1291" i="1"/>
  <c r="H1290" i="1"/>
  <c r="G1290" i="1"/>
  <c r="D1290" i="1"/>
  <c r="C1290" i="1"/>
  <c r="B1290" i="1"/>
  <c r="A1290" i="1"/>
  <c r="H1289" i="1"/>
  <c r="G1289" i="1"/>
  <c r="D1289" i="1"/>
  <c r="C1289" i="1"/>
  <c r="B1289" i="1"/>
  <c r="A1289" i="1"/>
  <c r="H1288" i="1"/>
  <c r="G1288" i="1"/>
  <c r="D1288" i="1"/>
  <c r="C1288" i="1"/>
  <c r="B1288" i="1"/>
  <c r="A1288" i="1"/>
  <c r="H1287" i="1"/>
  <c r="G1287" i="1"/>
  <c r="D1287" i="1"/>
  <c r="C1287" i="1"/>
  <c r="B1287" i="1"/>
  <c r="A1287" i="1"/>
  <c r="H1286" i="1"/>
  <c r="G1286" i="1"/>
  <c r="D1286" i="1"/>
  <c r="C1286" i="1"/>
  <c r="B1286" i="1"/>
  <c r="A1286" i="1"/>
  <c r="H1285" i="1"/>
  <c r="G1285" i="1"/>
  <c r="D1285" i="1"/>
  <c r="C1285" i="1"/>
  <c r="B1285" i="1"/>
  <c r="A1285" i="1"/>
  <c r="H1284" i="1"/>
  <c r="G1284" i="1"/>
  <c r="D1284" i="1"/>
  <c r="C1284" i="1"/>
  <c r="B1284" i="1"/>
  <c r="A1284" i="1"/>
  <c r="H1283" i="1"/>
  <c r="G1283" i="1"/>
  <c r="D1283" i="1"/>
  <c r="C1283" i="1"/>
  <c r="B1283" i="1"/>
  <c r="A1283" i="1"/>
  <c r="H1282" i="1"/>
  <c r="G1282" i="1"/>
  <c r="D1282" i="1"/>
  <c r="C1282" i="1"/>
  <c r="B1282" i="1"/>
  <c r="A1282" i="1"/>
  <c r="H1281" i="1"/>
  <c r="G1281" i="1"/>
  <c r="D1281" i="1"/>
  <c r="C1281" i="1"/>
  <c r="B1281" i="1"/>
  <c r="A1281" i="1"/>
  <c r="H1280" i="1"/>
  <c r="G1280" i="1"/>
  <c r="D1280" i="1"/>
  <c r="C1280" i="1"/>
  <c r="B1280" i="1"/>
  <c r="A1280" i="1"/>
  <c r="H1279" i="1"/>
  <c r="G1279" i="1"/>
  <c r="D1279" i="1"/>
  <c r="C1279" i="1"/>
  <c r="B1279" i="1"/>
  <c r="A1279" i="1"/>
  <c r="H1278" i="1"/>
  <c r="G1278" i="1"/>
  <c r="D1278" i="1"/>
  <c r="C1278" i="1"/>
  <c r="B1278" i="1"/>
  <c r="A1278" i="1"/>
  <c r="H1277" i="1"/>
  <c r="G1277" i="1"/>
  <c r="D1277" i="1"/>
  <c r="C1277" i="1"/>
  <c r="B1277" i="1"/>
  <c r="A1277" i="1"/>
  <c r="H1276" i="1"/>
  <c r="G1276" i="1"/>
  <c r="D1276" i="1"/>
  <c r="C1276" i="1"/>
  <c r="B1276" i="1"/>
  <c r="A1276" i="1"/>
  <c r="H1275" i="1"/>
  <c r="G1275" i="1"/>
  <c r="D1275" i="1"/>
  <c r="C1275" i="1"/>
  <c r="B1275" i="1"/>
  <c r="A1275" i="1"/>
  <c r="H1274" i="1"/>
  <c r="G1274" i="1"/>
  <c r="D1274" i="1"/>
  <c r="C1274" i="1"/>
  <c r="B1274" i="1"/>
  <c r="A1274" i="1"/>
  <c r="H1273" i="1"/>
  <c r="G1273" i="1"/>
  <c r="D1273" i="1"/>
  <c r="C1273" i="1"/>
  <c r="B1273" i="1"/>
  <c r="A1273" i="1"/>
  <c r="H1272" i="1"/>
  <c r="G1272" i="1"/>
  <c r="D1272" i="1"/>
  <c r="C1272" i="1"/>
  <c r="B1272" i="1"/>
  <c r="A1272" i="1"/>
  <c r="H1271" i="1"/>
  <c r="G1271" i="1"/>
  <c r="D1271" i="1"/>
  <c r="C1271" i="1"/>
  <c r="B1271" i="1"/>
  <c r="A1271" i="1"/>
  <c r="H1270" i="1"/>
  <c r="G1270" i="1"/>
  <c r="D1270" i="1"/>
  <c r="C1270" i="1"/>
  <c r="B1270" i="1"/>
  <c r="A1270" i="1"/>
  <c r="H1269" i="1"/>
  <c r="G1269" i="1"/>
  <c r="D1269" i="1"/>
  <c r="C1269" i="1"/>
  <c r="B1269" i="1"/>
  <c r="A1269" i="1"/>
  <c r="H1268" i="1"/>
  <c r="G1268" i="1"/>
  <c r="D1268" i="1"/>
  <c r="C1268" i="1"/>
  <c r="B1268" i="1"/>
  <c r="A1268" i="1"/>
  <c r="H1267" i="1"/>
  <c r="G1267" i="1"/>
  <c r="D1267" i="1"/>
  <c r="C1267" i="1"/>
  <c r="B1267" i="1"/>
  <c r="A1267" i="1"/>
  <c r="H1266" i="1"/>
  <c r="G1266" i="1"/>
  <c r="D1266" i="1"/>
  <c r="C1266" i="1"/>
  <c r="B1266" i="1"/>
  <c r="A1266" i="1"/>
  <c r="H1265" i="1"/>
  <c r="G1265" i="1"/>
  <c r="D1265" i="1"/>
  <c r="C1265" i="1"/>
  <c r="B1265" i="1"/>
  <c r="A1265" i="1"/>
  <c r="H1264" i="1"/>
  <c r="G1264" i="1"/>
  <c r="D1264" i="1"/>
  <c r="C1264" i="1"/>
  <c r="B1264" i="1"/>
  <c r="A1264" i="1"/>
  <c r="H1263" i="1"/>
  <c r="G1263" i="1"/>
  <c r="D1263" i="1"/>
  <c r="C1263" i="1"/>
  <c r="B1263" i="1"/>
  <c r="A1263" i="1"/>
  <c r="H1262" i="1"/>
  <c r="G1262" i="1"/>
  <c r="D1262" i="1"/>
  <c r="C1262" i="1"/>
  <c r="B1262" i="1"/>
  <c r="A1262" i="1"/>
  <c r="H1261" i="1"/>
  <c r="G1261" i="1"/>
  <c r="D1261" i="1"/>
  <c r="C1261" i="1"/>
  <c r="B1261" i="1"/>
  <c r="A1261" i="1"/>
  <c r="H1260" i="1"/>
  <c r="G1260" i="1"/>
  <c r="D1260" i="1"/>
  <c r="C1260" i="1"/>
  <c r="B1260" i="1"/>
  <c r="A1260" i="1"/>
  <c r="H1259" i="1"/>
  <c r="G1259" i="1"/>
  <c r="D1259" i="1"/>
  <c r="C1259" i="1"/>
  <c r="B1259" i="1"/>
  <c r="A1259" i="1"/>
  <c r="H1258" i="1"/>
  <c r="G1258" i="1"/>
  <c r="D1258" i="1"/>
  <c r="C1258" i="1"/>
  <c r="B1258" i="1"/>
  <c r="A1258" i="1"/>
  <c r="H1257" i="1"/>
  <c r="G1257" i="1"/>
  <c r="D1257" i="1"/>
  <c r="C1257" i="1"/>
  <c r="B1257" i="1"/>
  <c r="A1257" i="1"/>
  <c r="H1256" i="1"/>
  <c r="G1256" i="1"/>
  <c r="D1256" i="1"/>
  <c r="C1256" i="1"/>
  <c r="B1256" i="1"/>
  <c r="A1256" i="1"/>
  <c r="H1255" i="1"/>
  <c r="G1255" i="1"/>
  <c r="D1255" i="1"/>
  <c r="C1255" i="1"/>
  <c r="B1255" i="1"/>
  <c r="A1255" i="1"/>
  <c r="H1254" i="1"/>
  <c r="G1254" i="1"/>
  <c r="D1254" i="1"/>
  <c r="C1254" i="1"/>
  <c r="B1254" i="1"/>
  <c r="A1254" i="1"/>
  <c r="H1253" i="1"/>
  <c r="G1253" i="1"/>
  <c r="D1253" i="1"/>
  <c r="C1253" i="1"/>
  <c r="B1253" i="1"/>
  <c r="A1253" i="1"/>
  <c r="H1252" i="1"/>
  <c r="G1252" i="1"/>
  <c r="D1252" i="1"/>
  <c r="C1252" i="1"/>
  <c r="B1252" i="1"/>
  <c r="A1252" i="1"/>
  <c r="H1251" i="1"/>
  <c r="G1251" i="1"/>
  <c r="D1251" i="1"/>
  <c r="C1251" i="1"/>
  <c r="B1251" i="1"/>
  <c r="A1251" i="1"/>
  <c r="H1250" i="1"/>
  <c r="G1250" i="1"/>
  <c r="D1250" i="1"/>
  <c r="C1250" i="1"/>
  <c r="B1250" i="1"/>
  <c r="A1250" i="1"/>
  <c r="H1249" i="1"/>
  <c r="G1249" i="1"/>
  <c r="D1249" i="1"/>
  <c r="C1249" i="1"/>
  <c r="B1249" i="1"/>
  <c r="A1249" i="1"/>
  <c r="H1248" i="1"/>
  <c r="G1248" i="1"/>
  <c r="D1248" i="1"/>
  <c r="C1248" i="1"/>
  <c r="B1248" i="1"/>
  <c r="A1248" i="1"/>
  <c r="H1247" i="1"/>
  <c r="G1247" i="1"/>
  <c r="D1247" i="1"/>
  <c r="C1247" i="1"/>
  <c r="B1247" i="1"/>
  <c r="A1247" i="1"/>
  <c r="H1246" i="1"/>
  <c r="G1246" i="1"/>
  <c r="D1246" i="1"/>
  <c r="C1246" i="1"/>
  <c r="B1246" i="1"/>
  <c r="A1246" i="1"/>
  <c r="H1245" i="1"/>
  <c r="G1245" i="1"/>
  <c r="D1245" i="1"/>
  <c r="C1245" i="1"/>
  <c r="B1245" i="1"/>
  <c r="A1245" i="1"/>
  <c r="H1244" i="1"/>
  <c r="G1244" i="1"/>
  <c r="D1244" i="1"/>
  <c r="C1244" i="1"/>
  <c r="B1244" i="1"/>
  <c r="A1244" i="1"/>
  <c r="H1243" i="1"/>
  <c r="G1243" i="1"/>
  <c r="D1243" i="1"/>
  <c r="C1243" i="1"/>
  <c r="B1243" i="1"/>
  <c r="A1243" i="1"/>
  <c r="H1242" i="1"/>
  <c r="G1242" i="1"/>
  <c r="D1242" i="1"/>
  <c r="C1242" i="1"/>
  <c r="B1242" i="1"/>
  <c r="A1242" i="1"/>
  <c r="H1241" i="1"/>
  <c r="G1241" i="1"/>
  <c r="D1241" i="1"/>
  <c r="C1241" i="1"/>
  <c r="B1241" i="1"/>
  <c r="A1241" i="1"/>
  <c r="H1240" i="1"/>
  <c r="G1240" i="1"/>
  <c r="D1240" i="1"/>
  <c r="C1240" i="1"/>
  <c r="B1240" i="1"/>
  <c r="A1240" i="1"/>
  <c r="H1239" i="1"/>
  <c r="G1239" i="1"/>
  <c r="D1239" i="1"/>
  <c r="C1239" i="1"/>
  <c r="B1239" i="1"/>
  <c r="A1239" i="1"/>
  <c r="H1238" i="1"/>
  <c r="G1238" i="1"/>
  <c r="D1238" i="1"/>
  <c r="C1238" i="1"/>
  <c r="B1238" i="1"/>
  <c r="A1238" i="1"/>
  <c r="H1237" i="1"/>
  <c r="G1237" i="1"/>
  <c r="D1237" i="1"/>
  <c r="C1237" i="1"/>
  <c r="B1237" i="1"/>
  <c r="A1237" i="1"/>
  <c r="H1236" i="1"/>
  <c r="G1236" i="1"/>
  <c r="D1236" i="1"/>
  <c r="C1236" i="1"/>
  <c r="B1236" i="1"/>
  <c r="A1236" i="1"/>
  <c r="H1235" i="1"/>
  <c r="G1235" i="1"/>
  <c r="D1235" i="1"/>
  <c r="C1235" i="1"/>
  <c r="B1235" i="1"/>
  <c r="A1235" i="1"/>
  <c r="H1234" i="1"/>
  <c r="G1234" i="1"/>
  <c r="D1234" i="1"/>
  <c r="C1234" i="1"/>
  <c r="B1234" i="1"/>
  <c r="A1234" i="1"/>
  <c r="H1233" i="1"/>
  <c r="G1233" i="1"/>
  <c r="D1233" i="1"/>
  <c r="C1233" i="1"/>
  <c r="B1233" i="1"/>
  <c r="A1233" i="1"/>
  <c r="H1232" i="1"/>
  <c r="G1232" i="1"/>
  <c r="D1232" i="1"/>
  <c r="C1232" i="1"/>
  <c r="B1232" i="1"/>
  <c r="A1232" i="1"/>
  <c r="H1231" i="1"/>
  <c r="G1231" i="1"/>
  <c r="D1231" i="1"/>
  <c r="C1231" i="1"/>
  <c r="B1231" i="1"/>
  <c r="A1231" i="1"/>
  <c r="H1230" i="1"/>
  <c r="G1230" i="1"/>
  <c r="D1230" i="1"/>
  <c r="C1230" i="1"/>
  <c r="B1230" i="1"/>
  <c r="A1230" i="1"/>
  <c r="H1229" i="1"/>
  <c r="G1229" i="1"/>
  <c r="D1229" i="1"/>
  <c r="C1229" i="1"/>
  <c r="B1229" i="1"/>
  <c r="A1229" i="1"/>
  <c r="H1228" i="1"/>
  <c r="G1228" i="1"/>
  <c r="D1228" i="1"/>
  <c r="C1228" i="1"/>
  <c r="B1228" i="1"/>
  <c r="A1228" i="1"/>
  <c r="H1227" i="1"/>
  <c r="G1227" i="1"/>
  <c r="D1227" i="1"/>
  <c r="C1227" i="1"/>
  <c r="B1227" i="1"/>
  <c r="A1227" i="1"/>
  <c r="H1226" i="1"/>
  <c r="G1226" i="1"/>
  <c r="D1226" i="1"/>
  <c r="C1226" i="1"/>
  <c r="B1226" i="1"/>
  <c r="A1226" i="1"/>
  <c r="H1225" i="1"/>
  <c r="G1225" i="1"/>
  <c r="D1225" i="1"/>
  <c r="C1225" i="1"/>
  <c r="B1225" i="1"/>
  <c r="A1225" i="1"/>
  <c r="H1224" i="1"/>
  <c r="G1224" i="1"/>
  <c r="D1224" i="1"/>
  <c r="C1224" i="1"/>
  <c r="B1224" i="1"/>
  <c r="A1224" i="1"/>
  <c r="H1223" i="1"/>
  <c r="G1223" i="1"/>
  <c r="D1223" i="1"/>
  <c r="C1223" i="1"/>
  <c r="B1223" i="1"/>
  <c r="A1223" i="1"/>
  <c r="H1222" i="1"/>
  <c r="G1222" i="1"/>
  <c r="D1222" i="1"/>
  <c r="C1222" i="1"/>
  <c r="B1222" i="1"/>
  <c r="A1222" i="1"/>
  <c r="H1221" i="1"/>
  <c r="G1221" i="1"/>
  <c r="D1221" i="1"/>
  <c r="C1221" i="1"/>
  <c r="B1221" i="1"/>
  <c r="A1221" i="1"/>
  <c r="H1220" i="1"/>
  <c r="G1220" i="1"/>
  <c r="D1220" i="1"/>
  <c r="C1220" i="1"/>
  <c r="B1220" i="1"/>
  <c r="A1220" i="1"/>
  <c r="H1219" i="1"/>
  <c r="G1219" i="1"/>
  <c r="D1219" i="1"/>
  <c r="C1219" i="1"/>
  <c r="B1219" i="1"/>
  <c r="A1219" i="1"/>
  <c r="H1218" i="1"/>
  <c r="G1218" i="1"/>
  <c r="D1218" i="1"/>
  <c r="C1218" i="1"/>
  <c r="B1218" i="1"/>
  <c r="A1218" i="1"/>
  <c r="H1217" i="1"/>
  <c r="G1217" i="1"/>
  <c r="D1217" i="1"/>
  <c r="C1217" i="1"/>
  <c r="B1217" i="1"/>
  <c r="A1217" i="1"/>
  <c r="H1216" i="1"/>
  <c r="G1216" i="1"/>
  <c r="D1216" i="1"/>
  <c r="C1216" i="1"/>
  <c r="B1216" i="1"/>
  <c r="A1216" i="1"/>
  <c r="H1215" i="1"/>
  <c r="G1215" i="1"/>
  <c r="D1215" i="1"/>
  <c r="C1215" i="1"/>
  <c r="B1215" i="1"/>
  <c r="A1215" i="1"/>
  <c r="H1214" i="1"/>
  <c r="G1214" i="1"/>
  <c r="D1214" i="1"/>
  <c r="C1214" i="1"/>
  <c r="B1214" i="1"/>
  <c r="A1214" i="1"/>
  <c r="H1213" i="1"/>
  <c r="G1213" i="1"/>
  <c r="D1213" i="1"/>
  <c r="C1213" i="1"/>
  <c r="B1213" i="1"/>
  <c r="A1213" i="1"/>
  <c r="H1212" i="1"/>
  <c r="G1212" i="1"/>
  <c r="D1212" i="1"/>
  <c r="C1212" i="1"/>
  <c r="B1212" i="1"/>
  <c r="A1212" i="1"/>
  <c r="H1211" i="1"/>
  <c r="G1211" i="1"/>
  <c r="D1211" i="1"/>
  <c r="C1211" i="1"/>
  <c r="B1211" i="1"/>
  <c r="A1211" i="1"/>
  <c r="H1210" i="1"/>
  <c r="G1210" i="1"/>
  <c r="D1210" i="1"/>
  <c r="C1210" i="1"/>
  <c r="B1210" i="1"/>
  <c r="A1210" i="1"/>
  <c r="H1209" i="1"/>
  <c r="G1209" i="1"/>
  <c r="D1209" i="1"/>
  <c r="C1209" i="1"/>
  <c r="B1209" i="1"/>
  <c r="A1209" i="1"/>
  <c r="H1208" i="1"/>
  <c r="G1208" i="1"/>
  <c r="D1208" i="1"/>
  <c r="C1208" i="1"/>
  <c r="B1208" i="1"/>
  <c r="A1208" i="1"/>
  <c r="H1207" i="1"/>
  <c r="G1207" i="1"/>
  <c r="D1207" i="1"/>
  <c r="C1207" i="1"/>
  <c r="B1207" i="1"/>
  <c r="A1207" i="1"/>
  <c r="H1206" i="1"/>
  <c r="G1206" i="1"/>
  <c r="D1206" i="1"/>
  <c r="C1206" i="1"/>
  <c r="B1206" i="1"/>
  <c r="A1206" i="1"/>
  <c r="H1205" i="1"/>
  <c r="G1205" i="1"/>
  <c r="D1205" i="1"/>
  <c r="C1205" i="1"/>
  <c r="B1205" i="1"/>
  <c r="A1205" i="1"/>
  <c r="H1204" i="1"/>
  <c r="G1204" i="1"/>
  <c r="D1204" i="1"/>
  <c r="C1204" i="1"/>
  <c r="B1204" i="1"/>
  <c r="A1204" i="1"/>
  <c r="H1203" i="1"/>
  <c r="G1203" i="1"/>
  <c r="D1203" i="1"/>
  <c r="C1203" i="1"/>
  <c r="B1203" i="1"/>
  <c r="A1203" i="1"/>
  <c r="H1202" i="1"/>
  <c r="G1202" i="1"/>
  <c r="D1202" i="1"/>
  <c r="C1202" i="1"/>
  <c r="B1202" i="1"/>
  <c r="A1202" i="1"/>
  <c r="H1201" i="1"/>
  <c r="G1201" i="1"/>
  <c r="D1201" i="1"/>
  <c r="C1201" i="1"/>
  <c r="B1201" i="1"/>
  <c r="A1201" i="1"/>
  <c r="H1200" i="1"/>
  <c r="G1200" i="1"/>
  <c r="D1200" i="1"/>
  <c r="C1200" i="1"/>
  <c r="B1200" i="1"/>
  <c r="A1200" i="1"/>
  <c r="H1199" i="1"/>
  <c r="G1199" i="1"/>
  <c r="D1199" i="1"/>
  <c r="C1199" i="1"/>
  <c r="B1199" i="1"/>
  <c r="A1199" i="1"/>
  <c r="H1198" i="1"/>
  <c r="G1198" i="1"/>
  <c r="D1198" i="1"/>
  <c r="C1198" i="1"/>
  <c r="B1198" i="1"/>
  <c r="A1198" i="1"/>
  <c r="H1197" i="1"/>
  <c r="G1197" i="1"/>
  <c r="D1197" i="1"/>
  <c r="C1197" i="1"/>
  <c r="B1197" i="1"/>
  <c r="A1197" i="1"/>
  <c r="H1196" i="1"/>
  <c r="G1196" i="1"/>
  <c r="D1196" i="1"/>
  <c r="C1196" i="1"/>
  <c r="B1196" i="1"/>
  <c r="A1196" i="1"/>
  <c r="H1195" i="1"/>
  <c r="G1195" i="1"/>
  <c r="D1195" i="1"/>
  <c r="C1195" i="1"/>
  <c r="B1195" i="1"/>
  <c r="A1195" i="1"/>
  <c r="H1194" i="1"/>
  <c r="G1194" i="1"/>
  <c r="D1194" i="1"/>
  <c r="C1194" i="1"/>
  <c r="B1194" i="1"/>
  <c r="A1194" i="1"/>
  <c r="H1193" i="1"/>
  <c r="G1193" i="1"/>
  <c r="D1193" i="1"/>
  <c r="C1193" i="1"/>
  <c r="B1193" i="1"/>
  <c r="A1193" i="1"/>
  <c r="H1192" i="1"/>
  <c r="G1192" i="1"/>
  <c r="D1192" i="1"/>
  <c r="C1192" i="1"/>
  <c r="B1192" i="1"/>
  <c r="A1192" i="1"/>
  <c r="H1191" i="1"/>
  <c r="G1191" i="1"/>
  <c r="D1191" i="1"/>
  <c r="C1191" i="1"/>
  <c r="B1191" i="1"/>
  <c r="A1191" i="1"/>
  <c r="H1190" i="1"/>
  <c r="G1190" i="1"/>
  <c r="D1190" i="1"/>
  <c r="C1190" i="1"/>
  <c r="B1190" i="1"/>
  <c r="A1190" i="1"/>
  <c r="H1189" i="1"/>
  <c r="G1189" i="1"/>
  <c r="D1189" i="1"/>
  <c r="C1189" i="1"/>
  <c r="B1189" i="1"/>
  <c r="A1189" i="1"/>
  <c r="H1188" i="1"/>
  <c r="G1188" i="1"/>
  <c r="D1188" i="1"/>
  <c r="C1188" i="1"/>
  <c r="B1188" i="1"/>
  <c r="A1188" i="1"/>
  <c r="H1187" i="1"/>
  <c r="G1187" i="1"/>
  <c r="D1187" i="1"/>
  <c r="C1187" i="1"/>
  <c r="B1187" i="1"/>
  <c r="A1187" i="1"/>
  <c r="H1186" i="1"/>
  <c r="G1186" i="1"/>
  <c r="D1186" i="1"/>
  <c r="C1186" i="1"/>
  <c r="B1186" i="1"/>
  <c r="A1186" i="1"/>
  <c r="H1185" i="1"/>
  <c r="G1185" i="1"/>
  <c r="D1185" i="1"/>
  <c r="C1185" i="1"/>
  <c r="B1185" i="1"/>
  <c r="A1185" i="1"/>
  <c r="H1184" i="1"/>
  <c r="G1184" i="1"/>
  <c r="D1184" i="1"/>
  <c r="C1184" i="1"/>
  <c r="B1184" i="1"/>
  <c r="A1184" i="1"/>
  <c r="H1183" i="1"/>
  <c r="G1183" i="1"/>
  <c r="D1183" i="1"/>
  <c r="C1183" i="1"/>
  <c r="B1183" i="1"/>
  <c r="A1183" i="1"/>
  <c r="H1182" i="1"/>
  <c r="G1182" i="1"/>
  <c r="D1182" i="1"/>
  <c r="C1182" i="1"/>
  <c r="B1182" i="1"/>
  <c r="A1182" i="1"/>
  <c r="H1181" i="1"/>
  <c r="G1181" i="1"/>
  <c r="D1181" i="1"/>
  <c r="C1181" i="1"/>
  <c r="B1181" i="1"/>
  <c r="A1181" i="1"/>
  <c r="H1180" i="1"/>
  <c r="G1180" i="1"/>
  <c r="D1180" i="1"/>
  <c r="C1180" i="1"/>
  <c r="B1180" i="1"/>
  <c r="A1180" i="1"/>
  <c r="H1179" i="1"/>
  <c r="G1179" i="1"/>
  <c r="D1179" i="1"/>
  <c r="C1179" i="1"/>
  <c r="B1179" i="1"/>
  <c r="A1179" i="1"/>
  <c r="H1178" i="1"/>
  <c r="G1178" i="1"/>
  <c r="D1178" i="1"/>
  <c r="C1178" i="1"/>
  <c r="B1178" i="1"/>
  <c r="A1178" i="1"/>
  <c r="H1177" i="1"/>
  <c r="G1177" i="1"/>
  <c r="D1177" i="1"/>
  <c r="C1177" i="1"/>
  <c r="B1177" i="1"/>
  <c r="A1177" i="1"/>
  <c r="H1176" i="1"/>
  <c r="G1176" i="1"/>
  <c r="D1176" i="1"/>
  <c r="C1176" i="1"/>
  <c r="B1176" i="1"/>
  <c r="A1176" i="1"/>
  <c r="H1175" i="1"/>
  <c r="G1175" i="1"/>
  <c r="D1175" i="1"/>
  <c r="C1175" i="1"/>
  <c r="B1175" i="1"/>
  <c r="A1175" i="1"/>
  <c r="H1174" i="1"/>
  <c r="G1174" i="1"/>
  <c r="D1174" i="1"/>
  <c r="C1174" i="1"/>
  <c r="B1174" i="1"/>
  <c r="A1174" i="1"/>
  <c r="H1173" i="1"/>
  <c r="G1173" i="1"/>
  <c r="D1173" i="1"/>
  <c r="C1173" i="1"/>
  <c r="B1173" i="1"/>
  <c r="A1173" i="1"/>
  <c r="H1172" i="1"/>
  <c r="G1172" i="1"/>
  <c r="D1172" i="1"/>
  <c r="C1172" i="1"/>
  <c r="B1172" i="1"/>
  <c r="A1172" i="1"/>
  <c r="H1171" i="1"/>
  <c r="G1171" i="1"/>
  <c r="D1171" i="1"/>
  <c r="C1171" i="1"/>
  <c r="B1171" i="1"/>
  <c r="A1171" i="1"/>
  <c r="H1170" i="1"/>
  <c r="G1170" i="1"/>
  <c r="D1170" i="1"/>
  <c r="C1170" i="1"/>
  <c r="B1170" i="1"/>
  <c r="A1170" i="1"/>
  <c r="H1169" i="1"/>
  <c r="G1169" i="1"/>
  <c r="D1169" i="1"/>
  <c r="C1169" i="1"/>
  <c r="B1169" i="1"/>
  <c r="A1169" i="1"/>
  <c r="H1168" i="1"/>
  <c r="G1168" i="1"/>
  <c r="D1168" i="1"/>
  <c r="C1168" i="1"/>
  <c r="B1168" i="1"/>
  <c r="A1168" i="1"/>
  <c r="H1167" i="1"/>
  <c r="G1167" i="1"/>
  <c r="D1167" i="1"/>
  <c r="C1167" i="1"/>
  <c r="B1167" i="1"/>
  <c r="A1167" i="1"/>
  <c r="H1166" i="1"/>
  <c r="G1166" i="1"/>
  <c r="D1166" i="1"/>
  <c r="C1166" i="1"/>
  <c r="B1166" i="1"/>
  <c r="A1166" i="1"/>
  <c r="H1165" i="1"/>
  <c r="G1165" i="1"/>
  <c r="D1165" i="1"/>
  <c r="C1165" i="1"/>
  <c r="B1165" i="1"/>
  <c r="A1165" i="1"/>
  <c r="H1164" i="1"/>
  <c r="G1164" i="1"/>
  <c r="D1164" i="1"/>
  <c r="C1164" i="1"/>
  <c r="B1164" i="1"/>
  <c r="A1164" i="1"/>
  <c r="H1163" i="1"/>
  <c r="G1163" i="1"/>
  <c r="D1163" i="1"/>
  <c r="C1163" i="1"/>
  <c r="B1163" i="1"/>
  <c r="A1163" i="1"/>
  <c r="H1162" i="1"/>
  <c r="G1162" i="1"/>
  <c r="D1162" i="1"/>
  <c r="C1162" i="1"/>
  <c r="B1162" i="1"/>
  <c r="A1162" i="1"/>
  <c r="H1161" i="1"/>
  <c r="G1161" i="1"/>
  <c r="D1161" i="1"/>
  <c r="C1161" i="1"/>
  <c r="B1161" i="1"/>
  <c r="A1161" i="1"/>
  <c r="H1160" i="1"/>
  <c r="G1160" i="1"/>
  <c r="D1160" i="1"/>
  <c r="C1160" i="1"/>
  <c r="B1160" i="1"/>
  <c r="A1160" i="1"/>
  <c r="H1159" i="1"/>
  <c r="G1159" i="1"/>
  <c r="D1159" i="1"/>
  <c r="C1159" i="1"/>
  <c r="B1159" i="1"/>
  <c r="A1159" i="1"/>
  <c r="H1158" i="1"/>
  <c r="G1158" i="1"/>
  <c r="D1158" i="1"/>
  <c r="C1158" i="1"/>
  <c r="B1158" i="1"/>
  <c r="A1158" i="1"/>
  <c r="H1157" i="1"/>
  <c r="G1157" i="1"/>
  <c r="D1157" i="1"/>
  <c r="C1157" i="1"/>
  <c r="B1157" i="1"/>
  <c r="A1157" i="1"/>
  <c r="H1156" i="1"/>
  <c r="G1156" i="1"/>
  <c r="D1156" i="1"/>
  <c r="C1156" i="1"/>
  <c r="B1156" i="1"/>
  <c r="A1156" i="1"/>
  <c r="H1155" i="1"/>
  <c r="G1155" i="1"/>
  <c r="D1155" i="1"/>
  <c r="C1155" i="1"/>
  <c r="B1155" i="1"/>
  <c r="A1155" i="1"/>
  <c r="H1154" i="1"/>
  <c r="G1154" i="1"/>
  <c r="D1154" i="1"/>
  <c r="C1154" i="1"/>
  <c r="B1154" i="1"/>
  <c r="A1154" i="1"/>
  <c r="H1153" i="1"/>
  <c r="G1153" i="1"/>
  <c r="D1153" i="1"/>
  <c r="C1153" i="1"/>
  <c r="B1153" i="1"/>
  <c r="A1153" i="1"/>
  <c r="H1152" i="1"/>
  <c r="G1152" i="1"/>
  <c r="D1152" i="1"/>
  <c r="C1152" i="1"/>
  <c r="B1152" i="1"/>
  <c r="A1152" i="1"/>
  <c r="H1151" i="1"/>
  <c r="G1151" i="1"/>
  <c r="D1151" i="1"/>
  <c r="C1151" i="1"/>
  <c r="B1151" i="1"/>
  <c r="A1151" i="1"/>
  <c r="H1150" i="1"/>
  <c r="G1150" i="1"/>
  <c r="D1150" i="1"/>
  <c r="C1150" i="1"/>
  <c r="B1150" i="1"/>
  <c r="A1150" i="1"/>
  <c r="H1149" i="1"/>
  <c r="G1149" i="1"/>
  <c r="D1149" i="1"/>
  <c r="C1149" i="1"/>
  <c r="B1149" i="1"/>
  <c r="A1149" i="1"/>
  <c r="H1148" i="1"/>
  <c r="G1148" i="1"/>
  <c r="D1148" i="1"/>
  <c r="C1148" i="1"/>
  <c r="B1148" i="1"/>
  <c r="A1148" i="1"/>
  <c r="H1147" i="1"/>
  <c r="G1147" i="1"/>
  <c r="D1147" i="1"/>
  <c r="C1147" i="1"/>
  <c r="B1147" i="1"/>
  <c r="A1147" i="1"/>
  <c r="H1146" i="1"/>
  <c r="G1146" i="1"/>
  <c r="D1146" i="1"/>
  <c r="C1146" i="1"/>
  <c r="B1146" i="1"/>
  <c r="A1146" i="1"/>
  <c r="H1145" i="1"/>
  <c r="G1145" i="1"/>
  <c r="D1145" i="1"/>
  <c r="C1145" i="1"/>
  <c r="B1145" i="1"/>
  <c r="A1145" i="1"/>
  <c r="H1144" i="1"/>
  <c r="G1144" i="1"/>
  <c r="D1144" i="1"/>
  <c r="C1144" i="1"/>
  <c r="B1144" i="1"/>
  <c r="A1144" i="1"/>
  <c r="H1143" i="1"/>
  <c r="G1143" i="1"/>
  <c r="D1143" i="1"/>
  <c r="C1143" i="1"/>
  <c r="B1143" i="1"/>
  <c r="A1143" i="1"/>
  <c r="H1142" i="1"/>
  <c r="G1142" i="1"/>
  <c r="D1142" i="1"/>
  <c r="C1142" i="1"/>
  <c r="B1142" i="1"/>
  <c r="A1142" i="1"/>
  <c r="H1141" i="1"/>
  <c r="G1141" i="1"/>
  <c r="D1141" i="1"/>
  <c r="C1141" i="1"/>
  <c r="B1141" i="1"/>
  <c r="A1141" i="1"/>
  <c r="H1140" i="1"/>
  <c r="G1140" i="1"/>
  <c r="D1140" i="1"/>
  <c r="C1140" i="1"/>
  <c r="B1140" i="1"/>
  <c r="A1140" i="1"/>
  <c r="H1139" i="1"/>
  <c r="G1139" i="1"/>
  <c r="D1139" i="1"/>
  <c r="C1139" i="1"/>
  <c r="B1139" i="1"/>
  <c r="A1139" i="1"/>
  <c r="H1138" i="1"/>
  <c r="G1138" i="1"/>
  <c r="D1138" i="1"/>
  <c r="C1138" i="1"/>
  <c r="B1138" i="1"/>
  <c r="A1138" i="1"/>
  <c r="H1137" i="1"/>
  <c r="G1137" i="1"/>
  <c r="D1137" i="1"/>
  <c r="C1137" i="1"/>
  <c r="B1137" i="1"/>
  <c r="A1137" i="1"/>
  <c r="H1136" i="1"/>
  <c r="G1136" i="1"/>
  <c r="D1136" i="1"/>
  <c r="C1136" i="1"/>
  <c r="B1136" i="1"/>
  <c r="A1136" i="1"/>
  <c r="H1135" i="1"/>
  <c r="G1135" i="1"/>
  <c r="D1135" i="1"/>
  <c r="C1135" i="1"/>
  <c r="B1135" i="1"/>
  <c r="A1135" i="1"/>
  <c r="H1134" i="1"/>
  <c r="G1134" i="1"/>
  <c r="D1134" i="1"/>
  <c r="C1134" i="1"/>
  <c r="B1134" i="1"/>
  <c r="A1134" i="1"/>
  <c r="H1133" i="1"/>
  <c r="G1133" i="1"/>
  <c r="D1133" i="1"/>
  <c r="C1133" i="1"/>
  <c r="B1133" i="1"/>
  <c r="A1133" i="1"/>
  <c r="H1132" i="1"/>
  <c r="G1132" i="1"/>
  <c r="D1132" i="1"/>
  <c r="C1132" i="1"/>
  <c r="B1132" i="1"/>
  <c r="A1132" i="1"/>
  <c r="H1131" i="1"/>
  <c r="G1131" i="1"/>
  <c r="D1131" i="1"/>
  <c r="C1131" i="1"/>
  <c r="B1131" i="1"/>
  <c r="A1131" i="1"/>
  <c r="H1130" i="1"/>
  <c r="G1130" i="1"/>
  <c r="D1130" i="1"/>
  <c r="C1130" i="1"/>
  <c r="B1130" i="1"/>
  <c r="A1130" i="1"/>
  <c r="H1129" i="1"/>
  <c r="G1129" i="1"/>
  <c r="D1129" i="1"/>
  <c r="C1129" i="1"/>
  <c r="B1129" i="1"/>
  <c r="A1129" i="1"/>
  <c r="H1128" i="1"/>
  <c r="G1128" i="1"/>
  <c r="D1128" i="1"/>
  <c r="C1128" i="1"/>
  <c r="B1128" i="1"/>
  <c r="A1128" i="1"/>
  <c r="H1127" i="1"/>
  <c r="G1127" i="1"/>
  <c r="D1127" i="1"/>
  <c r="C1127" i="1"/>
  <c r="B1127" i="1"/>
  <c r="A1127" i="1"/>
  <c r="H1126" i="1"/>
  <c r="G1126" i="1"/>
  <c r="D1126" i="1"/>
  <c r="C1126" i="1"/>
  <c r="B1126" i="1"/>
  <c r="A1126" i="1"/>
  <c r="H1125" i="1"/>
  <c r="G1125" i="1"/>
  <c r="D1125" i="1"/>
  <c r="C1125" i="1"/>
  <c r="B1125" i="1"/>
  <c r="A1125" i="1"/>
  <c r="H1124" i="1"/>
  <c r="G1124" i="1"/>
  <c r="D1124" i="1"/>
  <c r="C1124" i="1"/>
  <c r="B1124" i="1"/>
  <c r="A1124" i="1"/>
  <c r="H1123" i="1"/>
  <c r="G1123" i="1"/>
  <c r="D1123" i="1"/>
  <c r="C1123" i="1"/>
  <c r="B1123" i="1"/>
  <c r="A1123" i="1"/>
  <c r="H1122" i="1"/>
  <c r="G1122" i="1"/>
  <c r="D1122" i="1"/>
  <c r="C1122" i="1"/>
  <c r="B1122" i="1"/>
  <c r="A1122" i="1"/>
  <c r="H1121" i="1"/>
  <c r="G1121" i="1"/>
  <c r="D1121" i="1"/>
  <c r="C1121" i="1"/>
  <c r="B1121" i="1"/>
  <c r="A1121" i="1"/>
  <c r="H1120" i="1"/>
  <c r="G1120" i="1"/>
  <c r="D1120" i="1"/>
  <c r="C1120" i="1"/>
  <c r="B1120" i="1"/>
  <c r="A1120" i="1"/>
  <c r="H1119" i="1"/>
  <c r="G1119" i="1"/>
  <c r="D1119" i="1"/>
  <c r="C1119" i="1"/>
  <c r="B1119" i="1"/>
  <c r="A1119" i="1"/>
  <c r="H1118" i="1"/>
  <c r="G1118" i="1"/>
  <c r="D1118" i="1"/>
  <c r="C1118" i="1"/>
  <c r="B1118" i="1"/>
  <c r="A1118" i="1"/>
  <c r="H1117" i="1"/>
  <c r="G1117" i="1"/>
  <c r="D1117" i="1"/>
  <c r="C1117" i="1"/>
  <c r="B1117" i="1"/>
  <c r="A1117" i="1"/>
  <c r="H1116" i="1"/>
  <c r="G1116" i="1"/>
  <c r="D1116" i="1"/>
  <c r="C1116" i="1"/>
  <c r="B1116" i="1"/>
  <c r="A1116" i="1"/>
  <c r="H1115" i="1"/>
  <c r="G1115" i="1"/>
  <c r="D1115" i="1"/>
  <c r="C1115" i="1"/>
  <c r="B1115" i="1"/>
  <c r="A1115" i="1"/>
  <c r="H1114" i="1"/>
  <c r="G1114" i="1"/>
  <c r="D1114" i="1"/>
  <c r="C1114" i="1"/>
  <c r="B1114" i="1"/>
  <c r="A1114" i="1"/>
  <c r="H1113" i="1"/>
  <c r="G1113" i="1"/>
  <c r="D1113" i="1"/>
  <c r="C1113" i="1"/>
  <c r="B1113" i="1"/>
  <c r="A1113" i="1"/>
  <c r="H1112" i="1"/>
  <c r="G1112" i="1"/>
  <c r="D1112" i="1"/>
  <c r="C1112" i="1"/>
  <c r="B1112" i="1"/>
  <c r="A1112" i="1"/>
  <c r="H1111" i="1"/>
  <c r="G1111" i="1"/>
  <c r="D1111" i="1"/>
  <c r="C1111" i="1"/>
  <c r="B1111" i="1"/>
  <c r="A1111" i="1"/>
  <c r="H1110" i="1"/>
  <c r="G1110" i="1"/>
  <c r="D1110" i="1"/>
  <c r="C1110" i="1"/>
  <c r="B1110" i="1"/>
  <c r="A1110" i="1"/>
  <c r="H1109" i="1"/>
  <c r="G1109" i="1"/>
  <c r="D1109" i="1"/>
  <c r="C1109" i="1"/>
  <c r="B1109" i="1"/>
  <c r="A1109" i="1"/>
  <c r="H1108" i="1"/>
  <c r="G1108" i="1"/>
  <c r="D1108" i="1"/>
  <c r="C1108" i="1"/>
  <c r="B1108" i="1"/>
  <c r="A1108" i="1"/>
  <c r="H1107" i="1"/>
  <c r="G1107" i="1"/>
  <c r="D1107" i="1"/>
  <c r="C1107" i="1"/>
  <c r="B1107" i="1"/>
  <c r="A1107" i="1"/>
  <c r="H1106" i="1"/>
  <c r="G1106" i="1"/>
  <c r="D1106" i="1"/>
  <c r="C1106" i="1"/>
  <c r="B1106" i="1"/>
  <c r="A1106" i="1"/>
  <c r="H1105" i="1"/>
  <c r="G1105" i="1"/>
  <c r="D1105" i="1"/>
  <c r="C1105" i="1"/>
  <c r="B1105" i="1"/>
  <c r="A1105" i="1"/>
  <c r="H1104" i="1"/>
  <c r="G1104" i="1"/>
  <c r="D1104" i="1"/>
  <c r="C1104" i="1"/>
  <c r="B1104" i="1"/>
  <c r="A1104" i="1"/>
  <c r="H1103" i="1"/>
  <c r="G1103" i="1"/>
  <c r="D1103" i="1"/>
  <c r="C1103" i="1"/>
  <c r="B1103" i="1"/>
  <c r="A1103" i="1"/>
  <c r="H1102" i="1"/>
  <c r="G1102" i="1"/>
  <c r="D1102" i="1"/>
  <c r="C1102" i="1"/>
  <c r="B1102" i="1"/>
  <c r="A1102" i="1"/>
  <c r="H1101" i="1"/>
  <c r="G1101" i="1"/>
  <c r="D1101" i="1"/>
  <c r="C1101" i="1"/>
  <c r="B1101" i="1"/>
  <c r="A1101" i="1"/>
  <c r="H1100" i="1"/>
  <c r="G1100" i="1"/>
  <c r="D1100" i="1"/>
  <c r="C1100" i="1"/>
  <c r="B1100" i="1"/>
  <c r="A1100" i="1"/>
  <c r="H1099" i="1"/>
  <c r="G1099" i="1"/>
  <c r="D1099" i="1"/>
  <c r="C1099" i="1"/>
  <c r="B1099" i="1"/>
  <c r="A1099" i="1"/>
  <c r="H1098" i="1"/>
  <c r="G1098" i="1"/>
  <c r="D1098" i="1"/>
  <c r="C1098" i="1"/>
  <c r="B1098" i="1"/>
  <c r="A1098" i="1"/>
  <c r="H1097" i="1"/>
  <c r="G1097" i="1"/>
  <c r="D1097" i="1"/>
  <c r="C1097" i="1"/>
  <c r="B1097" i="1"/>
  <c r="A1097" i="1"/>
  <c r="H1096" i="1"/>
  <c r="G1096" i="1"/>
  <c r="D1096" i="1"/>
  <c r="C1096" i="1"/>
  <c r="B1096" i="1"/>
  <c r="A1096" i="1"/>
  <c r="H1095" i="1"/>
  <c r="G1095" i="1"/>
  <c r="D1095" i="1"/>
  <c r="C1095" i="1"/>
  <c r="B1095" i="1"/>
  <c r="A1095" i="1"/>
  <c r="H1094" i="1"/>
  <c r="G1094" i="1"/>
  <c r="D1094" i="1"/>
  <c r="C1094" i="1"/>
  <c r="B1094" i="1"/>
  <c r="A1094" i="1"/>
  <c r="H1093" i="1"/>
  <c r="G1093" i="1"/>
  <c r="D1093" i="1"/>
  <c r="C1093" i="1"/>
  <c r="B1093" i="1"/>
  <c r="A1093" i="1"/>
  <c r="H1092" i="1"/>
  <c r="G1092" i="1"/>
  <c r="D1092" i="1"/>
  <c r="C1092" i="1"/>
  <c r="B1092" i="1"/>
  <c r="A1092" i="1"/>
  <c r="H1091" i="1"/>
  <c r="G1091" i="1"/>
  <c r="D1091" i="1"/>
  <c r="C1091" i="1"/>
  <c r="B1091" i="1"/>
  <c r="A1091" i="1"/>
  <c r="H1090" i="1"/>
  <c r="G1090" i="1"/>
  <c r="D1090" i="1"/>
  <c r="C1090" i="1"/>
  <c r="B1090" i="1"/>
  <c r="A1090" i="1"/>
  <c r="H1089" i="1"/>
  <c r="G1089" i="1"/>
  <c r="D1089" i="1"/>
  <c r="C1089" i="1"/>
  <c r="B1089" i="1"/>
  <c r="A1089" i="1"/>
  <c r="H1088" i="1"/>
  <c r="G1088" i="1"/>
  <c r="D1088" i="1"/>
  <c r="C1088" i="1"/>
  <c r="B1088" i="1"/>
  <c r="A1088" i="1"/>
  <c r="H1087" i="1"/>
  <c r="G1087" i="1"/>
  <c r="D1087" i="1"/>
  <c r="C1087" i="1"/>
  <c r="B1087" i="1"/>
  <c r="A1087" i="1"/>
  <c r="H1086" i="1"/>
  <c r="G1086" i="1"/>
  <c r="D1086" i="1"/>
  <c r="C1086" i="1"/>
  <c r="B1086" i="1"/>
  <c r="A1086" i="1"/>
  <c r="H1085" i="1"/>
  <c r="G1085" i="1"/>
  <c r="D1085" i="1"/>
  <c r="C1085" i="1"/>
  <c r="B1085" i="1"/>
  <c r="A1085" i="1"/>
  <c r="H1084" i="1"/>
  <c r="G1084" i="1"/>
  <c r="D1084" i="1"/>
  <c r="C1084" i="1"/>
  <c r="B1084" i="1"/>
  <c r="A1084" i="1"/>
  <c r="H1083" i="1"/>
  <c r="G1083" i="1"/>
  <c r="D1083" i="1"/>
  <c r="C1083" i="1"/>
  <c r="B1083" i="1"/>
  <c r="A1083" i="1"/>
  <c r="H1082" i="1"/>
  <c r="G1082" i="1"/>
  <c r="D1082" i="1"/>
  <c r="C1082" i="1"/>
  <c r="B1082" i="1"/>
  <c r="A1082" i="1"/>
  <c r="H1081" i="1"/>
  <c r="G1081" i="1"/>
  <c r="D1081" i="1"/>
  <c r="C1081" i="1"/>
  <c r="B1081" i="1"/>
  <c r="A1081" i="1"/>
  <c r="H1080" i="1"/>
  <c r="G1080" i="1"/>
  <c r="D1080" i="1"/>
  <c r="C1080" i="1"/>
  <c r="B1080" i="1"/>
  <c r="A1080" i="1"/>
  <c r="H1079" i="1"/>
  <c r="G1079" i="1"/>
  <c r="D1079" i="1"/>
  <c r="C1079" i="1"/>
  <c r="B1079" i="1"/>
  <c r="A1079" i="1"/>
  <c r="H1078" i="1"/>
  <c r="G1078" i="1"/>
  <c r="D1078" i="1"/>
  <c r="C1078" i="1"/>
  <c r="B1078" i="1"/>
  <c r="A1078" i="1"/>
  <c r="H1077" i="1"/>
  <c r="G1077" i="1"/>
  <c r="D1077" i="1"/>
  <c r="C1077" i="1"/>
  <c r="B1077" i="1"/>
  <c r="A1077" i="1"/>
  <c r="H1076" i="1"/>
  <c r="G1076" i="1"/>
  <c r="D1076" i="1"/>
  <c r="C1076" i="1"/>
  <c r="B1076" i="1"/>
  <c r="A1076" i="1"/>
  <c r="H1075" i="1"/>
  <c r="G1075" i="1"/>
  <c r="D1075" i="1"/>
  <c r="C1075" i="1"/>
  <c r="B1075" i="1"/>
  <c r="A1075" i="1"/>
  <c r="H1074" i="1"/>
  <c r="G1074" i="1"/>
  <c r="D1074" i="1"/>
  <c r="C1074" i="1"/>
  <c r="B1074" i="1"/>
  <c r="A1074" i="1"/>
  <c r="H1073" i="1"/>
  <c r="G1073" i="1"/>
  <c r="D1073" i="1"/>
  <c r="C1073" i="1"/>
  <c r="B1073" i="1"/>
  <c r="A1073" i="1"/>
  <c r="H1072" i="1"/>
  <c r="G1072" i="1"/>
  <c r="D1072" i="1"/>
  <c r="C1072" i="1"/>
  <c r="B1072" i="1"/>
  <c r="A1072" i="1"/>
  <c r="H1071" i="1"/>
  <c r="G1071" i="1"/>
  <c r="D1071" i="1"/>
  <c r="C1071" i="1"/>
  <c r="B1071" i="1"/>
  <c r="A1071" i="1"/>
  <c r="H1070" i="1"/>
  <c r="G1070" i="1"/>
  <c r="D1070" i="1"/>
  <c r="C1070" i="1"/>
  <c r="B1070" i="1"/>
  <c r="A1070" i="1"/>
  <c r="H1069" i="1"/>
  <c r="G1069" i="1"/>
  <c r="D1069" i="1"/>
  <c r="C1069" i="1"/>
  <c r="B1069" i="1"/>
  <c r="A1069" i="1"/>
  <c r="H1068" i="1"/>
  <c r="G1068" i="1"/>
  <c r="D1068" i="1"/>
  <c r="C1068" i="1"/>
  <c r="B1068" i="1"/>
  <c r="A1068" i="1"/>
  <c r="H1067" i="1"/>
  <c r="G1067" i="1"/>
  <c r="D1067" i="1"/>
  <c r="C1067" i="1"/>
  <c r="B1067" i="1"/>
  <c r="A1067" i="1"/>
  <c r="H1066" i="1"/>
  <c r="G1066" i="1"/>
  <c r="D1066" i="1"/>
  <c r="C1066" i="1"/>
  <c r="B1066" i="1"/>
  <c r="A1066" i="1"/>
  <c r="H1065" i="1"/>
  <c r="G1065" i="1"/>
  <c r="D1065" i="1"/>
  <c r="C1065" i="1"/>
  <c r="B1065" i="1"/>
  <c r="A1065" i="1"/>
  <c r="H1064" i="1"/>
  <c r="G1064" i="1"/>
  <c r="D1064" i="1"/>
  <c r="C1064" i="1"/>
  <c r="B1064" i="1"/>
  <c r="A1064" i="1"/>
  <c r="H1063" i="1"/>
  <c r="G1063" i="1"/>
  <c r="D1063" i="1"/>
  <c r="C1063" i="1"/>
  <c r="B1063" i="1"/>
  <c r="A1063" i="1"/>
  <c r="H1062" i="1"/>
  <c r="G1062" i="1"/>
  <c r="D1062" i="1"/>
  <c r="C1062" i="1"/>
  <c r="B1062" i="1"/>
  <c r="A1062" i="1"/>
  <c r="H1061" i="1"/>
  <c r="G1061" i="1"/>
  <c r="D1061" i="1"/>
  <c r="C1061" i="1"/>
  <c r="B1061" i="1"/>
  <c r="A1061" i="1"/>
  <c r="H1060" i="1"/>
  <c r="G1060" i="1"/>
  <c r="D1060" i="1"/>
  <c r="C1060" i="1"/>
  <c r="B1060" i="1"/>
  <c r="A1060" i="1"/>
  <c r="H1059" i="1"/>
  <c r="G1059" i="1"/>
  <c r="D1059" i="1"/>
  <c r="C1059" i="1"/>
  <c r="B1059" i="1"/>
  <c r="A1059" i="1"/>
  <c r="H1058" i="1"/>
  <c r="G1058" i="1"/>
  <c r="D1058" i="1"/>
  <c r="C1058" i="1"/>
  <c r="B1058" i="1"/>
  <c r="A1058" i="1"/>
  <c r="H1057" i="1"/>
  <c r="G1057" i="1"/>
  <c r="D1057" i="1"/>
  <c r="C1057" i="1"/>
  <c r="B1057" i="1"/>
  <c r="A1057" i="1"/>
  <c r="H1056" i="1"/>
  <c r="G1056" i="1"/>
  <c r="D1056" i="1"/>
  <c r="C1056" i="1"/>
  <c r="B1056" i="1"/>
  <c r="A1056" i="1"/>
  <c r="H1055" i="1"/>
  <c r="G1055" i="1"/>
  <c r="D1055" i="1"/>
  <c r="C1055" i="1"/>
  <c r="B1055" i="1"/>
  <c r="A1055" i="1"/>
  <c r="H1054" i="1"/>
  <c r="G1054" i="1"/>
  <c r="D1054" i="1"/>
  <c r="C1054" i="1"/>
  <c r="B1054" i="1"/>
  <c r="A1054" i="1"/>
  <c r="H1053" i="1"/>
  <c r="G1053" i="1"/>
  <c r="D1053" i="1"/>
  <c r="C1053" i="1"/>
  <c r="B1053" i="1"/>
  <c r="A1053" i="1"/>
  <c r="H1052" i="1"/>
  <c r="G1052" i="1"/>
  <c r="D1052" i="1"/>
  <c r="C1052" i="1"/>
  <c r="B1052" i="1"/>
  <c r="A1052" i="1"/>
  <c r="H1051" i="1"/>
  <c r="G1051" i="1"/>
  <c r="D1051" i="1"/>
  <c r="C1051" i="1"/>
  <c r="B1051" i="1"/>
  <c r="A1051" i="1"/>
  <c r="H1050" i="1"/>
  <c r="G1050" i="1"/>
  <c r="D1050" i="1"/>
  <c r="C1050" i="1"/>
  <c r="B1050" i="1"/>
  <c r="A1050" i="1"/>
  <c r="H1049" i="1"/>
  <c r="G1049" i="1"/>
  <c r="D1049" i="1"/>
  <c r="C1049" i="1"/>
  <c r="B1049" i="1"/>
  <c r="A1049" i="1"/>
  <c r="H1048" i="1"/>
  <c r="G1048" i="1"/>
  <c r="D1048" i="1"/>
  <c r="C1048" i="1"/>
  <c r="B1048" i="1"/>
  <c r="A1048" i="1"/>
  <c r="H1047" i="1"/>
  <c r="G1047" i="1"/>
  <c r="D1047" i="1"/>
  <c r="C1047" i="1"/>
  <c r="B1047" i="1"/>
  <c r="A1047" i="1"/>
  <c r="H1046" i="1"/>
  <c r="G1046" i="1"/>
  <c r="D1046" i="1"/>
  <c r="C1046" i="1"/>
  <c r="B1046" i="1"/>
  <c r="A1046" i="1"/>
  <c r="H1045" i="1"/>
  <c r="G1045" i="1"/>
  <c r="D1045" i="1"/>
  <c r="C1045" i="1"/>
  <c r="B1045" i="1"/>
  <c r="A1045" i="1"/>
  <c r="H1044" i="1"/>
  <c r="G1044" i="1"/>
  <c r="D1044" i="1"/>
  <c r="C1044" i="1"/>
  <c r="B1044" i="1"/>
  <c r="A1044" i="1"/>
  <c r="H1043" i="1"/>
  <c r="G1043" i="1"/>
  <c r="D1043" i="1"/>
  <c r="C1043" i="1"/>
  <c r="B1043" i="1"/>
  <c r="A1043" i="1"/>
  <c r="H1042" i="1"/>
  <c r="G1042" i="1"/>
  <c r="D1042" i="1"/>
  <c r="C1042" i="1"/>
  <c r="B1042" i="1"/>
  <c r="A1042" i="1"/>
  <c r="H1041" i="1"/>
  <c r="G1041" i="1"/>
  <c r="D1041" i="1"/>
  <c r="C1041" i="1"/>
  <c r="B1041" i="1"/>
  <c r="A1041" i="1"/>
  <c r="H1040" i="1"/>
  <c r="G1040" i="1"/>
  <c r="D1040" i="1"/>
  <c r="C1040" i="1"/>
  <c r="B1040" i="1"/>
  <c r="A1040" i="1"/>
  <c r="H1039" i="1"/>
  <c r="G1039" i="1"/>
  <c r="D1039" i="1"/>
  <c r="C1039" i="1"/>
  <c r="B1039" i="1"/>
  <c r="A1039" i="1"/>
  <c r="H1038" i="1"/>
  <c r="G1038" i="1"/>
  <c r="D1038" i="1"/>
  <c r="C1038" i="1"/>
  <c r="B1038" i="1"/>
  <c r="A1038" i="1"/>
  <c r="H1037" i="1"/>
  <c r="G1037" i="1"/>
  <c r="D1037" i="1"/>
  <c r="C1037" i="1"/>
  <c r="B1037" i="1"/>
  <c r="A1037" i="1"/>
  <c r="H1036" i="1"/>
  <c r="G1036" i="1"/>
  <c r="D1036" i="1"/>
  <c r="C1036" i="1"/>
  <c r="B1036" i="1"/>
  <c r="A1036" i="1"/>
  <c r="H1035" i="1"/>
  <c r="G1035" i="1"/>
  <c r="D1035" i="1"/>
  <c r="C1035" i="1"/>
  <c r="B1035" i="1"/>
  <c r="A1035" i="1"/>
  <c r="H1034" i="1"/>
  <c r="G1034" i="1"/>
  <c r="D1034" i="1"/>
  <c r="C1034" i="1"/>
  <c r="B1034" i="1"/>
  <c r="A1034" i="1"/>
  <c r="H1033" i="1"/>
  <c r="G1033" i="1"/>
  <c r="D1033" i="1"/>
  <c r="C1033" i="1"/>
  <c r="B1033" i="1"/>
  <c r="A1033" i="1"/>
  <c r="H1032" i="1"/>
  <c r="G1032" i="1"/>
  <c r="D1032" i="1"/>
  <c r="C1032" i="1"/>
  <c r="B1032" i="1"/>
  <c r="A1032" i="1"/>
  <c r="H1031" i="1"/>
  <c r="G1031" i="1"/>
  <c r="D1031" i="1"/>
  <c r="C1031" i="1"/>
  <c r="B1031" i="1"/>
  <c r="A1031" i="1"/>
  <c r="H1030" i="1"/>
  <c r="G1030" i="1"/>
  <c r="D1030" i="1"/>
  <c r="C1030" i="1"/>
  <c r="B1030" i="1"/>
  <c r="A1030" i="1"/>
  <c r="H1029" i="1"/>
  <c r="G1029" i="1"/>
  <c r="D1029" i="1"/>
  <c r="C1029" i="1"/>
  <c r="B1029" i="1"/>
  <c r="A1029" i="1"/>
  <c r="H1028" i="1"/>
  <c r="G1028" i="1"/>
  <c r="D1028" i="1"/>
  <c r="C1028" i="1"/>
  <c r="B1028" i="1"/>
  <c r="A1028" i="1"/>
  <c r="H1027" i="1"/>
  <c r="G1027" i="1"/>
  <c r="D1027" i="1"/>
  <c r="C1027" i="1"/>
  <c r="B1027" i="1"/>
  <c r="A1027" i="1"/>
  <c r="H1026" i="1"/>
  <c r="G1026" i="1"/>
  <c r="D1026" i="1"/>
  <c r="C1026" i="1"/>
  <c r="B1026" i="1"/>
  <c r="A1026" i="1"/>
  <c r="H1025" i="1"/>
  <c r="G1025" i="1"/>
  <c r="D1025" i="1"/>
  <c r="C1025" i="1"/>
  <c r="B1025" i="1"/>
  <c r="A1025" i="1"/>
  <c r="H1024" i="1"/>
  <c r="G1024" i="1"/>
  <c r="D1024" i="1"/>
  <c r="C1024" i="1"/>
  <c r="B1024" i="1"/>
  <c r="A1024" i="1"/>
  <c r="H1023" i="1"/>
  <c r="G1023" i="1"/>
  <c r="D1023" i="1"/>
  <c r="C1023" i="1"/>
  <c r="B1023" i="1"/>
  <c r="A1023" i="1"/>
  <c r="H1022" i="1"/>
  <c r="G1022" i="1"/>
  <c r="D1022" i="1"/>
  <c r="C1022" i="1"/>
  <c r="B1022" i="1"/>
  <c r="A1022" i="1"/>
  <c r="H1021" i="1"/>
  <c r="G1021" i="1"/>
  <c r="D1021" i="1"/>
  <c r="C1021" i="1"/>
  <c r="B1021" i="1"/>
  <c r="A1021" i="1"/>
  <c r="H1020" i="1"/>
  <c r="G1020" i="1"/>
  <c r="D1020" i="1"/>
  <c r="C1020" i="1"/>
  <c r="B1020" i="1"/>
  <c r="A1020" i="1"/>
  <c r="H1019" i="1"/>
  <c r="G1019" i="1"/>
  <c r="D1019" i="1"/>
  <c r="C1019" i="1"/>
  <c r="B1019" i="1"/>
  <c r="A1019" i="1"/>
  <c r="H1018" i="1"/>
  <c r="G1018" i="1"/>
  <c r="D1018" i="1"/>
  <c r="C1018" i="1"/>
  <c r="B1018" i="1"/>
  <c r="A1018" i="1"/>
  <c r="H1017" i="1"/>
  <c r="G1017" i="1"/>
  <c r="D1017" i="1"/>
  <c r="C1017" i="1"/>
  <c r="B1017" i="1"/>
  <c r="A1017" i="1"/>
  <c r="H1016" i="1"/>
  <c r="G1016" i="1"/>
  <c r="D1016" i="1"/>
  <c r="C1016" i="1"/>
  <c r="B1016" i="1"/>
  <c r="A1016" i="1"/>
  <c r="H1015" i="1"/>
  <c r="G1015" i="1"/>
  <c r="D1015" i="1"/>
  <c r="C1015" i="1"/>
  <c r="B1015" i="1"/>
  <c r="A1015" i="1"/>
  <c r="H1014" i="1"/>
  <c r="G1014" i="1"/>
  <c r="D1014" i="1"/>
  <c r="C1014" i="1"/>
  <c r="B1014" i="1"/>
  <c r="A1014" i="1"/>
  <c r="H1013" i="1"/>
  <c r="G1013" i="1"/>
  <c r="D1013" i="1"/>
  <c r="C1013" i="1"/>
  <c r="B1013" i="1"/>
  <c r="A1013" i="1"/>
  <c r="H1012" i="1"/>
  <c r="G1012" i="1"/>
  <c r="D1012" i="1"/>
  <c r="C1012" i="1"/>
  <c r="B1012" i="1"/>
  <c r="A1012" i="1"/>
  <c r="H1011" i="1"/>
  <c r="G1011" i="1"/>
  <c r="D1011" i="1"/>
  <c r="C1011" i="1"/>
  <c r="B1011" i="1"/>
  <c r="A1011" i="1"/>
  <c r="H1010" i="1"/>
  <c r="G1010" i="1"/>
  <c r="D1010" i="1"/>
  <c r="C1010" i="1"/>
  <c r="B1010" i="1"/>
  <c r="A1010" i="1"/>
  <c r="H1009" i="1"/>
  <c r="G1009" i="1"/>
  <c r="D1009" i="1"/>
  <c r="C1009" i="1"/>
  <c r="B1009" i="1"/>
  <c r="A1009" i="1"/>
  <c r="H1008" i="1"/>
  <c r="G1008" i="1"/>
  <c r="D1008" i="1"/>
  <c r="C1008" i="1"/>
  <c r="B1008" i="1"/>
  <c r="A1008" i="1"/>
  <c r="H1007" i="1"/>
  <c r="G1007" i="1"/>
  <c r="D1007" i="1"/>
  <c r="C1007" i="1"/>
  <c r="B1007" i="1"/>
  <c r="A1007" i="1"/>
  <c r="H1006" i="1"/>
  <c r="G1006" i="1"/>
  <c r="D1006" i="1"/>
  <c r="C1006" i="1"/>
  <c r="B1006" i="1"/>
  <c r="A1006" i="1"/>
  <c r="H1005" i="1"/>
  <c r="G1005" i="1"/>
  <c r="D1005" i="1"/>
  <c r="C1005" i="1"/>
  <c r="B1005" i="1"/>
  <c r="A1005" i="1"/>
  <c r="H1004" i="1"/>
  <c r="G1004" i="1"/>
  <c r="D1004" i="1"/>
  <c r="C1004" i="1"/>
  <c r="B1004" i="1"/>
  <c r="A1004" i="1"/>
  <c r="H1003" i="1"/>
  <c r="G1003" i="1"/>
  <c r="D1003" i="1"/>
  <c r="C1003" i="1"/>
  <c r="B1003" i="1"/>
  <c r="A1003" i="1"/>
  <c r="H1002" i="1"/>
  <c r="G1002" i="1"/>
  <c r="D1002" i="1"/>
  <c r="C1002" i="1"/>
  <c r="B1002" i="1"/>
  <c r="A1002" i="1"/>
  <c r="H1001" i="1"/>
  <c r="G1001" i="1"/>
  <c r="D1001" i="1"/>
  <c r="C1001" i="1"/>
  <c r="B1001" i="1"/>
  <c r="A1001" i="1"/>
  <c r="H1000" i="1"/>
  <c r="G1000" i="1"/>
  <c r="D1000" i="1"/>
  <c r="C1000" i="1"/>
  <c r="B1000" i="1"/>
  <c r="A1000" i="1"/>
  <c r="H999" i="1"/>
  <c r="G999" i="1"/>
  <c r="D999" i="1"/>
  <c r="C999" i="1"/>
  <c r="B999" i="1"/>
  <c r="A999" i="1"/>
  <c r="H998" i="1"/>
  <c r="G998" i="1"/>
  <c r="D998" i="1"/>
  <c r="C998" i="1"/>
  <c r="B998" i="1"/>
  <c r="A998" i="1"/>
  <c r="H997" i="1"/>
  <c r="G997" i="1"/>
  <c r="D997" i="1"/>
  <c r="C997" i="1"/>
  <c r="B997" i="1"/>
  <c r="A997" i="1"/>
  <c r="H996" i="1"/>
  <c r="G996" i="1"/>
  <c r="D996" i="1"/>
  <c r="C996" i="1"/>
  <c r="B996" i="1"/>
  <c r="A996" i="1"/>
  <c r="H995" i="1"/>
  <c r="G995" i="1"/>
  <c r="D995" i="1"/>
  <c r="C995" i="1"/>
  <c r="B995" i="1"/>
  <c r="A995" i="1"/>
  <c r="H994" i="1"/>
  <c r="G994" i="1"/>
  <c r="D994" i="1"/>
  <c r="C994" i="1"/>
  <c r="B994" i="1"/>
  <c r="A994" i="1"/>
  <c r="H993" i="1"/>
  <c r="G993" i="1"/>
  <c r="D993" i="1"/>
  <c r="C993" i="1"/>
  <c r="B993" i="1"/>
  <c r="A993" i="1"/>
  <c r="H992" i="1"/>
  <c r="G992" i="1"/>
  <c r="D992" i="1"/>
  <c r="C992" i="1"/>
  <c r="B992" i="1"/>
  <c r="A992" i="1"/>
  <c r="H991" i="1"/>
  <c r="G991" i="1"/>
  <c r="D991" i="1"/>
  <c r="C991" i="1"/>
  <c r="B991" i="1"/>
  <c r="A991" i="1"/>
  <c r="H990" i="1"/>
  <c r="G990" i="1"/>
  <c r="D990" i="1"/>
  <c r="C990" i="1"/>
  <c r="B990" i="1"/>
  <c r="A990" i="1"/>
  <c r="H989" i="1"/>
  <c r="G989" i="1"/>
  <c r="D989" i="1"/>
  <c r="C989" i="1"/>
  <c r="B989" i="1"/>
  <c r="A989" i="1"/>
  <c r="H988" i="1"/>
  <c r="G988" i="1"/>
  <c r="D988" i="1"/>
  <c r="C988" i="1"/>
  <c r="B988" i="1"/>
  <c r="A988" i="1"/>
  <c r="H987" i="1"/>
  <c r="G987" i="1"/>
  <c r="D987" i="1"/>
  <c r="C987" i="1"/>
  <c r="B987" i="1"/>
  <c r="A987" i="1"/>
  <c r="H986" i="1"/>
  <c r="G986" i="1"/>
  <c r="D986" i="1"/>
  <c r="C986" i="1"/>
  <c r="B986" i="1"/>
  <c r="A986" i="1"/>
  <c r="H985" i="1"/>
  <c r="G985" i="1"/>
  <c r="D985" i="1"/>
  <c r="C985" i="1"/>
  <c r="B985" i="1"/>
  <c r="A985" i="1"/>
  <c r="H984" i="1"/>
  <c r="G984" i="1"/>
  <c r="D984" i="1"/>
  <c r="C984" i="1"/>
  <c r="B984" i="1"/>
  <c r="A984" i="1"/>
  <c r="H983" i="1"/>
  <c r="G983" i="1"/>
  <c r="D983" i="1"/>
  <c r="C983" i="1"/>
  <c r="B983" i="1"/>
  <c r="A983" i="1"/>
  <c r="H982" i="1"/>
  <c r="G982" i="1"/>
  <c r="D982" i="1"/>
  <c r="C982" i="1"/>
  <c r="B982" i="1"/>
  <c r="A982" i="1"/>
  <c r="H981" i="1"/>
  <c r="G981" i="1"/>
  <c r="D981" i="1"/>
  <c r="C981" i="1"/>
  <c r="B981" i="1"/>
  <c r="A981" i="1"/>
  <c r="H980" i="1"/>
  <c r="G980" i="1"/>
  <c r="D980" i="1"/>
  <c r="C980" i="1"/>
  <c r="B980" i="1"/>
  <c r="A980" i="1"/>
  <c r="H979" i="1"/>
  <c r="G979" i="1"/>
  <c r="D979" i="1"/>
  <c r="C979" i="1"/>
  <c r="B979" i="1"/>
  <c r="A979" i="1"/>
  <c r="H978" i="1"/>
  <c r="G978" i="1"/>
  <c r="D978" i="1"/>
  <c r="C978" i="1"/>
  <c r="B978" i="1"/>
  <c r="A978" i="1"/>
  <c r="H977" i="1"/>
  <c r="G977" i="1"/>
  <c r="D977" i="1"/>
  <c r="C977" i="1"/>
  <c r="B977" i="1"/>
  <c r="A977" i="1"/>
  <c r="H976" i="1"/>
  <c r="G976" i="1"/>
  <c r="D976" i="1"/>
  <c r="C976" i="1"/>
  <c r="B976" i="1"/>
  <c r="A976" i="1"/>
  <c r="H975" i="1"/>
  <c r="G975" i="1"/>
  <c r="D975" i="1"/>
  <c r="C975" i="1"/>
  <c r="B975" i="1"/>
  <c r="A975" i="1"/>
  <c r="H974" i="1"/>
  <c r="G974" i="1"/>
  <c r="D974" i="1"/>
  <c r="C974" i="1"/>
  <c r="B974" i="1"/>
  <c r="A974" i="1"/>
  <c r="H973" i="1"/>
  <c r="G973" i="1"/>
  <c r="D973" i="1"/>
  <c r="C973" i="1"/>
  <c r="B973" i="1"/>
  <c r="A973" i="1"/>
  <c r="H972" i="1"/>
  <c r="G972" i="1"/>
  <c r="D972" i="1"/>
  <c r="C972" i="1"/>
  <c r="B972" i="1"/>
  <c r="A972" i="1"/>
  <c r="H971" i="1"/>
  <c r="G971" i="1"/>
  <c r="D971" i="1"/>
  <c r="C971" i="1"/>
  <c r="B971" i="1"/>
  <c r="A971" i="1"/>
  <c r="H970" i="1"/>
  <c r="G970" i="1"/>
  <c r="D970" i="1"/>
  <c r="C970" i="1"/>
  <c r="B970" i="1"/>
  <c r="A970" i="1"/>
  <c r="H969" i="1"/>
  <c r="G969" i="1"/>
  <c r="D969" i="1"/>
  <c r="C969" i="1"/>
  <c r="B969" i="1"/>
  <c r="A969" i="1"/>
  <c r="H968" i="1"/>
  <c r="G968" i="1"/>
  <c r="D968" i="1"/>
  <c r="C968" i="1"/>
  <c r="B968" i="1"/>
  <c r="A968" i="1"/>
  <c r="H967" i="1"/>
  <c r="G967" i="1"/>
  <c r="D967" i="1"/>
  <c r="C967" i="1"/>
  <c r="B967" i="1"/>
  <c r="A967" i="1"/>
  <c r="H966" i="1"/>
  <c r="G966" i="1"/>
  <c r="D966" i="1"/>
  <c r="C966" i="1"/>
  <c r="B966" i="1"/>
  <c r="A966" i="1"/>
  <c r="H965" i="1"/>
  <c r="G965" i="1"/>
  <c r="D965" i="1"/>
  <c r="C965" i="1"/>
  <c r="B965" i="1"/>
  <c r="A965" i="1"/>
  <c r="H964" i="1"/>
  <c r="G964" i="1"/>
  <c r="D964" i="1"/>
  <c r="C964" i="1"/>
  <c r="B964" i="1"/>
  <c r="A964" i="1"/>
  <c r="H963" i="1"/>
  <c r="G963" i="1"/>
  <c r="D963" i="1"/>
  <c r="C963" i="1"/>
  <c r="B963" i="1"/>
  <c r="A963" i="1"/>
  <c r="H962" i="1"/>
  <c r="G962" i="1"/>
  <c r="D962" i="1"/>
  <c r="C962" i="1"/>
  <c r="B962" i="1"/>
  <c r="A962" i="1"/>
  <c r="H961" i="1"/>
  <c r="G961" i="1"/>
  <c r="D961" i="1"/>
  <c r="C961" i="1"/>
  <c r="B961" i="1"/>
  <c r="A961" i="1"/>
  <c r="H960" i="1"/>
  <c r="G960" i="1"/>
  <c r="D960" i="1"/>
  <c r="C960" i="1"/>
  <c r="B960" i="1"/>
  <c r="A960" i="1"/>
  <c r="H959" i="1"/>
  <c r="G959" i="1"/>
  <c r="D959" i="1"/>
  <c r="C959" i="1"/>
  <c r="B959" i="1"/>
  <c r="A959" i="1"/>
  <c r="H958" i="1"/>
  <c r="G958" i="1"/>
  <c r="D958" i="1"/>
  <c r="C958" i="1"/>
  <c r="B958" i="1"/>
  <c r="A958" i="1"/>
  <c r="H957" i="1"/>
  <c r="G957" i="1"/>
  <c r="D957" i="1"/>
  <c r="C957" i="1"/>
  <c r="B957" i="1"/>
  <c r="A957" i="1"/>
  <c r="H956" i="1"/>
  <c r="G956" i="1"/>
  <c r="D956" i="1"/>
  <c r="C956" i="1"/>
  <c r="B956" i="1"/>
  <c r="A956" i="1"/>
  <c r="H955" i="1"/>
  <c r="G955" i="1"/>
  <c r="D955" i="1"/>
  <c r="C955" i="1"/>
  <c r="B955" i="1"/>
  <c r="A955" i="1"/>
  <c r="H954" i="1"/>
  <c r="G954" i="1"/>
  <c r="D954" i="1"/>
  <c r="C954" i="1"/>
  <c r="B954" i="1"/>
  <c r="A954" i="1"/>
  <c r="H953" i="1"/>
  <c r="G953" i="1"/>
  <c r="D953" i="1"/>
  <c r="C953" i="1"/>
  <c r="B953" i="1"/>
  <c r="A953" i="1"/>
  <c r="H952" i="1"/>
  <c r="G952" i="1"/>
  <c r="D952" i="1"/>
  <c r="C952" i="1"/>
  <c r="B952" i="1"/>
  <c r="A952" i="1"/>
  <c r="H951" i="1"/>
  <c r="G951" i="1"/>
  <c r="D951" i="1"/>
  <c r="C951" i="1"/>
  <c r="B951" i="1"/>
  <c r="A951" i="1"/>
  <c r="H950" i="1"/>
  <c r="G950" i="1"/>
  <c r="D950" i="1"/>
  <c r="C950" i="1"/>
  <c r="B950" i="1"/>
  <c r="A950" i="1"/>
  <c r="H949" i="1"/>
  <c r="G949" i="1"/>
  <c r="D949" i="1"/>
  <c r="C949" i="1"/>
  <c r="B949" i="1"/>
  <c r="A949" i="1"/>
  <c r="H948" i="1"/>
  <c r="G948" i="1"/>
  <c r="D948" i="1"/>
  <c r="C948" i="1"/>
  <c r="B948" i="1"/>
  <c r="A948" i="1"/>
  <c r="H947" i="1"/>
  <c r="G947" i="1"/>
  <c r="D947" i="1"/>
  <c r="C947" i="1"/>
  <c r="B947" i="1"/>
  <c r="A947" i="1"/>
  <c r="H946" i="1"/>
  <c r="G946" i="1"/>
  <c r="D946" i="1"/>
  <c r="C946" i="1"/>
  <c r="B946" i="1"/>
  <c r="A946" i="1"/>
  <c r="H945" i="1"/>
  <c r="G945" i="1"/>
  <c r="D945" i="1"/>
  <c r="C945" i="1"/>
  <c r="B945" i="1"/>
  <c r="A945" i="1"/>
  <c r="H944" i="1"/>
  <c r="G944" i="1"/>
  <c r="D944" i="1"/>
  <c r="C944" i="1"/>
  <c r="B944" i="1"/>
  <c r="A944" i="1"/>
  <c r="H943" i="1"/>
  <c r="G943" i="1"/>
  <c r="D943" i="1"/>
  <c r="C943" i="1"/>
  <c r="B943" i="1"/>
  <c r="A943" i="1"/>
  <c r="H942" i="1"/>
  <c r="G942" i="1"/>
  <c r="D942" i="1"/>
  <c r="C942" i="1"/>
  <c r="B942" i="1"/>
  <c r="A942" i="1"/>
  <c r="H941" i="1"/>
  <c r="G941" i="1"/>
  <c r="D941" i="1"/>
  <c r="C941" i="1"/>
  <c r="B941" i="1"/>
  <c r="A941" i="1"/>
  <c r="H940" i="1"/>
  <c r="G940" i="1"/>
  <c r="D940" i="1"/>
  <c r="C940" i="1"/>
  <c r="B940" i="1"/>
  <c r="A940" i="1"/>
  <c r="H939" i="1"/>
  <c r="G939" i="1"/>
  <c r="D939" i="1"/>
  <c r="C939" i="1"/>
  <c r="B939" i="1"/>
  <c r="A939" i="1"/>
  <c r="H938" i="1"/>
  <c r="G938" i="1"/>
  <c r="D938" i="1"/>
  <c r="C938" i="1"/>
  <c r="B938" i="1"/>
  <c r="A938" i="1"/>
  <c r="H937" i="1"/>
  <c r="G937" i="1"/>
  <c r="D937" i="1"/>
  <c r="C937" i="1"/>
  <c r="B937" i="1"/>
  <c r="A937" i="1"/>
  <c r="H936" i="1"/>
  <c r="G936" i="1"/>
  <c r="D936" i="1"/>
  <c r="C936" i="1"/>
  <c r="B936" i="1"/>
  <c r="A936" i="1"/>
  <c r="H935" i="1"/>
  <c r="G935" i="1"/>
  <c r="D935" i="1"/>
  <c r="C935" i="1"/>
  <c r="B935" i="1"/>
  <c r="A935" i="1"/>
  <c r="H934" i="1"/>
  <c r="G934" i="1"/>
  <c r="D934" i="1"/>
  <c r="C934" i="1"/>
  <c r="B934" i="1"/>
  <c r="A934" i="1"/>
  <c r="H933" i="1"/>
  <c r="G933" i="1"/>
  <c r="D933" i="1"/>
  <c r="C933" i="1"/>
  <c r="B933" i="1"/>
  <c r="A933" i="1"/>
  <c r="H932" i="1"/>
  <c r="G932" i="1"/>
  <c r="D932" i="1"/>
  <c r="C932" i="1"/>
  <c r="B932" i="1"/>
  <c r="A932" i="1"/>
  <c r="H931" i="1"/>
  <c r="G931" i="1"/>
  <c r="D931" i="1"/>
  <c r="C931" i="1"/>
  <c r="B931" i="1"/>
  <c r="A931" i="1"/>
  <c r="H930" i="1"/>
  <c r="G930" i="1"/>
  <c r="D930" i="1"/>
  <c r="C930" i="1"/>
  <c r="B930" i="1"/>
  <c r="A930" i="1"/>
  <c r="H929" i="1"/>
  <c r="G929" i="1"/>
  <c r="D929" i="1"/>
  <c r="C929" i="1"/>
  <c r="B929" i="1"/>
  <c r="A929" i="1"/>
  <c r="H928" i="1"/>
  <c r="G928" i="1"/>
  <c r="D928" i="1"/>
  <c r="C928" i="1"/>
  <c r="B928" i="1"/>
  <c r="A928" i="1"/>
  <c r="H927" i="1"/>
  <c r="G927" i="1"/>
  <c r="D927" i="1"/>
  <c r="C927" i="1"/>
  <c r="B927" i="1"/>
  <c r="A927" i="1"/>
  <c r="H926" i="1"/>
  <c r="G926" i="1"/>
  <c r="D926" i="1"/>
  <c r="C926" i="1"/>
  <c r="B926" i="1"/>
  <c r="A926" i="1"/>
  <c r="H925" i="1"/>
  <c r="G925" i="1"/>
  <c r="D925" i="1"/>
  <c r="C925" i="1"/>
  <c r="B925" i="1"/>
  <c r="A925" i="1"/>
  <c r="H924" i="1"/>
  <c r="G924" i="1"/>
  <c r="D924" i="1"/>
  <c r="C924" i="1"/>
  <c r="B924" i="1"/>
  <c r="A924" i="1"/>
  <c r="H923" i="1"/>
  <c r="G923" i="1"/>
  <c r="D923" i="1"/>
  <c r="C923" i="1"/>
  <c r="B923" i="1"/>
  <c r="A923" i="1"/>
  <c r="H922" i="1"/>
  <c r="G922" i="1"/>
  <c r="D922" i="1"/>
  <c r="C922" i="1"/>
  <c r="B922" i="1"/>
  <c r="A922" i="1"/>
  <c r="H921" i="1"/>
  <c r="G921" i="1"/>
  <c r="D921" i="1"/>
  <c r="C921" i="1"/>
  <c r="B921" i="1"/>
  <c r="A921" i="1"/>
  <c r="H920" i="1"/>
  <c r="G920" i="1"/>
  <c r="D920" i="1"/>
  <c r="C920" i="1"/>
  <c r="B920" i="1"/>
  <c r="A920" i="1"/>
  <c r="H919" i="1"/>
  <c r="G919" i="1"/>
  <c r="D919" i="1"/>
  <c r="C919" i="1"/>
  <c r="B919" i="1"/>
  <c r="A919" i="1"/>
  <c r="H918" i="1"/>
  <c r="G918" i="1"/>
  <c r="D918" i="1"/>
  <c r="C918" i="1"/>
  <c r="B918" i="1"/>
  <c r="A918" i="1"/>
  <c r="H917" i="1"/>
  <c r="G917" i="1"/>
  <c r="D917" i="1"/>
  <c r="C917" i="1"/>
  <c r="B917" i="1"/>
  <c r="A917" i="1"/>
  <c r="H916" i="1"/>
  <c r="G916" i="1"/>
  <c r="D916" i="1"/>
  <c r="C916" i="1"/>
  <c r="B916" i="1"/>
  <c r="A916" i="1"/>
  <c r="H915" i="1"/>
  <c r="G915" i="1"/>
  <c r="D915" i="1"/>
  <c r="C915" i="1"/>
  <c r="B915" i="1"/>
  <c r="A915" i="1"/>
  <c r="H914" i="1"/>
  <c r="G914" i="1"/>
  <c r="D914" i="1"/>
  <c r="C914" i="1"/>
  <c r="B914" i="1"/>
  <c r="A914" i="1"/>
  <c r="H913" i="1"/>
  <c r="G913" i="1"/>
  <c r="D913" i="1"/>
  <c r="C913" i="1"/>
  <c r="B913" i="1"/>
  <c r="A913" i="1"/>
  <c r="H912" i="1"/>
  <c r="G912" i="1"/>
  <c r="D912" i="1"/>
  <c r="C912" i="1"/>
  <c r="B912" i="1"/>
  <c r="A912" i="1"/>
  <c r="H911" i="1"/>
  <c r="G911" i="1"/>
  <c r="D911" i="1"/>
  <c r="C911" i="1"/>
  <c r="B911" i="1"/>
  <c r="A911" i="1"/>
  <c r="H910" i="1"/>
  <c r="G910" i="1"/>
  <c r="D910" i="1"/>
  <c r="C910" i="1"/>
  <c r="B910" i="1"/>
  <c r="A910" i="1"/>
  <c r="H909" i="1"/>
  <c r="G909" i="1"/>
  <c r="D909" i="1"/>
  <c r="C909" i="1"/>
  <c r="B909" i="1"/>
  <c r="A909" i="1"/>
  <c r="H908" i="1"/>
  <c r="G908" i="1"/>
  <c r="D908" i="1"/>
  <c r="C908" i="1"/>
  <c r="B908" i="1"/>
  <c r="A908" i="1"/>
  <c r="H907" i="1"/>
  <c r="G907" i="1"/>
  <c r="D907" i="1"/>
  <c r="C907" i="1"/>
  <c r="B907" i="1"/>
  <c r="A907" i="1"/>
  <c r="H906" i="1"/>
  <c r="G906" i="1"/>
  <c r="D906" i="1"/>
  <c r="C906" i="1"/>
  <c r="B906" i="1"/>
  <c r="A906" i="1"/>
  <c r="H905" i="1"/>
  <c r="G905" i="1"/>
  <c r="D905" i="1"/>
  <c r="C905" i="1"/>
  <c r="B905" i="1"/>
  <c r="A905" i="1"/>
  <c r="H904" i="1"/>
  <c r="G904" i="1"/>
  <c r="D904" i="1"/>
  <c r="C904" i="1"/>
  <c r="B904" i="1"/>
  <c r="A904" i="1"/>
  <c r="H903" i="1"/>
  <c r="G903" i="1"/>
  <c r="D903" i="1"/>
  <c r="C903" i="1"/>
  <c r="B903" i="1"/>
  <c r="A903" i="1"/>
  <c r="H902" i="1"/>
  <c r="G902" i="1"/>
  <c r="D902" i="1"/>
  <c r="C902" i="1"/>
  <c r="B902" i="1"/>
  <c r="A902" i="1"/>
  <c r="H901" i="1"/>
  <c r="G901" i="1"/>
  <c r="D901" i="1"/>
  <c r="C901" i="1"/>
  <c r="B901" i="1"/>
  <c r="A901" i="1"/>
  <c r="H900" i="1"/>
  <c r="G900" i="1"/>
  <c r="D900" i="1"/>
  <c r="C900" i="1"/>
  <c r="B900" i="1"/>
  <c r="A900" i="1"/>
  <c r="H899" i="1"/>
  <c r="G899" i="1"/>
  <c r="D899" i="1"/>
  <c r="C899" i="1"/>
  <c r="B899" i="1"/>
  <c r="A899" i="1"/>
  <c r="H898" i="1"/>
  <c r="G898" i="1"/>
  <c r="D898" i="1"/>
  <c r="C898" i="1"/>
  <c r="B898" i="1"/>
  <c r="A898" i="1"/>
  <c r="H897" i="1"/>
  <c r="G897" i="1"/>
  <c r="D897" i="1"/>
  <c r="C897" i="1"/>
  <c r="B897" i="1"/>
  <c r="A897" i="1"/>
  <c r="H896" i="1"/>
  <c r="G896" i="1"/>
  <c r="D896" i="1"/>
  <c r="C896" i="1"/>
  <c r="B896" i="1"/>
  <c r="A896" i="1"/>
  <c r="H895" i="1"/>
  <c r="G895" i="1"/>
  <c r="D895" i="1"/>
  <c r="C895" i="1"/>
  <c r="B895" i="1"/>
  <c r="A895" i="1"/>
  <c r="H894" i="1"/>
  <c r="G894" i="1"/>
  <c r="D894" i="1"/>
  <c r="C894" i="1"/>
  <c r="B894" i="1"/>
  <c r="A894" i="1"/>
  <c r="H893" i="1"/>
  <c r="G893" i="1"/>
  <c r="D893" i="1"/>
  <c r="C893" i="1"/>
  <c r="B893" i="1"/>
  <c r="A893" i="1"/>
  <c r="H892" i="1"/>
  <c r="G892" i="1"/>
  <c r="D892" i="1"/>
  <c r="C892" i="1"/>
  <c r="B892" i="1"/>
  <c r="A892" i="1"/>
  <c r="H891" i="1"/>
  <c r="G891" i="1"/>
  <c r="D891" i="1"/>
  <c r="C891" i="1"/>
  <c r="B891" i="1"/>
  <c r="A891" i="1"/>
  <c r="H890" i="1"/>
  <c r="G890" i="1"/>
  <c r="D890" i="1"/>
  <c r="C890" i="1"/>
  <c r="B890" i="1"/>
  <c r="A890" i="1"/>
  <c r="H889" i="1"/>
  <c r="G889" i="1"/>
  <c r="D889" i="1"/>
  <c r="C889" i="1"/>
  <c r="B889" i="1"/>
  <c r="A889" i="1"/>
  <c r="H888" i="1"/>
  <c r="G888" i="1"/>
  <c r="D888" i="1"/>
  <c r="C888" i="1"/>
  <c r="B888" i="1"/>
  <c r="A888" i="1"/>
  <c r="H887" i="1"/>
  <c r="G887" i="1"/>
  <c r="D887" i="1"/>
  <c r="C887" i="1"/>
  <c r="B887" i="1"/>
  <c r="A887" i="1"/>
  <c r="H886" i="1"/>
  <c r="G886" i="1"/>
  <c r="D886" i="1"/>
  <c r="C886" i="1"/>
  <c r="B886" i="1"/>
  <c r="A886" i="1"/>
  <c r="H885" i="1"/>
  <c r="G885" i="1"/>
  <c r="D885" i="1"/>
  <c r="C885" i="1"/>
  <c r="B885" i="1"/>
  <c r="A885" i="1"/>
  <c r="H884" i="1"/>
  <c r="G884" i="1"/>
  <c r="D884" i="1"/>
  <c r="C884" i="1"/>
  <c r="B884" i="1"/>
  <c r="A884" i="1"/>
  <c r="H883" i="1"/>
  <c r="G883" i="1"/>
  <c r="D883" i="1"/>
  <c r="C883" i="1"/>
  <c r="B883" i="1"/>
  <c r="A883" i="1"/>
  <c r="H882" i="1"/>
  <c r="G882" i="1"/>
  <c r="D882" i="1"/>
  <c r="C882" i="1"/>
  <c r="B882" i="1"/>
  <c r="A882" i="1"/>
  <c r="H881" i="1"/>
  <c r="G881" i="1"/>
  <c r="D881" i="1"/>
  <c r="C881" i="1"/>
  <c r="B881" i="1"/>
  <c r="A881" i="1"/>
  <c r="H880" i="1"/>
  <c r="G880" i="1"/>
  <c r="D880" i="1"/>
  <c r="C880" i="1"/>
  <c r="B880" i="1"/>
  <c r="A880" i="1"/>
  <c r="H879" i="1"/>
  <c r="G879" i="1"/>
  <c r="D879" i="1"/>
  <c r="C879" i="1"/>
  <c r="B879" i="1"/>
  <c r="A879" i="1"/>
  <c r="H878" i="1"/>
  <c r="G878" i="1"/>
  <c r="D878" i="1"/>
  <c r="C878" i="1"/>
  <c r="B878" i="1"/>
  <c r="A878" i="1"/>
  <c r="H877" i="1"/>
  <c r="G877" i="1"/>
  <c r="D877" i="1"/>
  <c r="C877" i="1"/>
  <c r="B877" i="1"/>
  <c r="A877" i="1"/>
  <c r="H876" i="1"/>
  <c r="G876" i="1"/>
  <c r="D876" i="1"/>
  <c r="C876" i="1"/>
  <c r="B876" i="1"/>
  <c r="A876" i="1"/>
  <c r="H875" i="1"/>
  <c r="G875" i="1"/>
  <c r="D875" i="1"/>
  <c r="C875" i="1"/>
  <c r="B875" i="1"/>
  <c r="A875" i="1"/>
  <c r="H874" i="1"/>
  <c r="G874" i="1"/>
  <c r="D874" i="1"/>
  <c r="C874" i="1"/>
  <c r="B874" i="1"/>
  <c r="A874" i="1"/>
  <c r="H873" i="1"/>
  <c r="G873" i="1"/>
  <c r="D873" i="1"/>
  <c r="C873" i="1"/>
  <c r="B873" i="1"/>
  <c r="A873" i="1"/>
  <c r="H872" i="1"/>
  <c r="G872" i="1"/>
  <c r="D872" i="1"/>
  <c r="C872" i="1"/>
  <c r="B872" i="1"/>
  <c r="A872" i="1"/>
  <c r="H871" i="1"/>
  <c r="G871" i="1"/>
  <c r="D871" i="1"/>
  <c r="C871" i="1"/>
  <c r="B871" i="1"/>
  <c r="A871" i="1"/>
  <c r="H870" i="1"/>
  <c r="G870" i="1"/>
  <c r="D870" i="1"/>
  <c r="C870" i="1"/>
  <c r="B870" i="1"/>
  <c r="A870" i="1"/>
  <c r="H869" i="1"/>
  <c r="G869" i="1"/>
  <c r="D869" i="1"/>
  <c r="C869" i="1"/>
  <c r="B869" i="1"/>
  <c r="A869" i="1"/>
  <c r="H868" i="1"/>
  <c r="G868" i="1"/>
  <c r="D868" i="1"/>
  <c r="C868" i="1"/>
  <c r="B868" i="1"/>
  <c r="A868" i="1"/>
  <c r="H867" i="1"/>
  <c r="G867" i="1"/>
  <c r="D867" i="1"/>
  <c r="C867" i="1"/>
  <c r="B867" i="1"/>
  <c r="A867" i="1"/>
  <c r="H866" i="1"/>
  <c r="G866" i="1"/>
  <c r="D866" i="1"/>
  <c r="C866" i="1"/>
  <c r="B866" i="1"/>
  <c r="A866" i="1"/>
  <c r="H865" i="1"/>
  <c r="G865" i="1"/>
  <c r="D865" i="1"/>
  <c r="C865" i="1"/>
  <c r="B865" i="1"/>
  <c r="A865" i="1"/>
  <c r="H864" i="1"/>
  <c r="G864" i="1"/>
  <c r="D864" i="1"/>
  <c r="C864" i="1"/>
  <c r="B864" i="1"/>
  <c r="A864" i="1"/>
  <c r="H863" i="1"/>
  <c r="G863" i="1"/>
  <c r="D863" i="1"/>
  <c r="C863" i="1"/>
  <c r="B863" i="1"/>
  <c r="A863" i="1"/>
  <c r="H862" i="1"/>
  <c r="G862" i="1"/>
  <c r="D862" i="1"/>
  <c r="C862" i="1"/>
  <c r="B862" i="1"/>
  <c r="A862" i="1"/>
  <c r="H861" i="1"/>
  <c r="G861" i="1"/>
  <c r="D861" i="1"/>
  <c r="C861" i="1"/>
  <c r="B861" i="1"/>
  <c r="A861" i="1"/>
  <c r="H860" i="1"/>
  <c r="G860" i="1"/>
  <c r="D860" i="1"/>
  <c r="C860" i="1"/>
  <c r="B860" i="1"/>
  <c r="A860" i="1"/>
  <c r="H859" i="1"/>
  <c r="G859" i="1"/>
  <c r="D859" i="1"/>
  <c r="C859" i="1"/>
  <c r="B859" i="1"/>
  <c r="A859" i="1"/>
  <c r="H858" i="1"/>
  <c r="G858" i="1"/>
  <c r="D858" i="1"/>
  <c r="C858" i="1"/>
  <c r="B858" i="1"/>
  <c r="A858" i="1"/>
  <c r="H857" i="1"/>
  <c r="G857" i="1"/>
  <c r="D857" i="1"/>
  <c r="C857" i="1"/>
  <c r="B857" i="1"/>
  <c r="A857" i="1"/>
  <c r="H856" i="1"/>
  <c r="G856" i="1"/>
  <c r="D856" i="1"/>
  <c r="C856" i="1"/>
  <c r="B856" i="1"/>
  <c r="A856" i="1"/>
  <c r="H855" i="1"/>
  <c r="G855" i="1"/>
  <c r="D855" i="1"/>
  <c r="C855" i="1"/>
  <c r="B855" i="1"/>
  <c r="A855" i="1"/>
  <c r="H854" i="1"/>
  <c r="G854" i="1"/>
  <c r="D854" i="1"/>
  <c r="C854" i="1"/>
  <c r="B854" i="1"/>
  <c r="A854" i="1"/>
  <c r="H853" i="1"/>
  <c r="G853" i="1"/>
  <c r="D853" i="1"/>
  <c r="C853" i="1"/>
  <c r="B853" i="1"/>
  <c r="A853" i="1"/>
  <c r="H852" i="1"/>
  <c r="G852" i="1"/>
  <c r="D852" i="1"/>
  <c r="C852" i="1"/>
  <c r="B852" i="1"/>
  <c r="A852" i="1"/>
  <c r="H851" i="1"/>
  <c r="G851" i="1"/>
  <c r="D851" i="1"/>
  <c r="C851" i="1"/>
  <c r="B851" i="1"/>
  <c r="A851" i="1"/>
  <c r="H850" i="1"/>
  <c r="G850" i="1"/>
  <c r="D850" i="1"/>
  <c r="C850" i="1"/>
  <c r="B850" i="1"/>
  <c r="A850" i="1"/>
  <c r="H849" i="1"/>
  <c r="G849" i="1"/>
  <c r="D849" i="1"/>
  <c r="C849" i="1"/>
  <c r="B849" i="1"/>
  <c r="A849" i="1"/>
  <c r="H848" i="1"/>
  <c r="G848" i="1"/>
  <c r="D848" i="1"/>
  <c r="C848" i="1"/>
  <c r="B848" i="1"/>
  <c r="A848" i="1"/>
  <c r="H847" i="1"/>
  <c r="G847" i="1"/>
  <c r="D847" i="1"/>
  <c r="C847" i="1"/>
  <c r="B847" i="1"/>
  <c r="A847" i="1"/>
  <c r="H846" i="1"/>
  <c r="G846" i="1"/>
  <c r="D846" i="1"/>
  <c r="C846" i="1"/>
  <c r="B846" i="1"/>
  <c r="A846" i="1"/>
  <c r="H845" i="1"/>
  <c r="G845" i="1"/>
  <c r="D845" i="1"/>
  <c r="C845" i="1"/>
  <c r="B845" i="1"/>
  <c r="A845" i="1"/>
  <c r="H844" i="1"/>
  <c r="G844" i="1"/>
  <c r="D844" i="1"/>
  <c r="C844" i="1"/>
  <c r="B844" i="1"/>
  <c r="A844" i="1"/>
  <c r="H843" i="1"/>
  <c r="G843" i="1"/>
  <c r="D843" i="1"/>
  <c r="C843" i="1"/>
  <c r="B843" i="1"/>
  <c r="A843" i="1"/>
  <c r="H842" i="1"/>
  <c r="G842" i="1"/>
  <c r="D842" i="1"/>
  <c r="C842" i="1"/>
  <c r="B842" i="1"/>
  <c r="A842" i="1"/>
  <c r="H841" i="1"/>
  <c r="G841" i="1"/>
  <c r="D841" i="1"/>
  <c r="C841" i="1"/>
  <c r="B841" i="1"/>
  <c r="A841" i="1"/>
  <c r="H840" i="1"/>
  <c r="G840" i="1"/>
  <c r="D840" i="1"/>
  <c r="C840" i="1"/>
  <c r="B840" i="1"/>
  <c r="A840" i="1"/>
  <c r="H839" i="1"/>
  <c r="G839" i="1"/>
  <c r="D839" i="1"/>
  <c r="C839" i="1"/>
  <c r="B839" i="1"/>
  <c r="A839" i="1"/>
  <c r="H838" i="1"/>
  <c r="G838" i="1"/>
  <c r="D838" i="1"/>
  <c r="C838" i="1"/>
  <c r="B838" i="1"/>
  <c r="A838" i="1"/>
  <c r="H837" i="1"/>
  <c r="G837" i="1"/>
  <c r="D837" i="1"/>
  <c r="C837" i="1"/>
  <c r="B837" i="1"/>
  <c r="A837" i="1"/>
  <c r="H836" i="1"/>
  <c r="G836" i="1"/>
  <c r="D836" i="1"/>
  <c r="C836" i="1"/>
  <c r="B836" i="1"/>
  <c r="A836" i="1"/>
  <c r="H835" i="1"/>
  <c r="G835" i="1"/>
  <c r="D835" i="1"/>
  <c r="C835" i="1"/>
  <c r="B835" i="1"/>
  <c r="A835" i="1"/>
  <c r="H834" i="1"/>
  <c r="G834" i="1"/>
  <c r="D834" i="1"/>
  <c r="C834" i="1"/>
  <c r="B834" i="1"/>
  <c r="A834" i="1"/>
  <c r="H833" i="1"/>
  <c r="G833" i="1"/>
  <c r="D833" i="1"/>
  <c r="C833" i="1"/>
  <c r="B833" i="1"/>
  <c r="A833" i="1"/>
  <c r="H832" i="1"/>
  <c r="G832" i="1"/>
  <c r="D832" i="1"/>
  <c r="C832" i="1"/>
  <c r="B832" i="1"/>
  <c r="A832" i="1"/>
  <c r="H831" i="1"/>
  <c r="G831" i="1"/>
  <c r="D831" i="1"/>
  <c r="C831" i="1"/>
  <c r="B831" i="1"/>
  <c r="A831" i="1"/>
  <c r="H830" i="1"/>
  <c r="G830" i="1"/>
  <c r="D830" i="1"/>
  <c r="C830" i="1"/>
  <c r="B830" i="1"/>
  <c r="A830" i="1"/>
  <c r="H829" i="1"/>
  <c r="G829" i="1"/>
  <c r="D829" i="1"/>
  <c r="C829" i="1"/>
  <c r="B829" i="1"/>
  <c r="A829" i="1"/>
  <c r="H828" i="1"/>
  <c r="G828" i="1"/>
  <c r="D828" i="1"/>
  <c r="C828" i="1"/>
  <c r="B828" i="1"/>
  <c r="A828" i="1"/>
  <c r="H827" i="1"/>
  <c r="G827" i="1"/>
  <c r="D827" i="1"/>
  <c r="C827" i="1"/>
  <c r="B827" i="1"/>
  <c r="A827" i="1"/>
  <c r="H826" i="1"/>
  <c r="G826" i="1"/>
  <c r="D826" i="1"/>
  <c r="C826" i="1"/>
  <c r="B826" i="1"/>
  <c r="A826" i="1"/>
  <c r="H825" i="1"/>
  <c r="G825" i="1"/>
  <c r="D825" i="1"/>
  <c r="C825" i="1"/>
  <c r="B825" i="1"/>
  <c r="A825" i="1"/>
  <c r="H824" i="1"/>
  <c r="G824" i="1"/>
  <c r="D824" i="1"/>
  <c r="C824" i="1"/>
  <c r="B824" i="1"/>
  <c r="A824" i="1"/>
  <c r="H823" i="1"/>
  <c r="G823" i="1"/>
  <c r="D823" i="1"/>
  <c r="C823" i="1"/>
  <c r="B823" i="1"/>
  <c r="A823" i="1"/>
  <c r="H822" i="1"/>
  <c r="G822" i="1"/>
  <c r="D822" i="1"/>
  <c r="C822" i="1"/>
  <c r="B822" i="1"/>
  <c r="A822" i="1"/>
  <c r="H821" i="1"/>
  <c r="G821" i="1"/>
  <c r="D821" i="1"/>
  <c r="C821" i="1"/>
  <c r="B821" i="1"/>
  <c r="A821" i="1"/>
  <c r="H820" i="1"/>
  <c r="G820" i="1"/>
  <c r="D820" i="1"/>
  <c r="C820" i="1"/>
  <c r="B820" i="1"/>
  <c r="A820" i="1"/>
  <c r="H819" i="1"/>
  <c r="G819" i="1"/>
  <c r="D819" i="1"/>
  <c r="C819" i="1"/>
  <c r="B819" i="1"/>
  <c r="A819" i="1"/>
  <c r="H818" i="1"/>
  <c r="G818" i="1"/>
  <c r="D818" i="1"/>
  <c r="C818" i="1"/>
  <c r="B818" i="1"/>
  <c r="A818" i="1"/>
  <c r="H817" i="1"/>
  <c r="G817" i="1"/>
  <c r="D817" i="1"/>
  <c r="C817" i="1"/>
  <c r="B817" i="1"/>
  <c r="A817" i="1"/>
  <c r="H816" i="1"/>
  <c r="G816" i="1"/>
  <c r="D816" i="1"/>
  <c r="C816" i="1"/>
  <c r="B816" i="1"/>
  <c r="A816" i="1"/>
  <c r="H815" i="1"/>
  <c r="G815" i="1"/>
  <c r="D815" i="1"/>
  <c r="C815" i="1"/>
  <c r="B815" i="1"/>
  <c r="A815" i="1"/>
  <c r="H814" i="1"/>
  <c r="G814" i="1"/>
  <c r="D814" i="1"/>
  <c r="C814" i="1"/>
  <c r="B814" i="1"/>
  <c r="A814" i="1"/>
  <c r="H813" i="1"/>
  <c r="G813" i="1"/>
  <c r="D813" i="1"/>
  <c r="C813" i="1"/>
  <c r="B813" i="1"/>
  <c r="A813" i="1"/>
  <c r="H812" i="1"/>
  <c r="G812" i="1"/>
  <c r="D812" i="1"/>
  <c r="C812" i="1"/>
  <c r="B812" i="1"/>
  <c r="A812" i="1"/>
  <c r="H811" i="1"/>
  <c r="G811" i="1"/>
  <c r="D811" i="1"/>
  <c r="C811" i="1"/>
  <c r="B811" i="1"/>
  <c r="A811" i="1"/>
  <c r="H810" i="1"/>
  <c r="G810" i="1"/>
  <c r="D810" i="1"/>
  <c r="C810" i="1"/>
  <c r="B810" i="1"/>
  <c r="A810" i="1"/>
  <c r="H809" i="1"/>
  <c r="G809" i="1"/>
  <c r="D809" i="1"/>
  <c r="C809" i="1"/>
  <c r="B809" i="1"/>
  <c r="A809" i="1"/>
  <c r="H808" i="1"/>
  <c r="G808" i="1"/>
  <c r="D808" i="1"/>
  <c r="C808" i="1"/>
  <c r="B808" i="1"/>
  <c r="A808" i="1"/>
  <c r="H807" i="1"/>
  <c r="G807" i="1"/>
  <c r="D807" i="1"/>
  <c r="C807" i="1"/>
  <c r="B807" i="1"/>
  <c r="A807" i="1"/>
  <c r="H806" i="1"/>
  <c r="G806" i="1"/>
  <c r="D806" i="1"/>
  <c r="C806" i="1"/>
  <c r="B806" i="1"/>
  <c r="A806" i="1"/>
  <c r="H805" i="1"/>
  <c r="G805" i="1"/>
  <c r="D805" i="1"/>
  <c r="C805" i="1"/>
  <c r="B805" i="1"/>
  <c r="A805" i="1"/>
  <c r="H804" i="1"/>
  <c r="G804" i="1"/>
  <c r="D804" i="1"/>
  <c r="C804" i="1"/>
  <c r="B804" i="1"/>
  <c r="A804" i="1"/>
  <c r="H803" i="1"/>
  <c r="G803" i="1"/>
  <c r="D803" i="1"/>
  <c r="C803" i="1"/>
  <c r="B803" i="1"/>
  <c r="A803" i="1"/>
  <c r="H802" i="1"/>
  <c r="G802" i="1"/>
  <c r="D802" i="1"/>
  <c r="C802" i="1"/>
  <c r="B802" i="1"/>
  <c r="A802" i="1"/>
  <c r="H801" i="1"/>
  <c r="G801" i="1"/>
  <c r="D801" i="1"/>
  <c r="C801" i="1"/>
  <c r="B801" i="1"/>
  <c r="A801" i="1"/>
  <c r="H800" i="1"/>
  <c r="G800" i="1"/>
  <c r="D800" i="1"/>
  <c r="C800" i="1"/>
  <c r="B800" i="1"/>
  <c r="A800" i="1"/>
  <c r="H799" i="1"/>
  <c r="G799" i="1"/>
  <c r="D799" i="1"/>
  <c r="C799" i="1"/>
  <c r="B799" i="1"/>
  <c r="A799" i="1"/>
  <c r="H798" i="1"/>
  <c r="G798" i="1"/>
  <c r="D798" i="1"/>
  <c r="C798" i="1"/>
  <c r="B798" i="1"/>
  <c r="A798" i="1"/>
  <c r="H797" i="1"/>
  <c r="G797" i="1"/>
  <c r="D797" i="1"/>
  <c r="C797" i="1"/>
  <c r="B797" i="1"/>
  <c r="A797" i="1"/>
  <c r="H796" i="1"/>
  <c r="G796" i="1"/>
  <c r="D796" i="1"/>
  <c r="C796" i="1"/>
  <c r="B796" i="1"/>
  <c r="A796" i="1"/>
  <c r="H795" i="1"/>
  <c r="G795" i="1"/>
  <c r="D795" i="1"/>
  <c r="C795" i="1"/>
  <c r="B795" i="1"/>
  <c r="A795" i="1"/>
  <c r="H794" i="1"/>
  <c r="G794" i="1"/>
  <c r="D794" i="1"/>
  <c r="C794" i="1"/>
  <c r="B794" i="1"/>
  <c r="A794" i="1"/>
  <c r="H793" i="1"/>
  <c r="G793" i="1"/>
  <c r="D793" i="1"/>
  <c r="C793" i="1"/>
  <c r="B793" i="1"/>
  <c r="A793" i="1"/>
  <c r="H792" i="1"/>
  <c r="G792" i="1"/>
  <c r="D792" i="1"/>
  <c r="C792" i="1"/>
  <c r="B792" i="1"/>
  <c r="A792" i="1"/>
  <c r="H791" i="1"/>
  <c r="G791" i="1"/>
  <c r="D791" i="1"/>
  <c r="C791" i="1"/>
  <c r="B791" i="1"/>
  <c r="A791" i="1"/>
  <c r="H790" i="1"/>
  <c r="G790" i="1"/>
  <c r="D790" i="1"/>
  <c r="C790" i="1"/>
  <c r="B790" i="1"/>
  <c r="A790" i="1"/>
  <c r="H789" i="1"/>
  <c r="G789" i="1"/>
  <c r="D789" i="1"/>
  <c r="C789" i="1"/>
  <c r="B789" i="1"/>
  <c r="A789" i="1"/>
  <c r="H788" i="1"/>
  <c r="G788" i="1"/>
  <c r="D788" i="1"/>
  <c r="C788" i="1"/>
  <c r="B788" i="1"/>
  <c r="A788" i="1"/>
  <c r="H787" i="1"/>
  <c r="G787" i="1"/>
  <c r="D787" i="1"/>
  <c r="C787" i="1"/>
  <c r="B787" i="1"/>
  <c r="A787" i="1"/>
  <c r="H786" i="1"/>
  <c r="G786" i="1"/>
  <c r="D786" i="1"/>
  <c r="C786" i="1"/>
  <c r="B786" i="1"/>
  <c r="A786" i="1"/>
  <c r="H785" i="1"/>
  <c r="G785" i="1"/>
  <c r="D785" i="1"/>
  <c r="C785" i="1"/>
  <c r="B785" i="1"/>
  <c r="A785" i="1"/>
  <c r="H784" i="1"/>
  <c r="G784" i="1"/>
  <c r="D784" i="1"/>
  <c r="C784" i="1"/>
  <c r="B784" i="1"/>
  <c r="A784" i="1"/>
  <c r="H783" i="1"/>
  <c r="G783" i="1"/>
  <c r="D783" i="1"/>
  <c r="C783" i="1"/>
  <c r="B783" i="1"/>
  <c r="A783" i="1"/>
  <c r="H782" i="1"/>
  <c r="G782" i="1"/>
  <c r="D782" i="1"/>
  <c r="C782" i="1"/>
  <c r="B782" i="1"/>
  <c r="A782" i="1"/>
  <c r="H781" i="1"/>
  <c r="G781" i="1"/>
  <c r="D781" i="1"/>
  <c r="C781" i="1"/>
  <c r="B781" i="1"/>
  <c r="A781" i="1"/>
  <c r="H780" i="1"/>
  <c r="G780" i="1"/>
  <c r="D780" i="1"/>
  <c r="C780" i="1"/>
  <c r="B780" i="1"/>
  <c r="A780" i="1"/>
  <c r="H779" i="1"/>
  <c r="G779" i="1"/>
  <c r="D779" i="1"/>
  <c r="C779" i="1"/>
  <c r="B779" i="1"/>
  <c r="A779" i="1"/>
  <c r="H778" i="1"/>
  <c r="G778" i="1"/>
  <c r="D778" i="1"/>
  <c r="C778" i="1"/>
  <c r="B778" i="1"/>
  <c r="A778" i="1"/>
  <c r="H777" i="1"/>
  <c r="G777" i="1"/>
  <c r="D777" i="1"/>
  <c r="C777" i="1"/>
  <c r="B777" i="1"/>
  <c r="A777" i="1"/>
  <c r="H776" i="1"/>
  <c r="G776" i="1"/>
  <c r="D776" i="1"/>
  <c r="C776" i="1"/>
  <c r="B776" i="1"/>
  <c r="A776" i="1"/>
  <c r="H775" i="1"/>
  <c r="G775" i="1"/>
  <c r="D775" i="1"/>
  <c r="C775" i="1"/>
  <c r="B775" i="1"/>
  <c r="A775" i="1"/>
  <c r="H774" i="1"/>
  <c r="G774" i="1"/>
  <c r="D774" i="1"/>
  <c r="C774" i="1"/>
  <c r="B774" i="1"/>
  <c r="A774" i="1"/>
  <c r="H773" i="1"/>
  <c r="G773" i="1"/>
  <c r="D773" i="1"/>
  <c r="C773" i="1"/>
  <c r="B773" i="1"/>
  <c r="A773" i="1"/>
  <c r="H772" i="1"/>
  <c r="G772" i="1"/>
  <c r="D772" i="1"/>
  <c r="C772" i="1"/>
  <c r="B772" i="1"/>
  <c r="A772" i="1"/>
  <c r="H771" i="1"/>
  <c r="G771" i="1"/>
  <c r="D771" i="1"/>
  <c r="C771" i="1"/>
  <c r="B771" i="1"/>
  <c r="A771" i="1"/>
  <c r="H770" i="1"/>
  <c r="G770" i="1"/>
  <c r="D770" i="1"/>
  <c r="C770" i="1"/>
  <c r="B770" i="1"/>
  <c r="A770" i="1"/>
  <c r="H769" i="1"/>
  <c r="G769" i="1"/>
  <c r="D769" i="1"/>
  <c r="C769" i="1"/>
  <c r="B769" i="1"/>
  <c r="A769" i="1"/>
  <c r="H768" i="1"/>
  <c r="G768" i="1"/>
  <c r="D768" i="1"/>
  <c r="C768" i="1"/>
  <c r="B768" i="1"/>
  <c r="A768" i="1"/>
  <c r="H767" i="1"/>
  <c r="G767" i="1"/>
  <c r="D767" i="1"/>
  <c r="C767" i="1"/>
  <c r="B767" i="1"/>
  <c r="A767" i="1"/>
  <c r="H766" i="1"/>
  <c r="G766" i="1"/>
  <c r="D766" i="1"/>
  <c r="C766" i="1"/>
  <c r="B766" i="1"/>
  <c r="A766" i="1"/>
  <c r="H765" i="1"/>
  <c r="G765" i="1"/>
  <c r="D765" i="1"/>
  <c r="C765" i="1"/>
  <c r="B765" i="1"/>
  <c r="A765" i="1"/>
  <c r="H764" i="1"/>
  <c r="G764" i="1"/>
  <c r="D764" i="1"/>
  <c r="C764" i="1"/>
  <c r="B764" i="1"/>
  <c r="A764" i="1"/>
  <c r="H763" i="1"/>
  <c r="G763" i="1"/>
  <c r="D763" i="1"/>
  <c r="C763" i="1"/>
  <c r="B763" i="1"/>
  <c r="A763" i="1"/>
  <c r="H762" i="1"/>
  <c r="G762" i="1"/>
  <c r="D762" i="1"/>
  <c r="C762" i="1"/>
  <c r="B762" i="1"/>
  <c r="A762" i="1"/>
  <c r="H761" i="1"/>
  <c r="G761" i="1"/>
  <c r="D761" i="1"/>
  <c r="C761" i="1"/>
  <c r="B761" i="1"/>
  <c r="A761" i="1"/>
  <c r="H760" i="1"/>
  <c r="G760" i="1"/>
  <c r="D760" i="1"/>
  <c r="C760" i="1"/>
  <c r="B760" i="1"/>
  <c r="A760" i="1"/>
  <c r="H759" i="1"/>
  <c r="G759" i="1"/>
  <c r="D759" i="1"/>
  <c r="C759" i="1"/>
  <c r="B759" i="1"/>
  <c r="A759" i="1"/>
  <c r="H758" i="1"/>
  <c r="G758" i="1"/>
  <c r="D758" i="1"/>
  <c r="C758" i="1"/>
  <c r="B758" i="1"/>
  <c r="A758" i="1"/>
  <c r="H757" i="1"/>
  <c r="G757" i="1"/>
  <c r="D757" i="1"/>
  <c r="C757" i="1"/>
  <c r="B757" i="1"/>
  <c r="A757" i="1"/>
  <c r="H756" i="1"/>
  <c r="G756" i="1"/>
  <c r="D756" i="1"/>
  <c r="C756" i="1"/>
  <c r="B756" i="1"/>
  <c r="A756" i="1"/>
  <c r="H755" i="1"/>
  <c r="G755" i="1"/>
  <c r="D755" i="1"/>
  <c r="C755" i="1"/>
  <c r="B755" i="1"/>
  <c r="A755" i="1"/>
  <c r="H754" i="1"/>
  <c r="G754" i="1"/>
  <c r="D754" i="1"/>
  <c r="C754" i="1"/>
  <c r="B754" i="1"/>
  <c r="A754" i="1"/>
  <c r="H753" i="1"/>
  <c r="G753" i="1"/>
  <c r="D753" i="1"/>
  <c r="C753" i="1"/>
  <c r="B753" i="1"/>
  <c r="A753" i="1"/>
  <c r="H752" i="1"/>
  <c r="G752" i="1"/>
  <c r="D752" i="1"/>
  <c r="C752" i="1"/>
  <c r="B752" i="1"/>
  <c r="A752" i="1"/>
  <c r="H751" i="1"/>
  <c r="G751" i="1"/>
  <c r="D751" i="1"/>
  <c r="C751" i="1"/>
  <c r="B751" i="1"/>
  <c r="A751" i="1"/>
  <c r="H750" i="1"/>
  <c r="G750" i="1"/>
  <c r="D750" i="1"/>
  <c r="C750" i="1"/>
  <c r="B750" i="1"/>
  <c r="A750" i="1"/>
  <c r="H749" i="1"/>
  <c r="G749" i="1"/>
  <c r="D749" i="1"/>
  <c r="C749" i="1"/>
  <c r="B749" i="1"/>
  <c r="A749" i="1"/>
  <c r="H748" i="1"/>
  <c r="G748" i="1"/>
  <c r="D748" i="1"/>
  <c r="C748" i="1"/>
  <c r="B748" i="1"/>
  <c r="A748" i="1"/>
  <c r="H747" i="1"/>
  <c r="G747" i="1"/>
  <c r="D747" i="1"/>
  <c r="C747" i="1"/>
  <c r="B747" i="1"/>
  <c r="A747" i="1"/>
  <c r="H746" i="1"/>
  <c r="G746" i="1"/>
  <c r="D746" i="1"/>
  <c r="C746" i="1"/>
  <c r="B746" i="1"/>
  <c r="A746" i="1"/>
  <c r="H745" i="1"/>
  <c r="G745" i="1"/>
  <c r="D745" i="1"/>
  <c r="C745" i="1"/>
  <c r="B745" i="1"/>
  <c r="A745" i="1"/>
  <c r="H744" i="1"/>
  <c r="G744" i="1"/>
  <c r="D744" i="1"/>
  <c r="C744" i="1"/>
  <c r="B744" i="1"/>
  <c r="A744" i="1"/>
  <c r="H743" i="1"/>
  <c r="G743" i="1"/>
  <c r="D743" i="1"/>
  <c r="C743" i="1"/>
  <c r="B743" i="1"/>
  <c r="A743" i="1"/>
  <c r="H742" i="1"/>
  <c r="G742" i="1"/>
  <c r="D742" i="1"/>
  <c r="C742" i="1"/>
  <c r="B742" i="1"/>
  <c r="A742" i="1"/>
  <c r="H741" i="1"/>
  <c r="G741" i="1"/>
  <c r="D741" i="1"/>
  <c r="C741" i="1"/>
  <c r="B741" i="1"/>
  <c r="A741" i="1"/>
  <c r="H740" i="1"/>
  <c r="G740" i="1"/>
  <c r="D740" i="1"/>
  <c r="C740" i="1"/>
  <c r="B740" i="1"/>
  <c r="A740" i="1"/>
  <c r="H739" i="1"/>
  <c r="G739" i="1"/>
  <c r="D739" i="1"/>
  <c r="C739" i="1"/>
  <c r="B739" i="1"/>
  <c r="A739" i="1"/>
  <c r="H738" i="1"/>
  <c r="G738" i="1"/>
  <c r="D738" i="1"/>
  <c r="C738" i="1"/>
  <c r="B738" i="1"/>
  <c r="A738" i="1"/>
  <c r="H737" i="1"/>
  <c r="G737" i="1"/>
  <c r="D737" i="1"/>
  <c r="C737" i="1"/>
  <c r="B737" i="1"/>
  <c r="A737" i="1"/>
  <c r="H736" i="1"/>
  <c r="G736" i="1"/>
  <c r="D736" i="1"/>
  <c r="C736" i="1"/>
  <c r="B736" i="1"/>
  <c r="A736" i="1"/>
  <c r="H735" i="1"/>
  <c r="G735" i="1"/>
  <c r="D735" i="1"/>
  <c r="C735" i="1"/>
  <c r="B735" i="1"/>
  <c r="A735" i="1"/>
  <c r="H734" i="1"/>
  <c r="G734" i="1"/>
  <c r="D734" i="1"/>
  <c r="C734" i="1"/>
  <c r="B734" i="1"/>
  <c r="A734" i="1"/>
  <c r="H733" i="1"/>
  <c r="G733" i="1"/>
  <c r="D733" i="1"/>
  <c r="C733" i="1"/>
  <c r="B733" i="1"/>
  <c r="A733" i="1"/>
  <c r="H732" i="1"/>
  <c r="G732" i="1"/>
  <c r="D732" i="1"/>
  <c r="C732" i="1"/>
  <c r="B732" i="1"/>
  <c r="A732" i="1"/>
  <c r="H731" i="1"/>
  <c r="G731" i="1"/>
  <c r="D731" i="1"/>
  <c r="C731" i="1"/>
  <c r="B731" i="1"/>
  <c r="A731" i="1"/>
  <c r="H730" i="1"/>
  <c r="G730" i="1"/>
  <c r="D730" i="1"/>
  <c r="C730" i="1"/>
  <c r="B730" i="1"/>
  <c r="A730" i="1"/>
  <c r="H729" i="1"/>
  <c r="G729" i="1"/>
  <c r="D729" i="1"/>
  <c r="C729" i="1"/>
  <c r="B729" i="1"/>
  <c r="A729" i="1"/>
  <c r="H728" i="1"/>
  <c r="G728" i="1"/>
  <c r="D728" i="1"/>
  <c r="C728" i="1"/>
  <c r="B728" i="1"/>
  <c r="A728" i="1"/>
  <c r="H727" i="1"/>
  <c r="G727" i="1"/>
  <c r="D727" i="1"/>
  <c r="C727" i="1"/>
  <c r="B727" i="1"/>
  <c r="A727" i="1"/>
  <c r="H726" i="1"/>
  <c r="G726" i="1"/>
  <c r="D726" i="1"/>
  <c r="C726" i="1"/>
  <c r="B726" i="1"/>
  <c r="A726" i="1"/>
  <c r="H725" i="1"/>
  <c r="G725" i="1"/>
  <c r="D725" i="1"/>
  <c r="C725" i="1"/>
  <c r="B725" i="1"/>
  <c r="A725" i="1"/>
  <c r="H724" i="1"/>
  <c r="G724" i="1"/>
  <c r="D724" i="1"/>
  <c r="C724" i="1"/>
  <c r="B724" i="1"/>
  <c r="A724" i="1"/>
  <c r="H723" i="1"/>
  <c r="G723" i="1"/>
  <c r="D723" i="1"/>
  <c r="C723" i="1"/>
  <c r="B723" i="1"/>
  <c r="A723" i="1"/>
  <c r="H722" i="1"/>
  <c r="G722" i="1"/>
  <c r="D722" i="1"/>
  <c r="C722" i="1"/>
  <c r="B722" i="1"/>
  <c r="A722" i="1"/>
  <c r="H721" i="1"/>
  <c r="G721" i="1"/>
  <c r="D721" i="1"/>
  <c r="C721" i="1"/>
  <c r="B721" i="1"/>
  <c r="A721" i="1"/>
  <c r="H720" i="1"/>
  <c r="G720" i="1"/>
  <c r="D720" i="1"/>
  <c r="C720" i="1"/>
  <c r="B720" i="1"/>
  <c r="A720" i="1"/>
  <c r="H719" i="1"/>
  <c r="G719" i="1"/>
  <c r="D719" i="1"/>
  <c r="C719" i="1"/>
  <c r="B719" i="1"/>
  <c r="A719" i="1"/>
  <c r="H718" i="1"/>
  <c r="G718" i="1"/>
  <c r="D718" i="1"/>
  <c r="C718" i="1"/>
  <c r="B718" i="1"/>
  <c r="A718" i="1"/>
  <c r="H717" i="1"/>
  <c r="G717" i="1"/>
  <c r="D717" i="1"/>
  <c r="C717" i="1"/>
  <c r="B717" i="1"/>
  <c r="A717" i="1"/>
  <c r="H716" i="1"/>
  <c r="G716" i="1"/>
  <c r="D716" i="1"/>
  <c r="C716" i="1"/>
  <c r="B716" i="1"/>
  <c r="A716" i="1"/>
  <c r="H715" i="1"/>
  <c r="G715" i="1"/>
  <c r="D715" i="1"/>
  <c r="C715" i="1"/>
  <c r="B715" i="1"/>
  <c r="A715" i="1"/>
  <c r="H714" i="1"/>
  <c r="G714" i="1"/>
  <c r="D714" i="1"/>
  <c r="C714" i="1"/>
  <c r="B714" i="1"/>
  <c r="A714" i="1"/>
  <c r="H713" i="1"/>
  <c r="G713" i="1"/>
  <c r="D713" i="1"/>
  <c r="C713" i="1"/>
  <c r="B713" i="1"/>
  <c r="A713" i="1"/>
  <c r="H712" i="1"/>
  <c r="G712" i="1"/>
  <c r="D712" i="1"/>
  <c r="C712" i="1"/>
  <c r="B712" i="1"/>
  <c r="A712" i="1"/>
  <c r="H711" i="1"/>
  <c r="G711" i="1"/>
  <c r="D711" i="1"/>
  <c r="C711" i="1"/>
  <c r="B711" i="1"/>
  <c r="A711" i="1"/>
  <c r="H710" i="1"/>
  <c r="G710" i="1"/>
  <c r="D710" i="1"/>
  <c r="C710" i="1"/>
  <c r="B710" i="1"/>
  <c r="A710" i="1"/>
  <c r="H709" i="1"/>
  <c r="G709" i="1"/>
  <c r="D709" i="1"/>
  <c r="C709" i="1"/>
  <c r="B709" i="1"/>
  <c r="A709" i="1"/>
  <c r="H708" i="1"/>
  <c r="G708" i="1"/>
  <c r="D708" i="1"/>
  <c r="C708" i="1"/>
  <c r="B708" i="1"/>
  <c r="A708" i="1"/>
  <c r="H707" i="1"/>
  <c r="G707" i="1"/>
  <c r="D707" i="1"/>
  <c r="C707" i="1"/>
  <c r="B707" i="1"/>
  <c r="A707" i="1"/>
  <c r="H706" i="1"/>
  <c r="G706" i="1"/>
  <c r="D706" i="1"/>
  <c r="C706" i="1"/>
  <c r="B706" i="1"/>
  <c r="A706" i="1"/>
  <c r="H705" i="1"/>
  <c r="G705" i="1"/>
  <c r="D705" i="1"/>
  <c r="C705" i="1"/>
  <c r="B705" i="1"/>
  <c r="A705" i="1"/>
  <c r="H704" i="1"/>
  <c r="G704" i="1"/>
  <c r="D704" i="1"/>
  <c r="C704" i="1"/>
  <c r="B704" i="1"/>
  <c r="A704" i="1"/>
  <c r="H703" i="1"/>
  <c r="G703" i="1"/>
  <c r="D703" i="1"/>
  <c r="C703" i="1"/>
  <c r="B703" i="1"/>
  <c r="A703" i="1"/>
  <c r="H702" i="1"/>
  <c r="G702" i="1"/>
  <c r="D702" i="1"/>
  <c r="C702" i="1"/>
  <c r="B702" i="1"/>
  <c r="A702" i="1"/>
  <c r="H701" i="1"/>
  <c r="G701" i="1"/>
  <c r="D701" i="1"/>
  <c r="C701" i="1"/>
  <c r="B701" i="1"/>
  <c r="A701" i="1"/>
  <c r="H700" i="1"/>
  <c r="G700" i="1"/>
  <c r="D700" i="1"/>
  <c r="C700" i="1"/>
  <c r="B700" i="1"/>
  <c r="A700" i="1"/>
  <c r="H699" i="1"/>
  <c r="G699" i="1"/>
  <c r="D699" i="1"/>
  <c r="C699" i="1"/>
  <c r="B699" i="1"/>
  <c r="A699" i="1"/>
  <c r="H698" i="1"/>
  <c r="G698" i="1"/>
  <c r="D698" i="1"/>
  <c r="C698" i="1"/>
  <c r="B698" i="1"/>
  <c r="A698" i="1"/>
  <c r="H697" i="1"/>
  <c r="G697" i="1"/>
  <c r="D697" i="1"/>
  <c r="C697" i="1"/>
  <c r="B697" i="1"/>
  <c r="A697" i="1"/>
  <c r="H696" i="1"/>
  <c r="G696" i="1"/>
  <c r="D696" i="1"/>
  <c r="C696" i="1"/>
  <c r="B696" i="1"/>
  <c r="A696" i="1"/>
  <c r="H695" i="1"/>
  <c r="G695" i="1"/>
  <c r="D695" i="1"/>
  <c r="C695" i="1"/>
  <c r="B695" i="1"/>
  <c r="A695" i="1"/>
  <c r="H694" i="1"/>
  <c r="G694" i="1"/>
  <c r="D694" i="1"/>
  <c r="C694" i="1"/>
  <c r="B694" i="1"/>
  <c r="A694" i="1"/>
  <c r="H693" i="1"/>
  <c r="G693" i="1"/>
  <c r="D693" i="1"/>
  <c r="C693" i="1"/>
  <c r="B693" i="1"/>
  <c r="A693" i="1"/>
  <c r="H692" i="1"/>
  <c r="G692" i="1"/>
  <c r="D692" i="1"/>
  <c r="C692" i="1"/>
  <c r="B692" i="1"/>
  <c r="A692" i="1"/>
  <c r="H691" i="1"/>
  <c r="G691" i="1"/>
  <c r="D691" i="1"/>
  <c r="C691" i="1"/>
  <c r="B691" i="1"/>
  <c r="A691" i="1"/>
  <c r="H690" i="1"/>
  <c r="G690" i="1"/>
  <c r="D690" i="1"/>
  <c r="C690" i="1"/>
  <c r="B690" i="1"/>
  <c r="A690" i="1"/>
  <c r="H689" i="1"/>
  <c r="G689" i="1"/>
  <c r="D689" i="1"/>
  <c r="C689" i="1"/>
  <c r="B689" i="1"/>
  <c r="A689" i="1"/>
  <c r="H688" i="1"/>
  <c r="G688" i="1"/>
  <c r="D688" i="1"/>
  <c r="C688" i="1"/>
  <c r="B688" i="1"/>
  <c r="A688" i="1"/>
  <c r="H687" i="1"/>
  <c r="G687" i="1"/>
  <c r="D687" i="1"/>
  <c r="C687" i="1"/>
  <c r="B687" i="1"/>
  <c r="A687" i="1"/>
  <c r="H686" i="1"/>
  <c r="G686" i="1"/>
  <c r="D686" i="1"/>
  <c r="C686" i="1"/>
  <c r="B686" i="1"/>
  <c r="A686" i="1"/>
  <c r="H685" i="1"/>
  <c r="G685" i="1"/>
  <c r="D685" i="1"/>
  <c r="C685" i="1"/>
  <c r="B685" i="1"/>
  <c r="A685" i="1"/>
  <c r="H684" i="1"/>
  <c r="G684" i="1"/>
  <c r="D684" i="1"/>
  <c r="C684" i="1"/>
  <c r="B684" i="1"/>
  <c r="A684" i="1"/>
  <c r="H683" i="1"/>
  <c r="G683" i="1"/>
  <c r="D683" i="1"/>
  <c r="C683" i="1"/>
  <c r="B683" i="1"/>
  <c r="A683" i="1"/>
  <c r="H682" i="1"/>
  <c r="G682" i="1"/>
  <c r="D682" i="1"/>
  <c r="C682" i="1"/>
  <c r="B682" i="1"/>
  <c r="A682" i="1"/>
  <c r="H681" i="1"/>
  <c r="G681" i="1"/>
  <c r="D681" i="1"/>
  <c r="C681" i="1"/>
  <c r="B681" i="1"/>
  <c r="A681" i="1"/>
  <c r="H680" i="1"/>
  <c r="G680" i="1"/>
  <c r="D680" i="1"/>
  <c r="C680" i="1"/>
  <c r="B680" i="1"/>
  <c r="A680" i="1"/>
  <c r="H679" i="1"/>
  <c r="G679" i="1"/>
  <c r="D679" i="1"/>
  <c r="C679" i="1"/>
  <c r="B679" i="1"/>
  <c r="A679" i="1"/>
  <c r="H678" i="1"/>
  <c r="G678" i="1"/>
  <c r="D678" i="1"/>
  <c r="C678" i="1"/>
  <c r="B678" i="1"/>
  <c r="A678" i="1"/>
  <c r="H677" i="1"/>
  <c r="G677" i="1"/>
  <c r="D677" i="1"/>
  <c r="C677" i="1"/>
  <c r="B677" i="1"/>
  <c r="A677" i="1"/>
  <c r="H676" i="1"/>
  <c r="G676" i="1"/>
  <c r="D676" i="1"/>
  <c r="C676" i="1"/>
  <c r="B676" i="1"/>
  <c r="A676" i="1"/>
  <c r="H675" i="1"/>
  <c r="G675" i="1"/>
  <c r="D675" i="1"/>
  <c r="C675" i="1"/>
  <c r="B675" i="1"/>
  <c r="A675" i="1"/>
  <c r="H674" i="1"/>
  <c r="G674" i="1"/>
  <c r="D674" i="1"/>
  <c r="C674" i="1"/>
  <c r="B674" i="1"/>
  <c r="A674" i="1"/>
  <c r="H673" i="1"/>
  <c r="G673" i="1"/>
  <c r="D673" i="1"/>
  <c r="C673" i="1"/>
  <c r="B673" i="1"/>
  <c r="A673" i="1"/>
  <c r="H672" i="1"/>
  <c r="G672" i="1"/>
  <c r="D672" i="1"/>
  <c r="C672" i="1"/>
  <c r="B672" i="1"/>
  <c r="A672" i="1"/>
  <c r="H671" i="1"/>
  <c r="G671" i="1"/>
  <c r="D671" i="1"/>
  <c r="C671" i="1"/>
  <c r="B671" i="1"/>
  <c r="A671" i="1"/>
  <c r="H670" i="1"/>
  <c r="G670" i="1"/>
  <c r="D670" i="1"/>
  <c r="C670" i="1"/>
  <c r="B670" i="1"/>
  <c r="A670" i="1"/>
  <c r="H669" i="1"/>
  <c r="G669" i="1"/>
  <c r="D669" i="1"/>
  <c r="C669" i="1"/>
  <c r="B669" i="1"/>
  <c r="A669" i="1"/>
  <c r="H668" i="1"/>
  <c r="G668" i="1"/>
  <c r="D668" i="1"/>
  <c r="C668" i="1"/>
  <c r="B668" i="1"/>
  <c r="A668" i="1"/>
  <c r="H667" i="1"/>
  <c r="G667" i="1"/>
  <c r="D667" i="1"/>
  <c r="C667" i="1"/>
  <c r="B667" i="1"/>
  <c r="A667" i="1"/>
  <c r="H666" i="1"/>
  <c r="G666" i="1"/>
  <c r="D666" i="1"/>
  <c r="C666" i="1"/>
  <c r="B666" i="1"/>
  <c r="A666" i="1"/>
  <c r="H665" i="1"/>
  <c r="G665" i="1"/>
  <c r="D665" i="1"/>
  <c r="C665" i="1"/>
  <c r="B665" i="1"/>
  <c r="A665" i="1"/>
  <c r="H664" i="1"/>
  <c r="G664" i="1"/>
  <c r="D664" i="1"/>
  <c r="C664" i="1"/>
  <c r="B664" i="1"/>
  <c r="A664" i="1"/>
  <c r="H663" i="1"/>
  <c r="G663" i="1"/>
  <c r="D663" i="1"/>
  <c r="C663" i="1"/>
  <c r="B663" i="1"/>
  <c r="A663" i="1"/>
  <c r="H662" i="1"/>
  <c r="G662" i="1"/>
  <c r="D662" i="1"/>
  <c r="C662" i="1"/>
  <c r="B662" i="1"/>
  <c r="A662" i="1"/>
  <c r="H661" i="1"/>
  <c r="G661" i="1"/>
  <c r="D661" i="1"/>
  <c r="C661" i="1"/>
  <c r="B661" i="1"/>
  <c r="A661" i="1"/>
  <c r="H660" i="1"/>
  <c r="G660" i="1"/>
  <c r="D660" i="1"/>
  <c r="C660" i="1"/>
  <c r="B660" i="1"/>
  <c r="A660" i="1"/>
  <c r="H659" i="1"/>
  <c r="G659" i="1"/>
  <c r="D659" i="1"/>
  <c r="C659" i="1"/>
  <c r="B659" i="1"/>
  <c r="A659" i="1"/>
  <c r="H658" i="1"/>
  <c r="G658" i="1"/>
  <c r="D658" i="1"/>
  <c r="C658" i="1"/>
  <c r="B658" i="1"/>
  <c r="A658" i="1"/>
  <c r="H657" i="1"/>
  <c r="G657" i="1"/>
  <c r="D657" i="1"/>
  <c r="C657" i="1"/>
  <c r="B657" i="1"/>
  <c r="A657" i="1"/>
  <c r="H656" i="1"/>
  <c r="G656" i="1"/>
  <c r="D656" i="1"/>
  <c r="C656" i="1"/>
  <c r="B656" i="1"/>
  <c r="A656" i="1"/>
  <c r="H655" i="1"/>
  <c r="G655" i="1"/>
  <c r="D655" i="1"/>
  <c r="C655" i="1"/>
  <c r="B655" i="1"/>
  <c r="A655" i="1"/>
  <c r="H654" i="1"/>
  <c r="G654" i="1"/>
  <c r="D654" i="1"/>
  <c r="C654" i="1"/>
  <c r="B654" i="1"/>
  <c r="A654" i="1"/>
  <c r="H653" i="1"/>
  <c r="G653" i="1"/>
  <c r="D653" i="1"/>
  <c r="C653" i="1"/>
  <c r="B653" i="1"/>
  <c r="A653" i="1"/>
  <c r="H652" i="1"/>
  <c r="G652" i="1"/>
  <c r="D652" i="1"/>
  <c r="C652" i="1"/>
  <c r="B652" i="1"/>
  <c r="A652" i="1"/>
  <c r="H651" i="1"/>
  <c r="G651" i="1"/>
  <c r="D651" i="1"/>
  <c r="C651" i="1"/>
  <c r="B651" i="1"/>
  <c r="A651" i="1"/>
  <c r="H650" i="1"/>
  <c r="G650" i="1"/>
  <c r="D650" i="1"/>
  <c r="C650" i="1"/>
  <c r="B650" i="1"/>
  <c r="A650" i="1"/>
  <c r="H649" i="1"/>
  <c r="G649" i="1"/>
  <c r="D649" i="1"/>
  <c r="C649" i="1"/>
  <c r="B649" i="1"/>
  <c r="A649" i="1"/>
  <c r="H648" i="1"/>
  <c r="G648" i="1"/>
  <c r="D648" i="1"/>
  <c r="C648" i="1"/>
  <c r="B648" i="1"/>
  <c r="A648" i="1"/>
  <c r="H647" i="1"/>
  <c r="G647" i="1"/>
  <c r="D647" i="1"/>
  <c r="C647" i="1"/>
  <c r="B647" i="1"/>
  <c r="A647" i="1"/>
  <c r="H646" i="1"/>
  <c r="G646" i="1"/>
  <c r="D646" i="1"/>
  <c r="C646" i="1"/>
  <c r="B646" i="1"/>
  <c r="A646" i="1"/>
  <c r="H645" i="1"/>
  <c r="G645" i="1"/>
  <c r="D645" i="1"/>
  <c r="C645" i="1"/>
  <c r="B645" i="1"/>
  <c r="A645" i="1"/>
  <c r="H644" i="1"/>
  <c r="G644" i="1"/>
  <c r="D644" i="1"/>
  <c r="C644" i="1"/>
  <c r="B644" i="1"/>
  <c r="A644" i="1"/>
  <c r="H643" i="1"/>
  <c r="G643" i="1"/>
  <c r="D643" i="1"/>
  <c r="C643" i="1"/>
  <c r="B643" i="1"/>
  <c r="A643" i="1"/>
  <c r="H642" i="1"/>
  <c r="G642" i="1"/>
  <c r="D642" i="1"/>
  <c r="C642" i="1"/>
  <c r="B642" i="1"/>
  <c r="A642" i="1"/>
  <c r="H641" i="1"/>
  <c r="G641" i="1"/>
  <c r="D641" i="1"/>
  <c r="C641" i="1"/>
  <c r="B641" i="1"/>
  <c r="A641" i="1"/>
  <c r="H640" i="1"/>
  <c r="G640" i="1"/>
  <c r="D640" i="1"/>
  <c r="C640" i="1"/>
  <c r="B640" i="1"/>
  <c r="A640" i="1"/>
  <c r="H639" i="1"/>
  <c r="G639" i="1"/>
  <c r="D639" i="1"/>
  <c r="C639" i="1"/>
  <c r="B639" i="1"/>
  <c r="A639" i="1"/>
  <c r="H638" i="1"/>
  <c r="G638" i="1"/>
  <c r="D638" i="1"/>
  <c r="C638" i="1"/>
  <c r="B638" i="1"/>
  <c r="A638" i="1"/>
  <c r="H637" i="1"/>
  <c r="G637" i="1"/>
  <c r="D637" i="1"/>
  <c r="C637" i="1"/>
  <c r="B637" i="1"/>
  <c r="A637" i="1"/>
  <c r="H636" i="1"/>
  <c r="G636" i="1"/>
  <c r="D636" i="1"/>
  <c r="C636" i="1"/>
  <c r="B636" i="1"/>
  <c r="A636" i="1"/>
  <c r="H635" i="1"/>
  <c r="G635" i="1"/>
  <c r="D635" i="1"/>
  <c r="C635" i="1"/>
  <c r="B635" i="1"/>
  <c r="A635" i="1"/>
  <c r="H634" i="1"/>
  <c r="G634" i="1"/>
  <c r="D634" i="1"/>
  <c r="C634" i="1"/>
  <c r="B634" i="1"/>
  <c r="A634" i="1"/>
  <c r="H633" i="1"/>
  <c r="G633" i="1"/>
  <c r="D633" i="1"/>
  <c r="C633" i="1"/>
  <c r="B633" i="1"/>
  <c r="A633" i="1"/>
  <c r="H632" i="1"/>
  <c r="G632" i="1"/>
  <c r="D632" i="1"/>
  <c r="C632" i="1"/>
  <c r="B632" i="1"/>
  <c r="A632" i="1"/>
  <c r="H631" i="1"/>
  <c r="G631" i="1"/>
  <c r="D631" i="1"/>
  <c r="C631" i="1"/>
  <c r="B631" i="1"/>
  <c r="A631" i="1"/>
  <c r="H630" i="1"/>
  <c r="G630" i="1"/>
  <c r="D630" i="1"/>
  <c r="C630" i="1"/>
  <c r="B630" i="1"/>
  <c r="A630" i="1"/>
  <c r="H629" i="1"/>
  <c r="G629" i="1"/>
  <c r="D629" i="1"/>
  <c r="C629" i="1"/>
  <c r="B629" i="1"/>
  <c r="A629" i="1"/>
  <c r="H628" i="1"/>
  <c r="G628" i="1"/>
  <c r="D628" i="1"/>
  <c r="C628" i="1"/>
  <c r="B628" i="1"/>
  <c r="A628" i="1"/>
  <c r="H627" i="1"/>
  <c r="G627" i="1"/>
  <c r="D627" i="1"/>
  <c r="C627" i="1"/>
  <c r="B627" i="1"/>
  <c r="A627" i="1"/>
  <c r="H626" i="1"/>
  <c r="G626" i="1"/>
  <c r="D626" i="1"/>
  <c r="C626" i="1"/>
  <c r="B626" i="1"/>
  <c r="A626" i="1"/>
  <c r="H625" i="1"/>
  <c r="G625" i="1"/>
  <c r="D625" i="1"/>
  <c r="C625" i="1"/>
  <c r="B625" i="1"/>
  <c r="A625" i="1"/>
  <c r="H624" i="1"/>
  <c r="G624" i="1"/>
  <c r="D624" i="1"/>
  <c r="C624" i="1"/>
  <c r="B624" i="1"/>
  <c r="A624" i="1"/>
  <c r="H623" i="1"/>
  <c r="G623" i="1"/>
  <c r="D623" i="1"/>
  <c r="C623" i="1"/>
  <c r="B623" i="1"/>
  <c r="A623" i="1"/>
  <c r="H622" i="1"/>
  <c r="G622" i="1"/>
  <c r="D622" i="1"/>
  <c r="C622" i="1"/>
  <c r="B622" i="1"/>
  <c r="A622" i="1"/>
  <c r="H621" i="1"/>
  <c r="G621" i="1"/>
  <c r="D621" i="1"/>
  <c r="C621" i="1"/>
  <c r="B621" i="1"/>
  <c r="A621" i="1"/>
  <c r="H620" i="1"/>
  <c r="G620" i="1"/>
  <c r="D620" i="1"/>
  <c r="C620" i="1"/>
  <c r="B620" i="1"/>
  <c r="A620" i="1"/>
  <c r="H619" i="1"/>
  <c r="G619" i="1"/>
  <c r="D619" i="1"/>
  <c r="C619" i="1"/>
  <c r="B619" i="1"/>
  <c r="A619" i="1"/>
  <c r="H618" i="1"/>
  <c r="G618" i="1"/>
  <c r="D618" i="1"/>
  <c r="C618" i="1"/>
  <c r="B618" i="1"/>
  <c r="A618" i="1"/>
  <c r="H617" i="1"/>
  <c r="G617" i="1"/>
  <c r="D617" i="1"/>
  <c r="C617" i="1"/>
  <c r="B617" i="1"/>
  <c r="A617" i="1"/>
  <c r="H616" i="1"/>
  <c r="G616" i="1"/>
  <c r="D616" i="1"/>
  <c r="C616" i="1"/>
  <c r="B616" i="1"/>
  <c r="A616" i="1"/>
  <c r="H615" i="1"/>
  <c r="G615" i="1"/>
  <c r="D615" i="1"/>
  <c r="C615" i="1"/>
  <c r="B615" i="1"/>
  <c r="A615" i="1"/>
  <c r="H614" i="1"/>
  <c r="G614" i="1"/>
  <c r="D614" i="1"/>
  <c r="C614" i="1"/>
  <c r="B614" i="1"/>
  <c r="A614" i="1"/>
  <c r="H613" i="1"/>
  <c r="G613" i="1"/>
  <c r="D613" i="1"/>
  <c r="C613" i="1"/>
  <c r="B613" i="1"/>
  <c r="A613" i="1"/>
  <c r="H612" i="1"/>
  <c r="G612" i="1"/>
  <c r="D612" i="1"/>
  <c r="C612" i="1"/>
  <c r="B612" i="1"/>
  <c r="A612" i="1"/>
  <c r="H611" i="1"/>
  <c r="G611" i="1"/>
  <c r="D611" i="1"/>
  <c r="C611" i="1"/>
  <c r="B611" i="1"/>
  <c r="A611" i="1"/>
  <c r="H610" i="1"/>
  <c r="G610" i="1"/>
  <c r="D610" i="1"/>
  <c r="C610" i="1"/>
  <c r="B610" i="1"/>
  <c r="A610" i="1"/>
  <c r="H609" i="1"/>
  <c r="G609" i="1"/>
  <c r="D609" i="1"/>
  <c r="C609" i="1"/>
  <c r="B609" i="1"/>
  <c r="A609" i="1"/>
  <c r="H608" i="1"/>
  <c r="G608" i="1"/>
  <c r="D608" i="1"/>
  <c r="C608" i="1"/>
  <c r="B608" i="1"/>
  <c r="A608" i="1"/>
  <c r="H607" i="1"/>
  <c r="G607" i="1"/>
  <c r="D607" i="1"/>
  <c r="C607" i="1"/>
  <c r="B607" i="1"/>
  <c r="A607" i="1"/>
  <c r="H606" i="1"/>
  <c r="G606" i="1"/>
  <c r="D606" i="1"/>
  <c r="C606" i="1"/>
  <c r="B606" i="1"/>
  <c r="A606" i="1"/>
  <c r="H605" i="1"/>
  <c r="G605" i="1"/>
  <c r="D605" i="1"/>
  <c r="C605" i="1"/>
  <c r="B605" i="1"/>
  <c r="A605" i="1"/>
  <c r="H604" i="1"/>
  <c r="G604" i="1"/>
  <c r="D604" i="1"/>
  <c r="C604" i="1"/>
  <c r="B604" i="1"/>
  <c r="A604" i="1"/>
  <c r="H603" i="1"/>
  <c r="G603" i="1"/>
  <c r="D603" i="1"/>
  <c r="C603" i="1"/>
  <c r="B603" i="1"/>
  <c r="A603" i="1"/>
  <c r="H602" i="1"/>
  <c r="G602" i="1"/>
  <c r="D602" i="1"/>
  <c r="C602" i="1"/>
  <c r="B602" i="1"/>
  <c r="A602" i="1"/>
  <c r="H601" i="1"/>
  <c r="G601" i="1"/>
  <c r="D601" i="1"/>
  <c r="C601" i="1"/>
  <c r="B601" i="1"/>
  <c r="A601" i="1"/>
  <c r="H600" i="1"/>
  <c r="G600" i="1"/>
  <c r="D600" i="1"/>
  <c r="C600" i="1"/>
  <c r="B600" i="1"/>
  <c r="A600" i="1"/>
  <c r="H599" i="1"/>
  <c r="G599" i="1"/>
  <c r="D599" i="1"/>
  <c r="C599" i="1"/>
  <c r="B599" i="1"/>
  <c r="A599" i="1"/>
  <c r="H598" i="1"/>
  <c r="G598" i="1"/>
  <c r="D598" i="1"/>
  <c r="C598" i="1"/>
  <c r="B598" i="1"/>
  <c r="A598" i="1"/>
  <c r="H597" i="1"/>
  <c r="G597" i="1"/>
  <c r="D597" i="1"/>
  <c r="C597" i="1"/>
  <c r="B597" i="1"/>
  <c r="A597" i="1"/>
  <c r="H596" i="1"/>
  <c r="G596" i="1"/>
  <c r="D596" i="1"/>
  <c r="C596" i="1"/>
  <c r="B596" i="1"/>
  <c r="A596" i="1"/>
  <c r="H595" i="1"/>
  <c r="G595" i="1"/>
  <c r="D595" i="1"/>
  <c r="C595" i="1"/>
  <c r="B595" i="1"/>
  <c r="A595" i="1"/>
  <c r="H594" i="1"/>
  <c r="G594" i="1"/>
  <c r="D594" i="1"/>
  <c r="C594" i="1"/>
  <c r="B594" i="1"/>
  <c r="A594" i="1"/>
  <c r="H593" i="1"/>
  <c r="G593" i="1"/>
  <c r="D593" i="1"/>
  <c r="C593" i="1"/>
  <c r="B593" i="1"/>
  <c r="A593" i="1"/>
  <c r="H592" i="1"/>
  <c r="G592" i="1"/>
  <c r="D592" i="1"/>
  <c r="C592" i="1"/>
  <c r="B592" i="1"/>
  <c r="A592" i="1"/>
  <c r="H591" i="1"/>
  <c r="G591" i="1"/>
  <c r="D591" i="1"/>
  <c r="C591" i="1"/>
  <c r="B591" i="1"/>
  <c r="A591" i="1"/>
  <c r="H590" i="1"/>
  <c r="G590" i="1"/>
  <c r="D590" i="1"/>
  <c r="C590" i="1"/>
  <c r="B590" i="1"/>
  <c r="A590" i="1"/>
  <c r="H589" i="1"/>
  <c r="G589" i="1"/>
  <c r="D589" i="1"/>
  <c r="C589" i="1"/>
  <c r="B589" i="1"/>
  <c r="A589" i="1"/>
  <c r="H588" i="1"/>
  <c r="G588" i="1"/>
  <c r="D588" i="1"/>
  <c r="C588" i="1"/>
  <c r="B588" i="1"/>
  <c r="A588" i="1"/>
  <c r="H587" i="1"/>
  <c r="G587" i="1"/>
  <c r="D587" i="1"/>
  <c r="C587" i="1"/>
  <c r="B587" i="1"/>
  <c r="A587" i="1"/>
  <c r="H586" i="1"/>
  <c r="G586" i="1"/>
  <c r="D586" i="1"/>
  <c r="C586" i="1"/>
  <c r="B586" i="1"/>
  <c r="A586" i="1"/>
  <c r="H585" i="1"/>
  <c r="G585" i="1"/>
  <c r="D585" i="1"/>
  <c r="C585" i="1"/>
  <c r="B585" i="1"/>
  <c r="A585" i="1"/>
  <c r="H584" i="1"/>
  <c r="G584" i="1"/>
  <c r="D584" i="1"/>
  <c r="C584" i="1"/>
  <c r="B584" i="1"/>
  <c r="A584" i="1"/>
  <c r="H583" i="1"/>
  <c r="G583" i="1"/>
  <c r="D583" i="1"/>
  <c r="C583" i="1"/>
  <c r="B583" i="1"/>
  <c r="A583" i="1"/>
  <c r="H582" i="1"/>
  <c r="G582" i="1"/>
  <c r="D582" i="1"/>
  <c r="C582" i="1"/>
  <c r="B582" i="1"/>
  <c r="A582" i="1"/>
  <c r="H581" i="1"/>
  <c r="G581" i="1"/>
  <c r="D581" i="1"/>
  <c r="C581" i="1"/>
  <c r="B581" i="1"/>
  <c r="A581" i="1"/>
  <c r="H580" i="1"/>
  <c r="G580" i="1"/>
  <c r="D580" i="1"/>
  <c r="C580" i="1"/>
  <c r="B580" i="1"/>
  <c r="A580" i="1"/>
  <c r="H579" i="1"/>
  <c r="G579" i="1"/>
  <c r="D579" i="1"/>
  <c r="C579" i="1"/>
  <c r="B579" i="1"/>
  <c r="A579" i="1"/>
  <c r="H578" i="1"/>
  <c r="G578" i="1"/>
  <c r="D578" i="1"/>
  <c r="C578" i="1"/>
  <c r="B578" i="1"/>
  <c r="A578" i="1"/>
  <c r="H577" i="1"/>
  <c r="G577" i="1"/>
  <c r="D577" i="1"/>
  <c r="C577" i="1"/>
  <c r="B577" i="1"/>
  <c r="A577" i="1"/>
  <c r="H576" i="1"/>
  <c r="G576" i="1"/>
  <c r="D576" i="1"/>
  <c r="C576" i="1"/>
  <c r="B576" i="1"/>
  <c r="A576" i="1"/>
  <c r="H575" i="1"/>
  <c r="G575" i="1"/>
  <c r="D575" i="1"/>
  <c r="C575" i="1"/>
  <c r="B575" i="1"/>
  <c r="A575" i="1"/>
  <c r="H574" i="1"/>
  <c r="G574" i="1"/>
  <c r="D574" i="1"/>
  <c r="C574" i="1"/>
  <c r="B574" i="1"/>
  <c r="A574" i="1"/>
  <c r="H573" i="1"/>
  <c r="G573" i="1"/>
  <c r="D573" i="1"/>
  <c r="C573" i="1"/>
  <c r="B573" i="1"/>
  <c r="A573" i="1"/>
  <c r="H572" i="1"/>
  <c r="G572" i="1"/>
  <c r="D572" i="1"/>
  <c r="C572" i="1"/>
  <c r="B572" i="1"/>
  <c r="A572" i="1"/>
  <c r="H571" i="1"/>
  <c r="G571" i="1"/>
  <c r="D571" i="1"/>
  <c r="C571" i="1"/>
  <c r="B571" i="1"/>
  <c r="A571" i="1"/>
  <c r="H570" i="1"/>
  <c r="G570" i="1"/>
  <c r="D570" i="1"/>
  <c r="C570" i="1"/>
  <c r="B570" i="1"/>
  <c r="A570" i="1"/>
  <c r="H569" i="1"/>
  <c r="G569" i="1"/>
  <c r="D569" i="1"/>
  <c r="C569" i="1"/>
  <c r="B569" i="1"/>
  <c r="A569" i="1"/>
  <c r="H568" i="1"/>
  <c r="G568" i="1"/>
  <c r="D568" i="1"/>
  <c r="C568" i="1"/>
  <c r="B568" i="1"/>
  <c r="A568" i="1"/>
  <c r="H567" i="1"/>
  <c r="G567" i="1"/>
  <c r="D567" i="1"/>
  <c r="C567" i="1"/>
  <c r="B567" i="1"/>
  <c r="A567" i="1"/>
  <c r="H566" i="1"/>
  <c r="G566" i="1"/>
  <c r="D566" i="1"/>
  <c r="C566" i="1"/>
  <c r="B566" i="1"/>
  <c r="A566" i="1"/>
  <c r="H565" i="1"/>
  <c r="G565" i="1"/>
  <c r="D565" i="1"/>
  <c r="C565" i="1"/>
  <c r="B565" i="1"/>
  <c r="A565" i="1"/>
  <c r="H564" i="1"/>
  <c r="G564" i="1"/>
  <c r="D564" i="1"/>
  <c r="C564" i="1"/>
  <c r="B564" i="1"/>
  <c r="A564" i="1"/>
  <c r="H563" i="1"/>
  <c r="G563" i="1"/>
  <c r="D563" i="1"/>
  <c r="C563" i="1"/>
  <c r="B563" i="1"/>
  <c r="A563" i="1"/>
  <c r="H562" i="1"/>
  <c r="G562" i="1"/>
  <c r="D562" i="1"/>
  <c r="C562" i="1"/>
  <c r="B562" i="1"/>
  <c r="A562" i="1"/>
  <c r="H561" i="1"/>
  <c r="G561" i="1"/>
  <c r="D561" i="1"/>
  <c r="C561" i="1"/>
  <c r="B561" i="1"/>
  <c r="A561" i="1"/>
  <c r="H560" i="1"/>
  <c r="G560" i="1"/>
  <c r="D560" i="1"/>
  <c r="C560" i="1"/>
  <c r="B560" i="1"/>
  <c r="A560" i="1"/>
  <c r="H559" i="1"/>
  <c r="G559" i="1"/>
  <c r="D559" i="1"/>
  <c r="C559" i="1"/>
  <c r="B559" i="1"/>
  <c r="A559" i="1"/>
  <c r="H558" i="1"/>
  <c r="G558" i="1"/>
  <c r="D558" i="1"/>
  <c r="C558" i="1"/>
  <c r="B558" i="1"/>
  <c r="A558" i="1"/>
  <c r="H557" i="1"/>
  <c r="G557" i="1"/>
  <c r="D557" i="1"/>
  <c r="C557" i="1"/>
  <c r="B557" i="1"/>
  <c r="A557" i="1"/>
  <c r="H556" i="1"/>
  <c r="G556" i="1"/>
  <c r="D556" i="1"/>
  <c r="C556" i="1"/>
  <c r="B556" i="1"/>
  <c r="A556" i="1"/>
  <c r="H555" i="1"/>
  <c r="G555" i="1"/>
  <c r="D555" i="1"/>
  <c r="C555" i="1"/>
  <c r="B555" i="1"/>
  <c r="A555" i="1"/>
  <c r="H554" i="1"/>
  <c r="G554" i="1"/>
  <c r="D554" i="1"/>
  <c r="C554" i="1"/>
  <c r="B554" i="1"/>
  <c r="A554" i="1"/>
  <c r="H553" i="1"/>
  <c r="G553" i="1"/>
  <c r="D553" i="1"/>
  <c r="C553" i="1"/>
  <c r="B553" i="1"/>
  <c r="A553" i="1"/>
  <c r="H552" i="1"/>
  <c r="G552" i="1"/>
  <c r="D552" i="1"/>
  <c r="C552" i="1"/>
  <c r="B552" i="1"/>
  <c r="A552" i="1"/>
  <c r="H551" i="1"/>
  <c r="G551" i="1"/>
  <c r="D551" i="1"/>
  <c r="C551" i="1"/>
  <c r="B551" i="1"/>
  <c r="A551" i="1"/>
  <c r="H550" i="1"/>
  <c r="G550" i="1"/>
  <c r="D550" i="1"/>
  <c r="C550" i="1"/>
  <c r="B550" i="1"/>
  <c r="A550" i="1"/>
  <c r="H549" i="1"/>
  <c r="G549" i="1"/>
  <c r="D549" i="1"/>
  <c r="C549" i="1"/>
  <c r="B549" i="1"/>
  <c r="A549" i="1"/>
  <c r="H548" i="1"/>
  <c r="G548" i="1"/>
  <c r="D548" i="1"/>
  <c r="C548" i="1"/>
  <c r="B548" i="1"/>
  <c r="A548" i="1"/>
  <c r="H547" i="1"/>
  <c r="G547" i="1"/>
  <c r="D547" i="1"/>
  <c r="C547" i="1"/>
  <c r="B547" i="1"/>
  <c r="A547" i="1"/>
  <c r="H546" i="1"/>
  <c r="G546" i="1"/>
  <c r="D546" i="1"/>
  <c r="C546" i="1"/>
  <c r="B546" i="1"/>
  <c r="A546" i="1"/>
  <c r="H545" i="1"/>
  <c r="G545" i="1"/>
  <c r="D545" i="1"/>
  <c r="C545" i="1"/>
  <c r="B545" i="1"/>
  <c r="A545" i="1"/>
  <c r="H544" i="1"/>
  <c r="G544" i="1"/>
  <c r="D544" i="1"/>
  <c r="C544" i="1"/>
  <c r="B544" i="1"/>
  <c r="A544" i="1"/>
  <c r="H543" i="1"/>
  <c r="G543" i="1"/>
  <c r="D543" i="1"/>
  <c r="C543" i="1"/>
  <c r="B543" i="1"/>
  <c r="A543" i="1"/>
  <c r="H542" i="1"/>
  <c r="G542" i="1"/>
  <c r="D542" i="1"/>
  <c r="C542" i="1"/>
  <c r="B542" i="1"/>
  <c r="A542" i="1"/>
  <c r="H541" i="1"/>
  <c r="G541" i="1"/>
  <c r="D541" i="1"/>
  <c r="C541" i="1"/>
  <c r="B541" i="1"/>
  <c r="A541" i="1"/>
  <c r="H540" i="1"/>
  <c r="G540" i="1"/>
  <c r="D540" i="1"/>
  <c r="C540" i="1"/>
  <c r="B540" i="1"/>
  <c r="A540" i="1"/>
  <c r="H539" i="1"/>
  <c r="G539" i="1"/>
  <c r="D539" i="1"/>
  <c r="C539" i="1"/>
  <c r="B539" i="1"/>
  <c r="A539" i="1"/>
  <c r="H538" i="1"/>
  <c r="G538" i="1"/>
  <c r="D538" i="1"/>
  <c r="C538" i="1"/>
  <c r="B538" i="1"/>
  <c r="A538" i="1"/>
  <c r="H537" i="1"/>
  <c r="G537" i="1"/>
  <c r="D537" i="1"/>
  <c r="C537" i="1"/>
  <c r="B537" i="1"/>
  <c r="A537" i="1"/>
  <c r="H536" i="1"/>
  <c r="G536" i="1"/>
  <c r="D536" i="1"/>
  <c r="C536" i="1"/>
  <c r="B536" i="1"/>
  <c r="A536" i="1"/>
  <c r="H535" i="1"/>
  <c r="G535" i="1"/>
  <c r="D535" i="1"/>
  <c r="C535" i="1"/>
  <c r="B535" i="1"/>
  <c r="A535" i="1"/>
  <c r="H534" i="1"/>
  <c r="G534" i="1"/>
  <c r="D534" i="1"/>
  <c r="C534" i="1"/>
  <c r="B534" i="1"/>
  <c r="A534" i="1"/>
  <c r="H533" i="1"/>
  <c r="G533" i="1"/>
  <c r="D533" i="1"/>
  <c r="C533" i="1"/>
  <c r="B533" i="1"/>
  <c r="A533" i="1"/>
  <c r="H532" i="1"/>
  <c r="G532" i="1"/>
  <c r="D532" i="1"/>
  <c r="C532" i="1"/>
  <c r="B532" i="1"/>
  <c r="A532" i="1"/>
  <c r="H531" i="1"/>
  <c r="G531" i="1"/>
  <c r="D531" i="1"/>
  <c r="C531" i="1"/>
  <c r="B531" i="1"/>
  <c r="A531" i="1"/>
  <c r="H530" i="1"/>
  <c r="G530" i="1"/>
  <c r="D530" i="1"/>
  <c r="C530" i="1"/>
  <c r="B530" i="1"/>
  <c r="A530" i="1"/>
  <c r="H529" i="1"/>
  <c r="G529" i="1"/>
  <c r="D529" i="1"/>
  <c r="C529" i="1"/>
  <c r="B529" i="1"/>
  <c r="A529" i="1"/>
  <c r="H528" i="1"/>
  <c r="G528" i="1"/>
  <c r="D528" i="1"/>
  <c r="C528" i="1"/>
  <c r="B528" i="1"/>
  <c r="A528" i="1"/>
  <c r="H527" i="1"/>
  <c r="G527" i="1"/>
  <c r="D527" i="1"/>
  <c r="C527" i="1"/>
  <c r="B527" i="1"/>
  <c r="A527" i="1"/>
  <c r="H526" i="1"/>
  <c r="G526" i="1"/>
  <c r="D526" i="1"/>
  <c r="C526" i="1"/>
  <c r="B526" i="1"/>
  <c r="A526" i="1"/>
  <c r="H525" i="1"/>
  <c r="G525" i="1"/>
  <c r="D525" i="1"/>
  <c r="C525" i="1"/>
  <c r="B525" i="1"/>
  <c r="A525" i="1"/>
  <c r="H524" i="1"/>
  <c r="G524" i="1"/>
  <c r="D524" i="1"/>
  <c r="C524" i="1"/>
  <c r="B524" i="1"/>
  <c r="A524" i="1"/>
  <c r="H523" i="1"/>
  <c r="G523" i="1"/>
  <c r="D523" i="1"/>
  <c r="C523" i="1"/>
  <c r="B523" i="1"/>
  <c r="A523" i="1"/>
  <c r="H522" i="1"/>
  <c r="G522" i="1"/>
  <c r="D522" i="1"/>
  <c r="C522" i="1"/>
  <c r="B522" i="1"/>
  <c r="A522" i="1"/>
  <c r="H521" i="1"/>
  <c r="G521" i="1"/>
  <c r="D521" i="1"/>
  <c r="C521" i="1"/>
  <c r="B521" i="1"/>
  <c r="A521" i="1"/>
  <c r="H520" i="1"/>
  <c r="G520" i="1"/>
  <c r="D520" i="1"/>
  <c r="C520" i="1"/>
  <c r="B520" i="1"/>
  <c r="A520" i="1"/>
  <c r="H519" i="1"/>
  <c r="G519" i="1"/>
  <c r="D519" i="1"/>
  <c r="C519" i="1"/>
  <c r="B519" i="1"/>
  <c r="A519" i="1"/>
  <c r="H518" i="1"/>
  <c r="G518" i="1"/>
  <c r="D518" i="1"/>
  <c r="C518" i="1"/>
  <c r="B518" i="1"/>
  <c r="A518" i="1"/>
  <c r="H517" i="1"/>
  <c r="G517" i="1"/>
  <c r="D517" i="1"/>
  <c r="C517" i="1"/>
  <c r="B517" i="1"/>
  <c r="A517" i="1"/>
  <c r="H516" i="1"/>
  <c r="G516" i="1"/>
  <c r="D516" i="1"/>
  <c r="C516" i="1"/>
  <c r="B516" i="1"/>
  <c r="A516" i="1"/>
  <c r="H515" i="1"/>
  <c r="G515" i="1"/>
  <c r="D515" i="1"/>
  <c r="C515" i="1"/>
  <c r="B515" i="1"/>
  <c r="A515" i="1"/>
  <c r="H514" i="1"/>
  <c r="G514" i="1"/>
  <c r="D514" i="1"/>
  <c r="C514" i="1"/>
  <c r="B514" i="1"/>
  <c r="A514" i="1"/>
  <c r="H513" i="1"/>
  <c r="G513" i="1"/>
  <c r="D513" i="1"/>
  <c r="C513" i="1"/>
  <c r="B513" i="1"/>
  <c r="A513" i="1"/>
  <c r="H512" i="1"/>
  <c r="G512" i="1"/>
  <c r="D512" i="1"/>
  <c r="C512" i="1"/>
  <c r="B512" i="1"/>
  <c r="A512" i="1"/>
  <c r="H511" i="1"/>
  <c r="G511" i="1"/>
  <c r="D511" i="1"/>
  <c r="C511" i="1"/>
  <c r="B511" i="1"/>
  <c r="A511" i="1"/>
  <c r="H510" i="1"/>
  <c r="G510" i="1"/>
  <c r="D510" i="1"/>
  <c r="C510" i="1"/>
  <c r="B510" i="1"/>
  <c r="A510" i="1"/>
  <c r="H509" i="1"/>
  <c r="G509" i="1"/>
  <c r="D509" i="1"/>
  <c r="C509" i="1"/>
  <c r="B509" i="1"/>
  <c r="A509" i="1"/>
  <c r="H508" i="1"/>
  <c r="G508" i="1"/>
  <c r="D508" i="1"/>
  <c r="C508" i="1"/>
  <c r="B508" i="1"/>
  <c r="A508" i="1"/>
  <c r="H507" i="1"/>
  <c r="G507" i="1"/>
  <c r="D507" i="1"/>
  <c r="C507" i="1"/>
  <c r="B507" i="1"/>
  <c r="A507" i="1"/>
  <c r="H506" i="1"/>
  <c r="G506" i="1"/>
  <c r="D506" i="1"/>
  <c r="C506" i="1"/>
  <c r="B506" i="1"/>
  <c r="A506" i="1"/>
  <c r="H505" i="1"/>
  <c r="G505" i="1"/>
  <c r="D505" i="1"/>
  <c r="C505" i="1"/>
  <c r="B505" i="1"/>
  <c r="A505" i="1"/>
  <c r="H504" i="1"/>
  <c r="G504" i="1"/>
  <c r="D504" i="1"/>
  <c r="C504" i="1"/>
  <c r="B504" i="1"/>
  <c r="A504" i="1"/>
  <c r="H503" i="1"/>
  <c r="G503" i="1"/>
  <c r="D503" i="1"/>
  <c r="C503" i="1"/>
  <c r="B503" i="1"/>
  <c r="A503" i="1"/>
  <c r="H502" i="1"/>
  <c r="G502" i="1"/>
  <c r="D502" i="1"/>
  <c r="C502" i="1"/>
  <c r="B502" i="1"/>
  <c r="A502" i="1"/>
  <c r="H501" i="1"/>
  <c r="G501" i="1"/>
  <c r="D501" i="1"/>
  <c r="C501" i="1"/>
  <c r="B501" i="1"/>
  <c r="A501" i="1"/>
  <c r="H500" i="1"/>
  <c r="G500" i="1"/>
  <c r="D500" i="1"/>
  <c r="C500" i="1"/>
  <c r="B500" i="1"/>
  <c r="A500" i="1"/>
  <c r="H499" i="1"/>
  <c r="G499" i="1"/>
  <c r="D499" i="1"/>
  <c r="C499" i="1"/>
  <c r="B499" i="1"/>
  <c r="A499" i="1"/>
  <c r="H498" i="1"/>
  <c r="G498" i="1"/>
  <c r="D498" i="1"/>
  <c r="C498" i="1"/>
  <c r="B498" i="1"/>
  <c r="A498" i="1"/>
  <c r="H497" i="1"/>
  <c r="G497" i="1"/>
  <c r="D497" i="1"/>
  <c r="C497" i="1"/>
  <c r="B497" i="1"/>
  <c r="A497" i="1"/>
  <c r="H496" i="1"/>
  <c r="G496" i="1"/>
  <c r="D496" i="1"/>
  <c r="C496" i="1"/>
  <c r="B496" i="1"/>
  <c r="A496" i="1"/>
  <c r="H495" i="1"/>
  <c r="G495" i="1"/>
  <c r="D495" i="1"/>
  <c r="C495" i="1"/>
  <c r="B495" i="1"/>
  <c r="A495" i="1"/>
  <c r="H494" i="1"/>
  <c r="G494" i="1"/>
  <c r="D494" i="1"/>
  <c r="C494" i="1"/>
  <c r="B494" i="1"/>
  <c r="A494" i="1"/>
  <c r="H493" i="1"/>
  <c r="G493" i="1"/>
  <c r="D493" i="1"/>
  <c r="C493" i="1"/>
  <c r="B493" i="1"/>
  <c r="A493" i="1"/>
  <c r="H492" i="1"/>
  <c r="G492" i="1"/>
  <c r="D492" i="1"/>
  <c r="C492" i="1"/>
  <c r="B492" i="1"/>
  <c r="A492" i="1"/>
  <c r="H491" i="1"/>
  <c r="G491" i="1"/>
  <c r="D491" i="1"/>
  <c r="C491" i="1"/>
  <c r="B491" i="1"/>
  <c r="A491" i="1"/>
  <c r="H490" i="1"/>
  <c r="G490" i="1"/>
  <c r="D490" i="1"/>
  <c r="C490" i="1"/>
  <c r="B490" i="1"/>
  <c r="A490" i="1"/>
  <c r="H489" i="1"/>
  <c r="G489" i="1"/>
  <c r="D489" i="1"/>
  <c r="C489" i="1"/>
  <c r="B489" i="1"/>
  <c r="A489" i="1"/>
  <c r="H488" i="1"/>
  <c r="G488" i="1"/>
  <c r="D488" i="1"/>
  <c r="C488" i="1"/>
  <c r="B488" i="1"/>
  <c r="A488" i="1"/>
  <c r="H487" i="1"/>
  <c r="G487" i="1"/>
  <c r="D487" i="1"/>
  <c r="C487" i="1"/>
  <c r="B487" i="1"/>
  <c r="A487" i="1"/>
  <c r="H486" i="1"/>
  <c r="G486" i="1"/>
  <c r="D486" i="1"/>
  <c r="C486" i="1"/>
  <c r="B486" i="1"/>
  <c r="A486" i="1"/>
  <c r="H485" i="1"/>
  <c r="G485" i="1"/>
  <c r="D485" i="1"/>
  <c r="C485" i="1"/>
  <c r="B485" i="1"/>
  <c r="A485" i="1"/>
  <c r="H484" i="1"/>
  <c r="G484" i="1"/>
  <c r="D484" i="1"/>
  <c r="C484" i="1"/>
  <c r="B484" i="1"/>
  <c r="A484" i="1"/>
  <c r="H483" i="1"/>
  <c r="G483" i="1"/>
  <c r="D483" i="1"/>
  <c r="C483" i="1"/>
  <c r="B483" i="1"/>
  <c r="A483" i="1"/>
  <c r="H482" i="1"/>
  <c r="G482" i="1"/>
  <c r="D482" i="1"/>
  <c r="C482" i="1"/>
  <c r="B482" i="1"/>
  <c r="A482" i="1"/>
  <c r="H481" i="1"/>
  <c r="G481" i="1"/>
  <c r="D481" i="1"/>
  <c r="C481" i="1"/>
  <c r="B481" i="1"/>
  <c r="A481" i="1"/>
  <c r="H480" i="1"/>
  <c r="G480" i="1"/>
  <c r="D480" i="1"/>
  <c r="C480" i="1"/>
  <c r="B480" i="1"/>
  <c r="A480" i="1"/>
  <c r="H479" i="1"/>
  <c r="G479" i="1"/>
  <c r="D479" i="1"/>
  <c r="C479" i="1"/>
  <c r="B479" i="1"/>
  <c r="A479" i="1"/>
  <c r="H478" i="1"/>
  <c r="G478" i="1"/>
  <c r="D478" i="1"/>
  <c r="C478" i="1"/>
  <c r="B478" i="1"/>
  <c r="A478" i="1"/>
  <c r="H477" i="1"/>
  <c r="G477" i="1"/>
  <c r="D477" i="1"/>
  <c r="C477" i="1"/>
  <c r="B477" i="1"/>
  <c r="A477" i="1"/>
  <c r="H476" i="1"/>
  <c r="G476" i="1"/>
  <c r="D476" i="1"/>
  <c r="C476" i="1"/>
  <c r="B476" i="1"/>
  <c r="A476" i="1"/>
  <c r="H475" i="1"/>
  <c r="G475" i="1"/>
  <c r="D475" i="1"/>
  <c r="C475" i="1"/>
  <c r="B475" i="1"/>
  <c r="A475" i="1"/>
  <c r="H474" i="1"/>
  <c r="G474" i="1"/>
  <c r="D474" i="1"/>
  <c r="C474" i="1"/>
  <c r="B474" i="1"/>
  <c r="A474" i="1"/>
  <c r="H473" i="1"/>
  <c r="G473" i="1"/>
  <c r="D473" i="1"/>
  <c r="C473" i="1"/>
  <c r="B473" i="1"/>
  <c r="A473" i="1"/>
  <c r="H472" i="1"/>
  <c r="G472" i="1"/>
  <c r="D472" i="1"/>
  <c r="C472" i="1"/>
  <c r="B472" i="1"/>
  <c r="A472" i="1"/>
  <c r="H471" i="1"/>
  <c r="G471" i="1"/>
  <c r="D471" i="1"/>
  <c r="C471" i="1"/>
  <c r="B471" i="1"/>
  <c r="A471" i="1"/>
  <c r="H470" i="1"/>
  <c r="G470" i="1"/>
  <c r="D470" i="1"/>
  <c r="C470" i="1"/>
  <c r="B470" i="1"/>
  <c r="A470" i="1"/>
  <c r="H469" i="1"/>
  <c r="G469" i="1"/>
  <c r="D469" i="1"/>
  <c r="C469" i="1"/>
  <c r="B469" i="1"/>
  <c r="A469" i="1"/>
  <c r="H468" i="1"/>
  <c r="G468" i="1"/>
  <c r="D468" i="1"/>
  <c r="C468" i="1"/>
  <c r="B468" i="1"/>
  <c r="A468" i="1"/>
  <c r="H467" i="1"/>
  <c r="G467" i="1"/>
  <c r="D467" i="1"/>
  <c r="C467" i="1"/>
  <c r="B467" i="1"/>
  <c r="A467" i="1"/>
  <c r="H466" i="1"/>
  <c r="G466" i="1"/>
  <c r="D466" i="1"/>
  <c r="C466" i="1"/>
  <c r="B466" i="1"/>
  <c r="A466" i="1"/>
  <c r="H465" i="1"/>
  <c r="G465" i="1"/>
  <c r="D465" i="1"/>
  <c r="C465" i="1"/>
  <c r="B465" i="1"/>
  <c r="A465" i="1"/>
  <c r="H464" i="1"/>
  <c r="G464" i="1"/>
  <c r="D464" i="1"/>
  <c r="C464" i="1"/>
  <c r="B464" i="1"/>
  <c r="A464" i="1"/>
  <c r="H463" i="1"/>
  <c r="G463" i="1"/>
  <c r="D463" i="1"/>
  <c r="C463" i="1"/>
  <c r="B463" i="1"/>
  <c r="A463" i="1"/>
  <c r="H462" i="1"/>
  <c r="G462" i="1"/>
  <c r="D462" i="1"/>
  <c r="C462" i="1"/>
  <c r="B462" i="1"/>
  <c r="A462" i="1"/>
  <c r="H461" i="1"/>
  <c r="G461" i="1"/>
  <c r="D461" i="1"/>
  <c r="C461" i="1"/>
  <c r="B461" i="1"/>
  <c r="A461" i="1"/>
  <c r="H460" i="1"/>
  <c r="G460" i="1"/>
  <c r="D460" i="1"/>
  <c r="C460" i="1"/>
  <c r="B460" i="1"/>
  <c r="A460" i="1"/>
  <c r="H459" i="1"/>
  <c r="G459" i="1"/>
  <c r="D459" i="1"/>
  <c r="C459" i="1"/>
  <c r="B459" i="1"/>
  <c r="A459" i="1"/>
  <c r="H458" i="1"/>
  <c r="G458" i="1"/>
  <c r="D458" i="1"/>
  <c r="C458" i="1"/>
  <c r="B458" i="1"/>
  <c r="A458" i="1"/>
  <c r="H457" i="1"/>
  <c r="G457" i="1"/>
  <c r="D457" i="1"/>
  <c r="C457" i="1"/>
  <c r="B457" i="1"/>
  <c r="A457" i="1"/>
  <c r="H456" i="1"/>
  <c r="G456" i="1"/>
  <c r="D456" i="1"/>
  <c r="C456" i="1"/>
  <c r="B456" i="1"/>
  <c r="A456" i="1"/>
  <c r="H455" i="1"/>
  <c r="G455" i="1"/>
  <c r="D455" i="1"/>
  <c r="C455" i="1"/>
  <c r="B455" i="1"/>
  <c r="A455" i="1"/>
  <c r="H454" i="1"/>
  <c r="G454" i="1"/>
  <c r="D454" i="1"/>
  <c r="C454" i="1"/>
  <c r="B454" i="1"/>
  <c r="A454" i="1"/>
  <c r="H453" i="1"/>
  <c r="G453" i="1"/>
  <c r="D453" i="1"/>
  <c r="C453" i="1"/>
  <c r="B453" i="1"/>
  <c r="A453" i="1"/>
  <c r="H452" i="1"/>
  <c r="G452" i="1"/>
  <c r="D452" i="1"/>
  <c r="C452" i="1"/>
  <c r="B452" i="1"/>
  <c r="A452" i="1"/>
  <c r="H451" i="1"/>
  <c r="G451" i="1"/>
  <c r="D451" i="1"/>
  <c r="C451" i="1"/>
  <c r="B451" i="1"/>
  <c r="A451" i="1"/>
  <c r="H450" i="1"/>
  <c r="G450" i="1"/>
  <c r="D450" i="1"/>
  <c r="C450" i="1"/>
  <c r="B450" i="1"/>
  <c r="A450" i="1"/>
  <c r="H449" i="1"/>
  <c r="G449" i="1"/>
  <c r="D449" i="1"/>
  <c r="C449" i="1"/>
  <c r="B449" i="1"/>
  <c r="A449" i="1"/>
  <c r="H448" i="1"/>
  <c r="G448" i="1"/>
  <c r="D448" i="1"/>
  <c r="C448" i="1"/>
  <c r="B448" i="1"/>
  <c r="A448" i="1"/>
  <c r="H447" i="1"/>
  <c r="G447" i="1"/>
  <c r="D447" i="1"/>
  <c r="C447" i="1"/>
  <c r="B447" i="1"/>
  <c r="A447" i="1"/>
  <c r="H446" i="1"/>
  <c r="G446" i="1"/>
  <c r="D446" i="1"/>
  <c r="C446" i="1"/>
  <c r="B446" i="1"/>
  <c r="A446" i="1"/>
  <c r="H445" i="1"/>
  <c r="G445" i="1"/>
  <c r="D445" i="1"/>
  <c r="C445" i="1"/>
  <c r="B445" i="1"/>
  <c r="A445" i="1"/>
  <c r="H444" i="1"/>
  <c r="G444" i="1"/>
  <c r="D444" i="1"/>
  <c r="C444" i="1"/>
  <c r="B444" i="1"/>
  <c r="A444" i="1"/>
  <c r="H443" i="1"/>
  <c r="G443" i="1"/>
  <c r="D443" i="1"/>
  <c r="C443" i="1"/>
  <c r="B443" i="1"/>
  <c r="A443" i="1"/>
  <c r="H442" i="1"/>
  <c r="G442" i="1"/>
  <c r="D442" i="1"/>
  <c r="C442" i="1"/>
  <c r="B442" i="1"/>
  <c r="A442" i="1"/>
  <c r="H441" i="1"/>
  <c r="G441" i="1"/>
  <c r="D441" i="1"/>
  <c r="C441" i="1"/>
  <c r="B441" i="1"/>
  <c r="A441" i="1"/>
  <c r="H440" i="1"/>
  <c r="G440" i="1"/>
  <c r="D440" i="1"/>
  <c r="C440" i="1"/>
  <c r="B440" i="1"/>
  <c r="A440" i="1"/>
  <c r="H439" i="1"/>
  <c r="G439" i="1"/>
  <c r="D439" i="1"/>
  <c r="C439" i="1"/>
  <c r="B439" i="1"/>
  <c r="A439" i="1"/>
  <c r="H438" i="1"/>
  <c r="G438" i="1"/>
  <c r="D438" i="1"/>
  <c r="C438" i="1"/>
  <c r="B438" i="1"/>
  <c r="A438" i="1"/>
  <c r="H437" i="1"/>
  <c r="G437" i="1"/>
  <c r="D437" i="1"/>
  <c r="C437" i="1"/>
  <c r="B437" i="1"/>
  <c r="A437" i="1"/>
  <c r="H436" i="1"/>
  <c r="G436" i="1"/>
  <c r="D436" i="1"/>
  <c r="C436" i="1"/>
  <c r="B436" i="1"/>
  <c r="A436" i="1"/>
  <c r="H435" i="1"/>
  <c r="G435" i="1"/>
  <c r="D435" i="1"/>
  <c r="C435" i="1"/>
  <c r="B435" i="1"/>
  <c r="A435" i="1"/>
  <c r="H434" i="1"/>
  <c r="G434" i="1"/>
  <c r="D434" i="1"/>
  <c r="C434" i="1"/>
  <c r="B434" i="1"/>
  <c r="A434" i="1"/>
  <c r="H433" i="1"/>
  <c r="G433" i="1"/>
  <c r="D433" i="1"/>
  <c r="C433" i="1"/>
  <c r="B433" i="1"/>
  <c r="A433" i="1"/>
  <c r="H432" i="1"/>
  <c r="G432" i="1"/>
  <c r="D432" i="1"/>
  <c r="C432" i="1"/>
  <c r="B432" i="1"/>
  <c r="A432" i="1"/>
  <c r="H431" i="1"/>
  <c r="G431" i="1"/>
  <c r="D431" i="1"/>
  <c r="C431" i="1"/>
  <c r="B431" i="1"/>
  <c r="A431" i="1"/>
  <c r="H430" i="1"/>
  <c r="G430" i="1"/>
  <c r="D430" i="1"/>
  <c r="C430" i="1"/>
  <c r="B430" i="1"/>
  <c r="A430" i="1"/>
  <c r="H429" i="1"/>
  <c r="G429" i="1"/>
  <c r="D429" i="1"/>
  <c r="C429" i="1"/>
  <c r="B429" i="1"/>
  <c r="A429" i="1"/>
  <c r="H428" i="1"/>
  <c r="G428" i="1"/>
  <c r="D428" i="1"/>
  <c r="C428" i="1"/>
  <c r="B428" i="1"/>
  <c r="A428" i="1"/>
  <c r="H427" i="1"/>
  <c r="G427" i="1"/>
  <c r="D427" i="1"/>
  <c r="C427" i="1"/>
  <c r="B427" i="1"/>
  <c r="A427" i="1"/>
  <c r="H426" i="1"/>
  <c r="G426" i="1"/>
  <c r="D426" i="1"/>
  <c r="C426" i="1"/>
  <c r="B426" i="1"/>
  <c r="A426" i="1"/>
  <c r="H425" i="1"/>
  <c r="G425" i="1"/>
  <c r="D425" i="1"/>
  <c r="C425" i="1"/>
  <c r="B425" i="1"/>
  <c r="A425" i="1"/>
  <c r="H424" i="1"/>
  <c r="G424" i="1"/>
  <c r="D424" i="1"/>
  <c r="C424" i="1"/>
  <c r="B424" i="1"/>
  <c r="A424" i="1"/>
  <c r="H423" i="1"/>
  <c r="G423" i="1"/>
  <c r="D423" i="1"/>
  <c r="C423" i="1"/>
  <c r="B423" i="1"/>
  <c r="A423" i="1"/>
  <c r="H422" i="1"/>
  <c r="G422" i="1"/>
  <c r="D422" i="1"/>
  <c r="C422" i="1"/>
  <c r="B422" i="1"/>
  <c r="A422" i="1"/>
  <c r="H421" i="1"/>
  <c r="G421" i="1"/>
  <c r="D421" i="1"/>
  <c r="C421" i="1"/>
  <c r="B421" i="1"/>
  <c r="A421" i="1"/>
  <c r="H420" i="1"/>
  <c r="G420" i="1"/>
  <c r="D420" i="1"/>
  <c r="C420" i="1"/>
  <c r="B420" i="1"/>
  <c r="A420" i="1"/>
  <c r="H419" i="1"/>
  <c r="G419" i="1"/>
  <c r="D419" i="1"/>
  <c r="C419" i="1"/>
  <c r="B419" i="1"/>
  <c r="A419" i="1"/>
  <c r="H418" i="1"/>
  <c r="G418" i="1"/>
  <c r="D418" i="1"/>
  <c r="C418" i="1"/>
  <c r="B418" i="1"/>
  <c r="A418" i="1"/>
  <c r="H417" i="1"/>
  <c r="G417" i="1"/>
  <c r="D417" i="1"/>
  <c r="C417" i="1"/>
  <c r="B417" i="1"/>
  <c r="A417" i="1"/>
  <c r="H416" i="1"/>
  <c r="G416" i="1"/>
  <c r="D416" i="1"/>
  <c r="C416" i="1"/>
  <c r="B416" i="1"/>
  <c r="A416" i="1"/>
  <c r="H415" i="1"/>
  <c r="G415" i="1"/>
  <c r="D415" i="1"/>
  <c r="C415" i="1"/>
  <c r="B415" i="1"/>
  <c r="A415" i="1"/>
  <c r="H414" i="1"/>
  <c r="G414" i="1"/>
  <c r="D414" i="1"/>
  <c r="C414" i="1"/>
  <c r="B414" i="1"/>
  <c r="A414" i="1"/>
  <c r="H413" i="1"/>
  <c r="G413" i="1"/>
  <c r="D413" i="1"/>
  <c r="C413" i="1"/>
  <c r="B413" i="1"/>
  <c r="A413" i="1"/>
  <c r="H412" i="1"/>
  <c r="G412" i="1"/>
  <c r="D412" i="1"/>
  <c r="C412" i="1"/>
  <c r="B412" i="1"/>
  <c r="A412" i="1"/>
  <c r="H411" i="1"/>
  <c r="G411" i="1"/>
  <c r="D411" i="1"/>
  <c r="C411" i="1"/>
  <c r="B411" i="1"/>
  <c r="A411" i="1"/>
  <c r="H410" i="1"/>
  <c r="G410" i="1"/>
  <c r="D410" i="1"/>
  <c r="C410" i="1"/>
  <c r="B410" i="1"/>
  <c r="A410" i="1"/>
  <c r="H409" i="1"/>
  <c r="G409" i="1"/>
  <c r="D409" i="1"/>
  <c r="C409" i="1"/>
  <c r="B409" i="1"/>
  <c r="A409" i="1"/>
  <c r="H408" i="1"/>
  <c r="G408" i="1"/>
  <c r="D408" i="1"/>
  <c r="C408" i="1"/>
  <c r="B408" i="1"/>
  <c r="A408" i="1"/>
  <c r="H407" i="1"/>
  <c r="G407" i="1"/>
  <c r="D407" i="1"/>
  <c r="C407" i="1"/>
  <c r="B407" i="1"/>
  <c r="A407" i="1"/>
  <c r="H406" i="1"/>
  <c r="G406" i="1"/>
  <c r="D406" i="1"/>
  <c r="C406" i="1"/>
  <c r="B406" i="1"/>
  <c r="A406" i="1"/>
  <c r="H405" i="1"/>
  <c r="G405" i="1"/>
  <c r="D405" i="1"/>
  <c r="C405" i="1"/>
  <c r="B405" i="1"/>
  <c r="A405" i="1"/>
  <c r="H404" i="1"/>
  <c r="G404" i="1"/>
  <c r="D404" i="1"/>
  <c r="C404" i="1"/>
  <c r="B404" i="1"/>
  <c r="A404" i="1"/>
  <c r="H403" i="1"/>
  <c r="G403" i="1"/>
  <c r="D403" i="1"/>
  <c r="C403" i="1"/>
  <c r="B403" i="1"/>
  <c r="A403" i="1"/>
  <c r="H402" i="1"/>
  <c r="G402" i="1"/>
  <c r="D402" i="1"/>
  <c r="C402" i="1"/>
  <c r="B402" i="1"/>
  <c r="A402" i="1"/>
  <c r="H401" i="1"/>
  <c r="G401" i="1"/>
  <c r="D401" i="1"/>
  <c r="C401" i="1"/>
  <c r="B401" i="1"/>
  <c r="A401" i="1"/>
  <c r="H400" i="1"/>
  <c r="G400" i="1"/>
  <c r="D400" i="1"/>
  <c r="C400" i="1"/>
  <c r="B400" i="1"/>
  <c r="A400" i="1"/>
  <c r="H399" i="1"/>
  <c r="G399" i="1"/>
  <c r="D399" i="1"/>
  <c r="C399" i="1"/>
  <c r="B399" i="1"/>
  <c r="A399" i="1"/>
  <c r="H398" i="1"/>
  <c r="G398" i="1"/>
  <c r="D398" i="1"/>
  <c r="C398" i="1"/>
  <c r="B398" i="1"/>
  <c r="A398" i="1"/>
  <c r="H397" i="1"/>
  <c r="G397" i="1"/>
  <c r="D397" i="1"/>
  <c r="C397" i="1"/>
  <c r="B397" i="1"/>
  <c r="A397" i="1"/>
  <c r="H396" i="1"/>
  <c r="G396" i="1"/>
  <c r="D396" i="1"/>
  <c r="C396" i="1"/>
  <c r="B396" i="1"/>
  <c r="A396" i="1"/>
  <c r="H395" i="1"/>
  <c r="G395" i="1"/>
  <c r="D395" i="1"/>
  <c r="C395" i="1"/>
  <c r="B395" i="1"/>
  <c r="A395" i="1"/>
  <c r="H394" i="1"/>
  <c r="G394" i="1"/>
  <c r="D394" i="1"/>
  <c r="C394" i="1"/>
  <c r="B394" i="1"/>
  <c r="A394" i="1"/>
  <c r="H393" i="1"/>
  <c r="G393" i="1"/>
  <c r="D393" i="1"/>
  <c r="C393" i="1"/>
  <c r="B393" i="1"/>
  <c r="A393" i="1"/>
  <c r="H392" i="1"/>
  <c r="G392" i="1"/>
  <c r="D392" i="1"/>
  <c r="C392" i="1"/>
  <c r="B392" i="1"/>
  <c r="A392" i="1"/>
  <c r="H391" i="1"/>
  <c r="G391" i="1"/>
  <c r="D391" i="1"/>
  <c r="C391" i="1"/>
  <c r="B391" i="1"/>
  <c r="A391" i="1"/>
  <c r="H390" i="1"/>
  <c r="G390" i="1"/>
  <c r="D390" i="1"/>
  <c r="C390" i="1"/>
  <c r="B390" i="1"/>
  <c r="A390" i="1"/>
  <c r="H389" i="1"/>
  <c r="G389" i="1"/>
  <c r="D389" i="1"/>
  <c r="C389" i="1"/>
  <c r="B389" i="1"/>
  <c r="A389" i="1"/>
  <c r="H388" i="1"/>
  <c r="G388" i="1"/>
  <c r="D388" i="1"/>
  <c r="C388" i="1"/>
  <c r="B388" i="1"/>
  <c r="A388" i="1"/>
  <c r="H387" i="1"/>
  <c r="G387" i="1"/>
  <c r="D387" i="1"/>
  <c r="C387" i="1"/>
  <c r="B387" i="1"/>
  <c r="A387" i="1"/>
  <c r="H386" i="1"/>
  <c r="G386" i="1"/>
  <c r="D386" i="1"/>
  <c r="C386" i="1"/>
  <c r="B386" i="1"/>
  <c r="A386" i="1"/>
  <c r="H385" i="1"/>
  <c r="G385" i="1"/>
  <c r="D385" i="1"/>
  <c r="C385" i="1"/>
  <c r="B385" i="1"/>
  <c r="A385" i="1"/>
  <c r="H384" i="1"/>
  <c r="G384" i="1"/>
  <c r="D384" i="1"/>
  <c r="C384" i="1"/>
  <c r="B384" i="1"/>
  <c r="A384" i="1"/>
  <c r="H383" i="1"/>
  <c r="G383" i="1"/>
  <c r="D383" i="1"/>
  <c r="C383" i="1"/>
  <c r="B383" i="1"/>
  <c r="A383" i="1"/>
  <c r="H382" i="1"/>
  <c r="G382" i="1"/>
  <c r="D382" i="1"/>
  <c r="C382" i="1"/>
  <c r="B382" i="1"/>
  <c r="A382" i="1"/>
  <c r="H381" i="1"/>
  <c r="G381" i="1"/>
  <c r="D381" i="1"/>
  <c r="C381" i="1"/>
  <c r="B381" i="1"/>
  <c r="A381" i="1"/>
  <c r="H380" i="1"/>
  <c r="G380" i="1"/>
  <c r="D380" i="1"/>
  <c r="C380" i="1"/>
  <c r="B380" i="1"/>
  <c r="A380" i="1"/>
  <c r="H379" i="1"/>
  <c r="G379" i="1"/>
  <c r="D379" i="1"/>
  <c r="C379" i="1"/>
  <c r="B379" i="1"/>
  <c r="A379" i="1"/>
  <c r="H378" i="1"/>
  <c r="G378" i="1"/>
  <c r="D378" i="1"/>
  <c r="C378" i="1"/>
  <c r="B378" i="1"/>
  <c r="A378" i="1"/>
  <c r="H377" i="1"/>
  <c r="G377" i="1"/>
  <c r="D377" i="1"/>
  <c r="C377" i="1"/>
  <c r="B377" i="1"/>
  <c r="A377" i="1"/>
  <c r="H376" i="1"/>
  <c r="G376" i="1"/>
  <c r="D376" i="1"/>
  <c r="C376" i="1"/>
  <c r="B376" i="1"/>
  <c r="A376" i="1"/>
  <c r="H375" i="1"/>
  <c r="G375" i="1"/>
  <c r="D375" i="1"/>
  <c r="C375" i="1"/>
  <c r="B375" i="1"/>
  <c r="A375" i="1"/>
  <c r="H374" i="1"/>
  <c r="G374" i="1"/>
  <c r="D374" i="1"/>
  <c r="C374" i="1"/>
  <c r="B374" i="1"/>
  <c r="A374" i="1"/>
  <c r="H373" i="1"/>
  <c r="G373" i="1"/>
  <c r="D373" i="1"/>
  <c r="C373" i="1"/>
  <c r="B373" i="1"/>
  <c r="A373" i="1"/>
  <c r="H372" i="1"/>
  <c r="G372" i="1"/>
  <c r="D372" i="1"/>
  <c r="C372" i="1"/>
  <c r="B372" i="1"/>
  <c r="A372" i="1"/>
  <c r="H371" i="1"/>
  <c r="G371" i="1"/>
  <c r="D371" i="1"/>
  <c r="C371" i="1"/>
  <c r="B371" i="1"/>
  <c r="A371" i="1"/>
  <c r="H370" i="1"/>
  <c r="G370" i="1"/>
  <c r="D370" i="1"/>
  <c r="C370" i="1"/>
  <c r="B370" i="1"/>
  <c r="A370" i="1"/>
  <c r="H369" i="1"/>
  <c r="G369" i="1"/>
  <c r="D369" i="1"/>
  <c r="C369" i="1"/>
  <c r="B369" i="1"/>
  <c r="A369" i="1"/>
  <c r="H368" i="1"/>
  <c r="G368" i="1"/>
  <c r="D368" i="1"/>
  <c r="C368" i="1"/>
  <c r="B368" i="1"/>
  <c r="A368" i="1"/>
  <c r="H367" i="1"/>
  <c r="G367" i="1"/>
  <c r="D367" i="1"/>
  <c r="C367" i="1"/>
  <c r="B367" i="1"/>
  <c r="A367" i="1"/>
  <c r="H366" i="1"/>
  <c r="G366" i="1"/>
  <c r="D366" i="1"/>
  <c r="C366" i="1"/>
  <c r="B366" i="1"/>
  <c r="A366" i="1"/>
  <c r="H365" i="1"/>
  <c r="G365" i="1"/>
  <c r="D365" i="1"/>
  <c r="C365" i="1"/>
  <c r="B365" i="1"/>
  <c r="A365" i="1"/>
  <c r="H364" i="1"/>
  <c r="G364" i="1"/>
  <c r="D364" i="1"/>
  <c r="C364" i="1"/>
  <c r="B364" i="1"/>
  <c r="A364" i="1"/>
  <c r="H363" i="1"/>
  <c r="G363" i="1"/>
  <c r="D363" i="1"/>
  <c r="C363" i="1"/>
  <c r="B363" i="1"/>
  <c r="A363" i="1"/>
  <c r="H362" i="1"/>
  <c r="G362" i="1"/>
  <c r="D362" i="1"/>
  <c r="C362" i="1"/>
  <c r="B362" i="1"/>
  <c r="A362" i="1"/>
  <c r="H361" i="1"/>
  <c r="G361" i="1"/>
  <c r="D361" i="1"/>
  <c r="C361" i="1"/>
  <c r="B361" i="1"/>
  <c r="A361" i="1"/>
  <c r="H360" i="1"/>
  <c r="G360" i="1"/>
  <c r="D360" i="1"/>
  <c r="C360" i="1"/>
  <c r="B360" i="1"/>
  <c r="A360" i="1"/>
  <c r="H359" i="1"/>
  <c r="G359" i="1"/>
  <c r="D359" i="1"/>
  <c r="C359" i="1"/>
  <c r="B359" i="1"/>
  <c r="A359" i="1"/>
  <c r="H358" i="1"/>
  <c r="G358" i="1"/>
  <c r="D358" i="1"/>
  <c r="C358" i="1"/>
  <c r="B358" i="1"/>
  <c r="A358" i="1"/>
  <c r="H357" i="1"/>
  <c r="G357" i="1"/>
  <c r="D357" i="1"/>
  <c r="C357" i="1"/>
  <c r="B357" i="1"/>
  <c r="A357" i="1"/>
  <c r="H356" i="1"/>
  <c r="G356" i="1"/>
  <c r="D356" i="1"/>
  <c r="C356" i="1"/>
  <c r="B356" i="1"/>
  <c r="A356" i="1"/>
  <c r="H355" i="1"/>
  <c r="G355" i="1"/>
  <c r="D355" i="1"/>
  <c r="C355" i="1"/>
  <c r="B355" i="1"/>
  <c r="A355" i="1"/>
  <c r="H354" i="1"/>
  <c r="G354" i="1"/>
  <c r="D354" i="1"/>
  <c r="C354" i="1"/>
  <c r="B354" i="1"/>
  <c r="A354" i="1"/>
  <c r="H353" i="1"/>
  <c r="G353" i="1"/>
  <c r="D353" i="1"/>
  <c r="C353" i="1"/>
  <c r="B353" i="1"/>
  <c r="A353" i="1"/>
  <c r="H352" i="1"/>
  <c r="G352" i="1"/>
  <c r="D352" i="1"/>
  <c r="C352" i="1"/>
  <c r="B352" i="1"/>
  <c r="A352" i="1"/>
  <c r="H351" i="1"/>
  <c r="G351" i="1"/>
  <c r="D351" i="1"/>
  <c r="C351" i="1"/>
  <c r="B351" i="1"/>
  <c r="A351" i="1"/>
  <c r="H350" i="1"/>
  <c r="G350" i="1"/>
  <c r="D350" i="1"/>
  <c r="C350" i="1"/>
  <c r="B350" i="1"/>
  <c r="A350" i="1"/>
  <c r="H349" i="1"/>
  <c r="G349" i="1"/>
  <c r="D349" i="1"/>
  <c r="C349" i="1"/>
  <c r="B349" i="1"/>
  <c r="A349" i="1"/>
  <c r="H348" i="1"/>
  <c r="G348" i="1"/>
  <c r="D348" i="1"/>
  <c r="C348" i="1"/>
  <c r="B348" i="1"/>
  <c r="A348" i="1"/>
  <c r="H347" i="1"/>
  <c r="G347" i="1"/>
  <c r="D347" i="1"/>
  <c r="C347" i="1"/>
  <c r="B347" i="1"/>
  <c r="A347" i="1"/>
  <c r="H346" i="1"/>
  <c r="G346" i="1"/>
  <c r="D346" i="1"/>
  <c r="C346" i="1"/>
  <c r="B346" i="1"/>
  <c r="A346" i="1"/>
  <c r="H345" i="1"/>
  <c r="G345" i="1"/>
  <c r="D345" i="1"/>
  <c r="C345" i="1"/>
  <c r="B345" i="1"/>
  <c r="A345" i="1"/>
  <c r="H344" i="1"/>
  <c r="G344" i="1"/>
  <c r="D344" i="1"/>
  <c r="C344" i="1"/>
  <c r="B344" i="1"/>
  <c r="A344" i="1"/>
  <c r="H343" i="1"/>
  <c r="G343" i="1"/>
  <c r="D343" i="1"/>
  <c r="C343" i="1"/>
  <c r="B343" i="1"/>
  <c r="A343" i="1"/>
  <c r="H342" i="1"/>
  <c r="G342" i="1"/>
  <c r="D342" i="1"/>
  <c r="C342" i="1"/>
  <c r="B342" i="1"/>
  <c r="A342" i="1"/>
  <c r="H341" i="1"/>
  <c r="G341" i="1"/>
  <c r="D341" i="1"/>
  <c r="C341" i="1"/>
  <c r="B341" i="1"/>
  <c r="A341" i="1"/>
  <c r="H340" i="1"/>
  <c r="G340" i="1"/>
  <c r="D340" i="1"/>
  <c r="C340" i="1"/>
  <c r="B340" i="1"/>
  <c r="A340" i="1"/>
  <c r="H339" i="1"/>
  <c r="G339" i="1"/>
  <c r="D339" i="1"/>
  <c r="C339" i="1"/>
  <c r="B339" i="1"/>
  <c r="A339" i="1"/>
  <c r="H338" i="1"/>
  <c r="G338" i="1"/>
  <c r="D338" i="1"/>
  <c r="C338" i="1"/>
  <c r="B338" i="1"/>
  <c r="A338" i="1"/>
  <c r="H337" i="1"/>
  <c r="G337" i="1"/>
  <c r="D337" i="1"/>
  <c r="C337" i="1"/>
  <c r="B337" i="1"/>
  <c r="A337" i="1"/>
  <c r="H336" i="1"/>
  <c r="G336" i="1"/>
  <c r="D336" i="1"/>
  <c r="C336" i="1"/>
  <c r="B336" i="1"/>
  <c r="A336" i="1"/>
  <c r="H335" i="1"/>
  <c r="G335" i="1"/>
  <c r="D335" i="1"/>
  <c r="C335" i="1"/>
  <c r="B335" i="1"/>
  <c r="A335" i="1"/>
  <c r="H334" i="1"/>
  <c r="G334" i="1"/>
  <c r="D334" i="1"/>
  <c r="C334" i="1"/>
  <c r="B334" i="1"/>
  <c r="A334" i="1"/>
  <c r="H333" i="1"/>
  <c r="G333" i="1"/>
  <c r="D333" i="1"/>
  <c r="C333" i="1"/>
  <c r="B333" i="1"/>
  <c r="A333" i="1"/>
  <c r="H332" i="1"/>
  <c r="G332" i="1"/>
  <c r="D332" i="1"/>
  <c r="C332" i="1"/>
  <c r="B332" i="1"/>
  <c r="A332" i="1"/>
  <c r="H331" i="1"/>
  <c r="G331" i="1"/>
  <c r="D331" i="1"/>
  <c r="C331" i="1"/>
  <c r="B331" i="1"/>
  <c r="A331" i="1"/>
  <c r="H330" i="1"/>
  <c r="G330" i="1"/>
  <c r="D330" i="1"/>
  <c r="C330" i="1"/>
  <c r="B330" i="1"/>
  <c r="A330" i="1"/>
  <c r="H329" i="1"/>
  <c r="G329" i="1"/>
  <c r="D329" i="1"/>
  <c r="C329" i="1"/>
  <c r="B329" i="1"/>
  <c r="A329" i="1"/>
  <c r="H328" i="1"/>
  <c r="G328" i="1"/>
  <c r="D328" i="1"/>
  <c r="C328" i="1"/>
  <c r="B328" i="1"/>
  <c r="A328" i="1"/>
  <c r="H327" i="1"/>
  <c r="G327" i="1"/>
  <c r="D327" i="1"/>
  <c r="C327" i="1"/>
  <c r="B327" i="1"/>
  <c r="A327" i="1"/>
  <c r="H326" i="1"/>
  <c r="G326" i="1"/>
  <c r="D326" i="1"/>
  <c r="C326" i="1"/>
  <c r="B326" i="1"/>
  <c r="A326" i="1"/>
  <c r="H325" i="1"/>
  <c r="G325" i="1"/>
  <c r="D325" i="1"/>
  <c r="C325" i="1"/>
  <c r="B325" i="1"/>
  <c r="A325" i="1"/>
  <c r="H324" i="1"/>
  <c r="G324" i="1"/>
  <c r="D324" i="1"/>
  <c r="C324" i="1"/>
  <c r="B324" i="1"/>
  <c r="A324" i="1"/>
  <c r="H323" i="1"/>
  <c r="G323" i="1"/>
  <c r="D323" i="1"/>
  <c r="C323" i="1"/>
  <c r="B323" i="1"/>
  <c r="A323" i="1"/>
  <c r="H322" i="1"/>
  <c r="G322" i="1"/>
  <c r="D322" i="1"/>
  <c r="C322" i="1"/>
  <c r="B322" i="1"/>
  <c r="A322" i="1"/>
  <c r="H321" i="1"/>
  <c r="G321" i="1"/>
  <c r="D321" i="1"/>
  <c r="C321" i="1"/>
  <c r="B321" i="1"/>
  <c r="A321" i="1"/>
  <c r="H320" i="1"/>
  <c r="G320" i="1"/>
  <c r="D320" i="1"/>
  <c r="C320" i="1"/>
  <c r="B320" i="1"/>
  <c r="A320" i="1"/>
  <c r="H319" i="1"/>
  <c r="G319" i="1"/>
  <c r="D319" i="1"/>
  <c r="C319" i="1"/>
  <c r="B319" i="1"/>
  <c r="A319" i="1"/>
  <c r="H318" i="1"/>
  <c r="G318" i="1"/>
  <c r="D318" i="1"/>
  <c r="C318" i="1"/>
  <c r="B318" i="1"/>
  <c r="A318" i="1"/>
  <c r="H317" i="1"/>
  <c r="G317" i="1"/>
  <c r="D317" i="1"/>
  <c r="C317" i="1"/>
  <c r="B317" i="1"/>
  <c r="A317" i="1"/>
  <c r="H316" i="1"/>
  <c r="G316" i="1"/>
  <c r="D316" i="1"/>
  <c r="C316" i="1"/>
  <c r="B316" i="1"/>
  <c r="A316" i="1"/>
  <c r="H315" i="1"/>
  <c r="G315" i="1"/>
  <c r="D315" i="1"/>
  <c r="C315" i="1"/>
  <c r="B315" i="1"/>
  <c r="A315" i="1"/>
  <c r="H314" i="1"/>
  <c r="G314" i="1"/>
  <c r="D314" i="1"/>
  <c r="C314" i="1"/>
  <c r="B314" i="1"/>
  <c r="A314" i="1"/>
  <c r="H313" i="1"/>
  <c r="G313" i="1"/>
  <c r="D313" i="1"/>
  <c r="C313" i="1"/>
  <c r="B313" i="1"/>
  <c r="A313" i="1"/>
  <c r="H312" i="1"/>
  <c r="G312" i="1"/>
  <c r="D312" i="1"/>
  <c r="C312" i="1"/>
  <c r="B312" i="1"/>
  <c r="A312" i="1"/>
  <c r="H311" i="1"/>
  <c r="G311" i="1"/>
  <c r="D311" i="1"/>
  <c r="C311" i="1"/>
  <c r="B311" i="1"/>
  <c r="A311" i="1"/>
  <c r="H310" i="1"/>
  <c r="G310" i="1"/>
  <c r="D310" i="1"/>
  <c r="C310" i="1"/>
  <c r="B310" i="1"/>
  <c r="A310" i="1"/>
  <c r="H309" i="1"/>
  <c r="G309" i="1"/>
  <c r="D309" i="1"/>
  <c r="C309" i="1"/>
  <c r="B309" i="1"/>
  <c r="A309" i="1"/>
  <c r="H308" i="1"/>
  <c r="G308" i="1"/>
  <c r="D308" i="1"/>
  <c r="C308" i="1"/>
  <c r="B308" i="1"/>
  <c r="A308" i="1"/>
  <c r="H307" i="1"/>
  <c r="G307" i="1"/>
  <c r="D307" i="1"/>
  <c r="C307" i="1"/>
  <c r="B307" i="1"/>
  <c r="A307" i="1"/>
  <c r="H306" i="1"/>
  <c r="G306" i="1"/>
  <c r="D306" i="1"/>
  <c r="C306" i="1"/>
  <c r="B306" i="1"/>
  <c r="A306" i="1"/>
  <c r="H305" i="1"/>
  <c r="G305" i="1"/>
  <c r="D305" i="1"/>
  <c r="C305" i="1"/>
  <c r="B305" i="1"/>
  <c r="A305" i="1"/>
  <c r="H304" i="1"/>
  <c r="G304" i="1"/>
  <c r="D304" i="1"/>
  <c r="C304" i="1"/>
  <c r="B304" i="1"/>
  <c r="A304" i="1"/>
  <c r="H303" i="1"/>
  <c r="G303" i="1"/>
  <c r="D303" i="1"/>
  <c r="C303" i="1"/>
  <c r="B303" i="1"/>
  <c r="A303" i="1"/>
  <c r="H302" i="1"/>
  <c r="G302" i="1"/>
  <c r="D302" i="1"/>
  <c r="C302" i="1"/>
  <c r="B302" i="1"/>
  <c r="A302" i="1"/>
  <c r="H301" i="1"/>
  <c r="G301" i="1"/>
  <c r="D301" i="1"/>
  <c r="C301" i="1"/>
  <c r="B301" i="1"/>
  <c r="A301" i="1"/>
  <c r="H300" i="1"/>
  <c r="G300" i="1"/>
  <c r="D300" i="1"/>
  <c r="C300" i="1"/>
  <c r="B300" i="1"/>
  <c r="A300" i="1"/>
  <c r="H299" i="1"/>
  <c r="G299" i="1"/>
  <c r="D299" i="1"/>
  <c r="C299" i="1"/>
  <c r="B299" i="1"/>
  <c r="A299" i="1"/>
  <c r="H298" i="1"/>
  <c r="G298" i="1"/>
  <c r="D298" i="1"/>
  <c r="C298" i="1"/>
  <c r="B298" i="1"/>
  <c r="A298" i="1"/>
  <c r="H297" i="1"/>
  <c r="G297" i="1"/>
  <c r="D297" i="1"/>
  <c r="C297" i="1"/>
  <c r="B297" i="1"/>
  <c r="A297" i="1"/>
  <c r="H296" i="1"/>
  <c r="G296" i="1"/>
  <c r="D296" i="1"/>
  <c r="C296" i="1"/>
  <c r="B296" i="1"/>
  <c r="A296" i="1"/>
  <c r="H295" i="1"/>
  <c r="G295" i="1"/>
  <c r="D295" i="1"/>
  <c r="C295" i="1"/>
  <c r="B295" i="1"/>
  <c r="A295" i="1"/>
  <c r="H294" i="1"/>
  <c r="G294" i="1"/>
  <c r="D294" i="1"/>
  <c r="C294" i="1"/>
  <c r="B294" i="1"/>
  <c r="A294" i="1"/>
  <c r="H293" i="1"/>
  <c r="G293" i="1"/>
  <c r="D293" i="1"/>
  <c r="C293" i="1"/>
  <c r="B293" i="1"/>
  <c r="A293" i="1"/>
  <c r="H292" i="1"/>
  <c r="G292" i="1"/>
  <c r="D292" i="1"/>
  <c r="C292" i="1"/>
  <c r="B292" i="1"/>
  <c r="A292" i="1"/>
  <c r="H291" i="1"/>
  <c r="G291" i="1"/>
  <c r="D291" i="1"/>
  <c r="C291" i="1"/>
  <c r="B291" i="1"/>
  <c r="A291" i="1"/>
  <c r="H290" i="1"/>
  <c r="G290" i="1"/>
  <c r="D290" i="1"/>
  <c r="C290" i="1"/>
  <c r="B290" i="1"/>
  <c r="A290" i="1"/>
  <c r="H289" i="1"/>
  <c r="G289" i="1"/>
  <c r="D289" i="1"/>
  <c r="C289" i="1"/>
  <c r="B289" i="1"/>
  <c r="A289" i="1"/>
  <c r="H288" i="1"/>
  <c r="G288" i="1"/>
  <c r="D288" i="1"/>
  <c r="C288" i="1"/>
  <c r="B288" i="1"/>
  <c r="A288" i="1"/>
  <c r="H287" i="1"/>
  <c r="G287" i="1"/>
  <c r="D287" i="1"/>
  <c r="C287" i="1"/>
  <c r="B287" i="1"/>
  <c r="A287" i="1"/>
  <c r="H286" i="1"/>
  <c r="G286" i="1"/>
  <c r="D286" i="1"/>
  <c r="C286" i="1"/>
  <c r="B286" i="1"/>
  <c r="A286" i="1"/>
  <c r="H285" i="1"/>
  <c r="G285" i="1"/>
  <c r="D285" i="1"/>
  <c r="C285" i="1"/>
  <c r="B285" i="1"/>
  <c r="A285" i="1"/>
  <c r="H284" i="1"/>
  <c r="G284" i="1"/>
  <c r="D284" i="1"/>
  <c r="C284" i="1"/>
  <c r="B284" i="1"/>
  <c r="A284" i="1"/>
  <c r="H283" i="1"/>
  <c r="G283" i="1"/>
  <c r="D283" i="1"/>
  <c r="C283" i="1"/>
  <c r="B283" i="1"/>
  <c r="A283" i="1"/>
  <c r="H282" i="1"/>
  <c r="G282" i="1"/>
  <c r="D282" i="1"/>
  <c r="C282" i="1"/>
  <c r="B282" i="1"/>
  <c r="A282" i="1"/>
  <c r="H281" i="1"/>
  <c r="G281" i="1"/>
  <c r="D281" i="1"/>
  <c r="C281" i="1"/>
  <c r="B281" i="1"/>
  <c r="A281" i="1"/>
  <c r="H280" i="1"/>
  <c r="G280" i="1"/>
  <c r="D280" i="1"/>
  <c r="C280" i="1"/>
  <c r="B280" i="1"/>
  <c r="A280" i="1"/>
  <c r="H279" i="1"/>
  <c r="G279" i="1"/>
  <c r="D279" i="1"/>
  <c r="C279" i="1"/>
  <c r="B279" i="1"/>
  <c r="A279" i="1"/>
  <c r="H278" i="1"/>
  <c r="G278" i="1"/>
  <c r="D278" i="1"/>
  <c r="C278" i="1"/>
  <c r="B278" i="1"/>
  <c r="A278" i="1"/>
  <c r="H277" i="1"/>
  <c r="G277" i="1"/>
  <c r="D277" i="1"/>
  <c r="C277" i="1"/>
  <c r="B277" i="1"/>
  <c r="A277" i="1"/>
  <c r="H276" i="1"/>
  <c r="G276" i="1"/>
  <c r="D276" i="1"/>
  <c r="C276" i="1"/>
  <c r="B276" i="1"/>
  <c r="A276" i="1"/>
  <c r="H275" i="1"/>
  <c r="G275" i="1"/>
  <c r="D275" i="1"/>
  <c r="C275" i="1"/>
  <c r="B275" i="1"/>
  <c r="A275" i="1"/>
  <c r="H274" i="1"/>
  <c r="G274" i="1"/>
  <c r="D274" i="1"/>
  <c r="C274" i="1"/>
  <c r="B274" i="1"/>
  <c r="A274" i="1"/>
  <c r="H273" i="1"/>
  <c r="G273" i="1"/>
  <c r="D273" i="1"/>
  <c r="C273" i="1"/>
  <c r="B273" i="1"/>
  <c r="A273" i="1"/>
  <c r="H272" i="1"/>
  <c r="G272" i="1"/>
  <c r="D272" i="1"/>
  <c r="C272" i="1"/>
  <c r="B272" i="1"/>
  <c r="A272" i="1"/>
  <c r="H271" i="1"/>
  <c r="G271" i="1"/>
  <c r="D271" i="1"/>
  <c r="C271" i="1"/>
  <c r="B271" i="1"/>
  <c r="A271" i="1"/>
  <c r="H270" i="1"/>
  <c r="G270" i="1"/>
  <c r="D270" i="1"/>
  <c r="C270" i="1"/>
  <c r="B270" i="1"/>
  <c r="A270" i="1"/>
  <c r="H269" i="1"/>
  <c r="G269" i="1"/>
  <c r="D269" i="1"/>
  <c r="C269" i="1"/>
  <c r="B269" i="1"/>
  <c r="A269" i="1"/>
  <c r="H268" i="1"/>
  <c r="G268" i="1"/>
  <c r="D268" i="1"/>
  <c r="C268" i="1"/>
  <c r="B268" i="1"/>
  <c r="A268" i="1"/>
  <c r="H267" i="1"/>
  <c r="G267" i="1"/>
  <c r="D267" i="1"/>
  <c r="C267" i="1"/>
  <c r="B267" i="1"/>
  <c r="A267" i="1"/>
  <c r="H266" i="1"/>
  <c r="G266" i="1"/>
  <c r="D266" i="1"/>
  <c r="C266" i="1"/>
  <c r="B266" i="1"/>
  <c r="A266" i="1"/>
  <c r="H265" i="1"/>
  <c r="G265" i="1"/>
  <c r="D265" i="1"/>
  <c r="C265" i="1"/>
  <c r="B265" i="1"/>
  <c r="A265" i="1"/>
  <c r="H264" i="1"/>
  <c r="G264" i="1"/>
  <c r="D264" i="1"/>
  <c r="C264" i="1"/>
  <c r="B264" i="1"/>
  <c r="A264" i="1"/>
  <c r="H263" i="1"/>
  <c r="G263" i="1"/>
  <c r="D263" i="1"/>
  <c r="C263" i="1"/>
  <c r="B263" i="1"/>
  <c r="A263" i="1"/>
  <c r="H262" i="1"/>
  <c r="G262" i="1"/>
  <c r="D262" i="1"/>
  <c r="C262" i="1"/>
  <c r="B262" i="1"/>
  <c r="A262" i="1"/>
  <c r="H261" i="1"/>
  <c r="G261" i="1"/>
  <c r="D261" i="1"/>
  <c r="C261" i="1"/>
  <c r="B261" i="1"/>
  <c r="A261" i="1"/>
  <c r="H260" i="1"/>
  <c r="G260" i="1"/>
  <c r="D260" i="1"/>
  <c r="C260" i="1"/>
  <c r="B260" i="1"/>
  <c r="A260" i="1"/>
  <c r="H259" i="1"/>
  <c r="G259" i="1"/>
  <c r="D259" i="1"/>
  <c r="C259" i="1"/>
  <c r="B259" i="1"/>
  <c r="A259" i="1"/>
  <c r="H258" i="1"/>
  <c r="G258" i="1"/>
  <c r="D258" i="1"/>
  <c r="C258" i="1"/>
  <c r="B258" i="1"/>
  <c r="A258" i="1"/>
  <c r="H257" i="1"/>
  <c r="G257" i="1"/>
  <c r="D257" i="1"/>
  <c r="C257" i="1"/>
  <c r="B257" i="1"/>
  <c r="A257" i="1"/>
  <c r="H256" i="1"/>
  <c r="G256" i="1"/>
  <c r="D256" i="1"/>
  <c r="C256" i="1"/>
  <c r="B256" i="1"/>
  <c r="A256" i="1"/>
  <c r="H255" i="1"/>
  <c r="G255" i="1"/>
  <c r="D255" i="1"/>
  <c r="C255" i="1"/>
  <c r="B255" i="1"/>
  <c r="A255" i="1"/>
  <c r="H254" i="1"/>
  <c r="G254" i="1"/>
  <c r="D254" i="1"/>
  <c r="C254" i="1"/>
  <c r="B254" i="1"/>
  <c r="A254" i="1"/>
  <c r="H253" i="1"/>
  <c r="G253" i="1"/>
  <c r="D253" i="1"/>
  <c r="C253" i="1"/>
  <c r="B253" i="1"/>
  <c r="A253" i="1"/>
  <c r="H252" i="1"/>
  <c r="G252" i="1"/>
  <c r="D252" i="1"/>
  <c r="C252" i="1"/>
  <c r="B252" i="1"/>
  <c r="A252" i="1"/>
  <c r="H251" i="1"/>
  <c r="G251" i="1"/>
  <c r="D251" i="1"/>
  <c r="C251" i="1"/>
  <c r="B251" i="1"/>
  <c r="A251" i="1"/>
  <c r="H250" i="1"/>
  <c r="G250" i="1"/>
  <c r="D250" i="1"/>
  <c r="C250" i="1"/>
  <c r="B250" i="1"/>
  <c r="A250" i="1"/>
  <c r="H249" i="1"/>
  <c r="G249" i="1"/>
  <c r="D249" i="1"/>
  <c r="C249" i="1"/>
  <c r="B249" i="1"/>
  <c r="A249" i="1"/>
  <c r="H248" i="1"/>
  <c r="G248" i="1"/>
  <c r="D248" i="1"/>
  <c r="C248" i="1"/>
  <c r="B248" i="1"/>
  <c r="A248" i="1"/>
  <c r="H247" i="1"/>
  <c r="G247" i="1"/>
  <c r="D247" i="1"/>
  <c r="C247" i="1"/>
  <c r="B247" i="1"/>
  <c r="A247" i="1"/>
  <c r="H246" i="1"/>
  <c r="G246" i="1"/>
  <c r="D246" i="1"/>
  <c r="C246" i="1"/>
  <c r="B246" i="1"/>
  <c r="A246" i="1"/>
  <c r="H245" i="1"/>
  <c r="G245" i="1"/>
  <c r="D245" i="1"/>
  <c r="C245" i="1"/>
  <c r="B245" i="1"/>
  <c r="A245" i="1"/>
  <c r="H244" i="1"/>
  <c r="G244" i="1"/>
  <c r="D244" i="1"/>
  <c r="C244" i="1"/>
  <c r="B244" i="1"/>
  <c r="A244" i="1"/>
  <c r="H243" i="1"/>
  <c r="G243" i="1"/>
  <c r="D243" i="1"/>
  <c r="C243" i="1"/>
  <c r="B243" i="1"/>
  <c r="A243" i="1"/>
  <c r="H242" i="1"/>
  <c r="G242" i="1"/>
  <c r="D242" i="1"/>
  <c r="C242" i="1"/>
  <c r="B242" i="1"/>
  <c r="A242" i="1"/>
  <c r="H241" i="1"/>
  <c r="G241" i="1"/>
  <c r="D241" i="1"/>
  <c r="C241" i="1"/>
  <c r="B241" i="1"/>
  <c r="A241" i="1"/>
  <c r="H240" i="1"/>
  <c r="G240" i="1"/>
  <c r="D240" i="1"/>
  <c r="C240" i="1"/>
  <c r="B240" i="1"/>
  <c r="A240" i="1"/>
  <c r="H239" i="1"/>
  <c r="G239" i="1"/>
  <c r="D239" i="1"/>
  <c r="C239" i="1"/>
  <c r="B239" i="1"/>
  <c r="A239" i="1"/>
  <c r="H238" i="1"/>
  <c r="G238" i="1"/>
  <c r="D238" i="1"/>
  <c r="C238" i="1"/>
  <c r="B238" i="1"/>
  <c r="A238" i="1"/>
  <c r="H237" i="1"/>
  <c r="G237" i="1"/>
  <c r="D237" i="1"/>
  <c r="C237" i="1"/>
  <c r="B237" i="1"/>
  <c r="A237" i="1"/>
  <c r="H236" i="1"/>
  <c r="G236" i="1"/>
  <c r="D236" i="1"/>
  <c r="C236" i="1"/>
  <c r="B236" i="1"/>
  <c r="A236" i="1"/>
  <c r="H235" i="1"/>
  <c r="G235" i="1"/>
  <c r="D235" i="1"/>
  <c r="C235" i="1"/>
  <c r="B235" i="1"/>
  <c r="A235" i="1"/>
  <c r="H234" i="1"/>
  <c r="G234" i="1"/>
  <c r="D234" i="1"/>
  <c r="C234" i="1"/>
  <c r="B234" i="1"/>
  <c r="A234" i="1"/>
  <c r="H233" i="1"/>
  <c r="G233" i="1"/>
  <c r="D233" i="1"/>
  <c r="C233" i="1"/>
  <c r="B233" i="1"/>
  <c r="A233" i="1"/>
  <c r="H232" i="1"/>
  <c r="G232" i="1"/>
  <c r="D232" i="1"/>
  <c r="C232" i="1"/>
  <c r="B232" i="1"/>
  <c r="A232" i="1"/>
  <c r="H231" i="1"/>
  <c r="G231" i="1"/>
  <c r="D231" i="1"/>
  <c r="C231" i="1"/>
  <c r="B231" i="1"/>
  <c r="A231" i="1"/>
  <c r="H230" i="1"/>
  <c r="G230" i="1"/>
  <c r="D230" i="1"/>
  <c r="C230" i="1"/>
  <c r="B230" i="1"/>
  <c r="A230" i="1"/>
  <c r="H229" i="1"/>
  <c r="G229" i="1"/>
  <c r="D229" i="1"/>
  <c r="C229" i="1"/>
  <c r="B229" i="1"/>
  <c r="A229" i="1"/>
  <c r="H228" i="1"/>
  <c r="G228" i="1"/>
  <c r="D228" i="1"/>
  <c r="C228" i="1"/>
  <c r="B228" i="1"/>
  <c r="A228" i="1"/>
  <c r="H227" i="1"/>
  <c r="G227" i="1"/>
  <c r="D227" i="1"/>
  <c r="C227" i="1"/>
  <c r="B227" i="1"/>
  <c r="A227" i="1"/>
  <c r="H226" i="1"/>
  <c r="G226" i="1"/>
  <c r="D226" i="1"/>
  <c r="C226" i="1"/>
  <c r="B226" i="1"/>
  <c r="A226" i="1"/>
  <c r="H225" i="1"/>
  <c r="G225" i="1"/>
  <c r="D225" i="1"/>
  <c r="C225" i="1"/>
  <c r="B225" i="1"/>
  <c r="A225" i="1"/>
  <c r="H224" i="1"/>
  <c r="G224" i="1"/>
  <c r="D224" i="1"/>
  <c r="C224" i="1"/>
  <c r="B224" i="1"/>
  <c r="A224" i="1"/>
  <c r="H223" i="1"/>
  <c r="G223" i="1"/>
  <c r="D223" i="1"/>
  <c r="C223" i="1"/>
  <c r="B223" i="1"/>
  <c r="A223" i="1"/>
  <c r="H222" i="1"/>
  <c r="G222" i="1"/>
  <c r="D222" i="1"/>
  <c r="C222" i="1"/>
  <c r="B222" i="1"/>
  <c r="A222" i="1"/>
  <c r="H221" i="1"/>
  <c r="G221" i="1"/>
  <c r="D221" i="1"/>
  <c r="C221" i="1"/>
  <c r="B221" i="1"/>
  <c r="A221" i="1"/>
  <c r="H220" i="1"/>
  <c r="G220" i="1"/>
  <c r="D220" i="1"/>
  <c r="C220" i="1"/>
  <c r="B220" i="1"/>
  <c r="A220" i="1"/>
  <c r="H219" i="1"/>
  <c r="G219" i="1"/>
  <c r="D219" i="1"/>
  <c r="C219" i="1"/>
  <c r="B219" i="1"/>
  <c r="A219" i="1"/>
  <c r="H218" i="1"/>
  <c r="G218" i="1"/>
  <c r="D218" i="1"/>
  <c r="C218" i="1"/>
  <c r="B218" i="1"/>
  <c r="A218" i="1"/>
  <c r="H217" i="1"/>
  <c r="G217" i="1"/>
  <c r="D217" i="1"/>
  <c r="C217" i="1"/>
  <c r="B217" i="1"/>
  <c r="A217" i="1"/>
  <c r="H216" i="1"/>
  <c r="G216" i="1"/>
  <c r="D216" i="1"/>
  <c r="C216" i="1"/>
  <c r="B216" i="1"/>
  <c r="A216" i="1"/>
  <c r="H215" i="1"/>
  <c r="G215" i="1"/>
  <c r="D215" i="1"/>
  <c r="C215" i="1"/>
  <c r="B215" i="1"/>
  <c r="A215" i="1"/>
  <c r="H214" i="1"/>
  <c r="G214" i="1"/>
  <c r="D214" i="1"/>
  <c r="C214" i="1"/>
  <c r="B214" i="1"/>
  <c r="A214" i="1"/>
  <c r="H213" i="1"/>
  <c r="G213" i="1"/>
  <c r="D213" i="1"/>
  <c r="C213" i="1"/>
  <c r="B213" i="1"/>
  <c r="A213" i="1"/>
  <c r="H212" i="1"/>
  <c r="G212" i="1"/>
  <c r="D212" i="1"/>
  <c r="C212" i="1"/>
  <c r="B212" i="1"/>
  <c r="A212" i="1"/>
  <c r="H211" i="1"/>
  <c r="G211" i="1"/>
  <c r="D211" i="1"/>
  <c r="C211" i="1"/>
  <c r="B211" i="1"/>
  <c r="A211" i="1"/>
  <c r="H210" i="1"/>
  <c r="G210" i="1"/>
  <c r="D210" i="1"/>
  <c r="C210" i="1"/>
  <c r="B210" i="1"/>
  <c r="A210" i="1"/>
  <c r="H209" i="1"/>
  <c r="G209" i="1"/>
  <c r="D209" i="1"/>
  <c r="C209" i="1"/>
  <c r="B209" i="1"/>
  <c r="A209" i="1"/>
  <c r="H208" i="1"/>
  <c r="G208" i="1"/>
  <c r="D208" i="1"/>
  <c r="C208" i="1"/>
  <c r="B208" i="1"/>
  <c r="A208" i="1"/>
  <c r="H207" i="1"/>
  <c r="G207" i="1"/>
  <c r="D207" i="1"/>
  <c r="C207" i="1"/>
  <c r="B207" i="1"/>
  <c r="A207" i="1"/>
  <c r="H206" i="1"/>
  <c r="G206" i="1"/>
  <c r="D206" i="1"/>
  <c r="C206" i="1"/>
  <c r="B206" i="1"/>
  <c r="A206" i="1"/>
  <c r="H205" i="1"/>
  <c r="G205" i="1"/>
  <c r="D205" i="1"/>
  <c r="C205" i="1"/>
  <c r="B205" i="1"/>
  <c r="A205" i="1"/>
  <c r="H204" i="1"/>
  <c r="G204" i="1"/>
  <c r="D204" i="1"/>
  <c r="C204" i="1"/>
  <c r="B204" i="1"/>
  <c r="A204" i="1"/>
  <c r="H203" i="1"/>
  <c r="G203" i="1"/>
  <c r="D203" i="1"/>
  <c r="C203" i="1"/>
  <c r="B203" i="1"/>
  <c r="A203" i="1"/>
  <c r="H202" i="1"/>
  <c r="G202" i="1"/>
  <c r="D202" i="1"/>
  <c r="C202" i="1"/>
  <c r="B202" i="1"/>
  <c r="A202" i="1"/>
  <c r="H201" i="1"/>
  <c r="G201" i="1"/>
  <c r="D201" i="1"/>
  <c r="C201" i="1"/>
  <c r="B201" i="1"/>
  <c r="A201" i="1"/>
  <c r="H200" i="1"/>
  <c r="G200" i="1"/>
  <c r="D200" i="1"/>
  <c r="C200" i="1"/>
  <c r="B200" i="1"/>
  <c r="A200" i="1"/>
  <c r="H199" i="1"/>
  <c r="G199" i="1"/>
  <c r="D199" i="1"/>
  <c r="C199" i="1"/>
  <c r="B199" i="1"/>
  <c r="A199" i="1"/>
  <c r="H198" i="1"/>
  <c r="G198" i="1"/>
  <c r="D198" i="1"/>
  <c r="C198" i="1"/>
  <c r="B198" i="1"/>
  <c r="A198" i="1"/>
  <c r="H197" i="1"/>
  <c r="G197" i="1"/>
  <c r="D197" i="1"/>
  <c r="C197" i="1"/>
  <c r="B197" i="1"/>
  <c r="A197" i="1"/>
  <c r="H196" i="1"/>
  <c r="G196" i="1"/>
  <c r="D196" i="1"/>
  <c r="C196" i="1"/>
  <c r="B196" i="1"/>
  <c r="A196" i="1"/>
  <c r="H195" i="1"/>
  <c r="G195" i="1"/>
  <c r="D195" i="1"/>
  <c r="C195" i="1"/>
  <c r="B195" i="1"/>
  <c r="A195" i="1"/>
  <c r="H194" i="1"/>
  <c r="G194" i="1"/>
  <c r="D194" i="1"/>
  <c r="C194" i="1"/>
  <c r="B194" i="1"/>
  <c r="A194" i="1"/>
  <c r="H193" i="1"/>
  <c r="G193" i="1"/>
  <c r="D193" i="1"/>
  <c r="C193" i="1"/>
  <c r="B193" i="1"/>
  <c r="A193" i="1"/>
  <c r="H192" i="1"/>
  <c r="G192" i="1"/>
  <c r="D192" i="1"/>
  <c r="C192" i="1"/>
  <c r="B192" i="1"/>
  <c r="A192" i="1"/>
  <c r="H191" i="1"/>
  <c r="G191" i="1"/>
  <c r="D191" i="1"/>
  <c r="C191" i="1"/>
  <c r="B191" i="1"/>
  <c r="A191" i="1"/>
  <c r="H190" i="1"/>
  <c r="G190" i="1"/>
  <c r="D190" i="1"/>
  <c r="C190" i="1"/>
  <c r="B190" i="1"/>
  <c r="A190" i="1"/>
  <c r="H189" i="1"/>
  <c r="G189" i="1"/>
  <c r="D189" i="1"/>
  <c r="C189" i="1"/>
  <c r="B189" i="1"/>
  <c r="A189" i="1"/>
  <c r="H188" i="1"/>
  <c r="G188" i="1"/>
  <c r="D188" i="1"/>
  <c r="C188" i="1"/>
  <c r="B188" i="1"/>
  <c r="A188" i="1"/>
  <c r="H187" i="1"/>
  <c r="G187" i="1"/>
  <c r="D187" i="1"/>
  <c r="C187" i="1"/>
  <c r="B187" i="1"/>
  <c r="A187" i="1"/>
  <c r="H186" i="1"/>
  <c r="G186" i="1"/>
  <c r="D186" i="1"/>
  <c r="C186" i="1"/>
  <c r="B186" i="1"/>
  <c r="A186" i="1"/>
  <c r="H185" i="1"/>
  <c r="G185" i="1"/>
  <c r="D185" i="1"/>
  <c r="C185" i="1"/>
  <c r="B185" i="1"/>
  <c r="A185" i="1"/>
  <c r="H184" i="1"/>
  <c r="G184" i="1"/>
  <c r="D184" i="1"/>
  <c r="C184" i="1"/>
  <c r="B184" i="1"/>
  <c r="A184" i="1"/>
  <c r="H183" i="1"/>
  <c r="G183" i="1"/>
  <c r="D183" i="1"/>
  <c r="C183" i="1"/>
  <c r="B183" i="1"/>
  <c r="A183" i="1"/>
  <c r="H182" i="1"/>
  <c r="G182" i="1"/>
  <c r="D182" i="1"/>
  <c r="C182" i="1"/>
  <c r="B182" i="1"/>
  <c r="A182" i="1"/>
  <c r="H181" i="1"/>
  <c r="G181" i="1"/>
  <c r="D181" i="1"/>
  <c r="C181" i="1"/>
  <c r="B181" i="1"/>
  <c r="A181" i="1"/>
  <c r="H180" i="1"/>
  <c r="G180" i="1"/>
  <c r="D180" i="1"/>
  <c r="C180" i="1"/>
  <c r="B180" i="1"/>
  <c r="A180" i="1"/>
  <c r="H179" i="1"/>
  <c r="G179" i="1"/>
  <c r="D179" i="1"/>
  <c r="C179" i="1"/>
  <c r="B179" i="1"/>
  <c r="A179" i="1"/>
  <c r="H178" i="1"/>
  <c r="G178" i="1"/>
  <c r="D178" i="1"/>
  <c r="C178" i="1"/>
  <c r="B178" i="1"/>
  <c r="A178" i="1"/>
  <c r="H177" i="1"/>
  <c r="G177" i="1"/>
  <c r="D177" i="1"/>
  <c r="C177" i="1"/>
  <c r="B177" i="1"/>
  <c r="A177" i="1"/>
  <c r="H176" i="1"/>
  <c r="G176" i="1"/>
  <c r="D176" i="1"/>
  <c r="C176" i="1"/>
  <c r="B176" i="1"/>
  <c r="A176" i="1"/>
  <c r="H175" i="1"/>
  <c r="G175" i="1"/>
  <c r="D175" i="1"/>
  <c r="C175" i="1"/>
  <c r="B175" i="1"/>
  <c r="A175" i="1"/>
  <c r="H174" i="1"/>
  <c r="G174" i="1"/>
  <c r="D174" i="1"/>
  <c r="C174" i="1"/>
  <c r="B174" i="1"/>
  <c r="A174" i="1"/>
  <c r="H173" i="1"/>
  <c r="G173" i="1"/>
  <c r="D173" i="1"/>
  <c r="C173" i="1"/>
  <c r="B173" i="1"/>
  <c r="A173" i="1"/>
  <c r="H172" i="1"/>
  <c r="G172" i="1"/>
  <c r="D172" i="1"/>
  <c r="C172" i="1"/>
  <c r="B172" i="1"/>
  <c r="A172" i="1"/>
  <c r="H171" i="1"/>
  <c r="G171" i="1"/>
  <c r="D171" i="1"/>
  <c r="C171" i="1"/>
  <c r="B171" i="1"/>
  <c r="A171" i="1"/>
  <c r="H170" i="1"/>
  <c r="G170" i="1"/>
  <c r="D170" i="1"/>
  <c r="C170" i="1"/>
  <c r="B170" i="1"/>
  <c r="A170" i="1"/>
  <c r="H169" i="1"/>
  <c r="G169" i="1"/>
  <c r="D169" i="1"/>
  <c r="C169" i="1"/>
  <c r="B169" i="1"/>
  <c r="A169" i="1"/>
  <c r="H168" i="1"/>
  <c r="G168" i="1"/>
  <c r="D168" i="1"/>
  <c r="C168" i="1"/>
  <c r="B168" i="1"/>
  <c r="A168" i="1"/>
  <c r="H167" i="1"/>
  <c r="G167" i="1"/>
  <c r="D167" i="1"/>
  <c r="C167" i="1"/>
  <c r="B167" i="1"/>
  <c r="A167" i="1"/>
  <c r="H166" i="1"/>
  <c r="G166" i="1"/>
  <c r="D166" i="1"/>
  <c r="C166" i="1"/>
  <c r="B166" i="1"/>
  <c r="A166" i="1"/>
  <c r="H165" i="1"/>
  <c r="G165" i="1"/>
  <c r="D165" i="1"/>
  <c r="C165" i="1"/>
  <c r="B165" i="1"/>
  <c r="A165" i="1"/>
  <c r="H164" i="1"/>
  <c r="G164" i="1"/>
  <c r="D164" i="1"/>
  <c r="C164" i="1"/>
  <c r="B164" i="1"/>
  <c r="A164" i="1"/>
  <c r="H163" i="1"/>
  <c r="G163" i="1"/>
  <c r="D163" i="1"/>
  <c r="C163" i="1"/>
  <c r="B163" i="1"/>
  <c r="A163" i="1"/>
  <c r="H162" i="1"/>
  <c r="G162" i="1"/>
  <c r="D162" i="1"/>
  <c r="C162" i="1"/>
  <c r="B162" i="1"/>
  <c r="A162" i="1"/>
  <c r="H161" i="1"/>
  <c r="G161" i="1"/>
  <c r="D161" i="1"/>
  <c r="C161" i="1"/>
  <c r="B161" i="1"/>
  <c r="A161" i="1"/>
  <c r="H160" i="1"/>
  <c r="G160" i="1"/>
  <c r="D160" i="1"/>
  <c r="C160" i="1"/>
  <c r="B160" i="1"/>
  <c r="A160" i="1"/>
  <c r="H159" i="1"/>
  <c r="G159" i="1"/>
  <c r="D159" i="1"/>
  <c r="C159" i="1"/>
  <c r="B159" i="1"/>
  <c r="A159" i="1"/>
  <c r="H158" i="1"/>
  <c r="G158" i="1"/>
  <c r="D158" i="1"/>
  <c r="C158" i="1"/>
  <c r="B158" i="1"/>
  <c r="A158" i="1"/>
  <c r="H157" i="1"/>
  <c r="G157" i="1"/>
  <c r="D157" i="1"/>
  <c r="C157" i="1"/>
  <c r="B157" i="1"/>
  <c r="A157" i="1"/>
  <c r="H156" i="1"/>
  <c r="G156" i="1"/>
  <c r="D156" i="1"/>
  <c r="C156" i="1"/>
  <c r="B156" i="1"/>
  <c r="A156" i="1"/>
  <c r="H155" i="1"/>
  <c r="G155" i="1"/>
  <c r="D155" i="1"/>
  <c r="C155" i="1"/>
  <c r="B155" i="1"/>
  <c r="A155" i="1"/>
  <c r="H154" i="1"/>
  <c r="G154" i="1"/>
  <c r="D154" i="1"/>
  <c r="C154" i="1"/>
  <c r="B154" i="1"/>
  <c r="A154" i="1"/>
  <c r="H153" i="1"/>
  <c r="G153" i="1"/>
  <c r="D153" i="1"/>
  <c r="C153" i="1"/>
  <c r="B153" i="1"/>
  <c r="A153" i="1"/>
  <c r="H152" i="1"/>
  <c r="G152" i="1"/>
  <c r="D152" i="1"/>
  <c r="C152" i="1"/>
  <c r="B152" i="1"/>
  <c r="A152" i="1"/>
  <c r="H151" i="1"/>
  <c r="G151" i="1"/>
  <c r="D151" i="1"/>
  <c r="C151" i="1"/>
  <c r="B151" i="1"/>
  <c r="A151" i="1"/>
  <c r="H150" i="1"/>
  <c r="G150" i="1"/>
  <c r="D150" i="1"/>
  <c r="C150" i="1"/>
  <c r="B150" i="1"/>
  <c r="A150" i="1"/>
  <c r="H149" i="1"/>
  <c r="G149" i="1"/>
  <c r="D149" i="1"/>
  <c r="C149" i="1"/>
  <c r="B149" i="1"/>
  <c r="A149" i="1"/>
  <c r="H148" i="1"/>
  <c r="G148" i="1"/>
  <c r="D148" i="1"/>
  <c r="C148" i="1"/>
  <c r="B148" i="1"/>
  <c r="A148" i="1"/>
  <c r="H147" i="1"/>
  <c r="G147" i="1"/>
  <c r="D147" i="1"/>
  <c r="C147" i="1"/>
  <c r="B147" i="1"/>
  <c r="A147" i="1"/>
  <c r="H146" i="1"/>
  <c r="G146" i="1"/>
  <c r="D146" i="1"/>
  <c r="C146" i="1"/>
  <c r="B146" i="1"/>
  <c r="A146" i="1"/>
  <c r="H145" i="1"/>
  <c r="G145" i="1"/>
  <c r="D145" i="1"/>
  <c r="C145" i="1"/>
  <c r="B145" i="1"/>
  <c r="A145" i="1"/>
  <c r="H144" i="1"/>
  <c r="G144" i="1"/>
  <c r="D144" i="1"/>
  <c r="C144" i="1"/>
  <c r="B144" i="1"/>
  <c r="A144" i="1"/>
  <c r="H143" i="1"/>
  <c r="G143" i="1"/>
  <c r="D143" i="1"/>
  <c r="C143" i="1"/>
  <c r="B143" i="1"/>
  <c r="A143" i="1"/>
  <c r="H142" i="1"/>
  <c r="G142" i="1"/>
  <c r="D142" i="1"/>
  <c r="C142" i="1"/>
  <c r="B142" i="1"/>
  <c r="A142" i="1"/>
  <c r="H141" i="1"/>
  <c r="G141" i="1"/>
  <c r="D141" i="1"/>
  <c r="C141" i="1"/>
  <c r="B141" i="1"/>
  <c r="A141" i="1"/>
  <c r="H140" i="1"/>
  <c r="G140" i="1"/>
  <c r="D140" i="1"/>
  <c r="C140" i="1"/>
  <c r="B140" i="1"/>
  <c r="A140" i="1"/>
  <c r="H139" i="1"/>
  <c r="G139" i="1"/>
  <c r="D139" i="1"/>
  <c r="C139" i="1"/>
  <c r="B139" i="1"/>
  <c r="A139" i="1"/>
  <c r="H138" i="1"/>
  <c r="G138" i="1"/>
  <c r="D138" i="1"/>
  <c r="C138" i="1"/>
  <c r="B138" i="1"/>
  <c r="A138" i="1"/>
  <c r="H137" i="1"/>
  <c r="G137" i="1"/>
  <c r="D137" i="1"/>
  <c r="C137" i="1"/>
  <c r="B137" i="1"/>
  <c r="A137" i="1"/>
  <c r="H136" i="1"/>
  <c r="G136" i="1"/>
  <c r="D136" i="1"/>
  <c r="C136" i="1"/>
  <c r="B136" i="1"/>
  <c r="A136" i="1"/>
  <c r="H135" i="1"/>
  <c r="G135" i="1"/>
  <c r="D135" i="1"/>
  <c r="C135" i="1"/>
  <c r="B135" i="1"/>
  <c r="A135" i="1"/>
  <c r="H134" i="1"/>
  <c r="G134" i="1"/>
  <c r="D134" i="1"/>
  <c r="C134" i="1"/>
  <c r="B134" i="1"/>
  <c r="A134" i="1"/>
  <c r="H133" i="1"/>
  <c r="G133" i="1"/>
  <c r="D133" i="1"/>
  <c r="C133" i="1"/>
  <c r="B133" i="1"/>
  <c r="A133" i="1"/>
  <c r="H132" i="1"/>
  <c r="G132" i="1"/>
  <c r="D132" i="1"/>
  <c r="C132" i="1"/>
  <c r="B132" i="1"/>
  <c r="A132" i="1"/>
  <c r="H131" i="1"/>
  <c r="G131" i="1"/>
  <c r="D131" i="1"/>
  <c r="C131" i="1"/>
  <c r="B131" i="1"/>
  <c r="A131" i="1"/>
  <c r="H130" i="1"/>
  <c r="G130" i="1"/>
  <c r="D130" i="1"/>
  <c r="C130" i="1"/>
  <c r="B130" i="1"/>
  <c r="A130" i="1"/>
  <c r="H129" i="1"/>
  <c r="G129" i="1"/>
  <c r="D129" i="1"/>
  <c r="C129" i="1"/>
  <c r="B129" i="1"/>
  <c r="A129" i="1"/>
  <c r="H128" i="1"/>
  <c r="G128" i="1"/>
  <c r="D128" i="1"/>
  <c r="C128" i="1"/>
  <c r="B128" i="1"/>
  <c r="A128" i="1"/>
  <c r="H127" i="1"/>
  <c r="G127" i="1"/>
  <c r="D127" i="1"/>
  <c r="C127" i="1"/>
  <c r="B127" i="1"/>
  <c r="A127" i="1"/>
  <c r="H126" i="1"/>
  <c r="G126" i="1"/>
  <c r="D126" i="1"/>
  <c r="C126" i="1"/>
  <c r="B126" i="1"/>
  <c r="A126" i="1"/>
  <c r="H125" i="1"/>
  <c r="G125" i="1"/>
  <c r="D125" i="1"/>
  <c r="C125" i="1"/>
  <c r="B125" i="1"/>
  <c r="A125" i="1"/>
  <c r="H124" i="1"/>
  <c r="G124" i="1"/>
  <c r="D124" i="1"/>
  <c r="C124" i="1"/>
  <c r="B124" i="1"/>
  <c r="A124" i="1"/>
  <c r="H123" i="1"/>
  <c r="G123" i="1"/>
  <c r="D123" i="1"/>
  <c r="C123" i="1"/>
  <c r="B123" i="1"/>
  <c r="A123" i="1"/>
  <c r="H122" i="1"/>
  <c r="G122" i="1"/>
  <c r="D122" i="1"/>
  <c r="C122" i="1"/>
  <c r="B122" i="1"/>
  <c r="A122" i="1"/>
  <c r="H121" i="1"/>
  <c r="G121" i="1"/>
  <c r="D121" i="1"/>
  <c r="C121" i="1"/>
  <c r="B121" i="1"/>
  <c r="A121" i="1"/>
  <c r="H120" i="1"/>
  <c r="G120" i="1"/>
  <c r="D120" i="1"/>
  <c r="C120" i="1"/>
  <c r="B120" i="1"/>
  <c r="A120" i="1"/>
  <c r="H119" i="1"/>
  <c r="G119" i="1"/>
  <c r="D119" i="1"/>
  <c r="C119" i="1"/>
  <c r="B119" i="1"/>
  <c r="A119" i="1"/>
  <c r="H118" i="1"/>
  <c r="G118" i="1"/>
  <c r="D118" i="1"/>
  <c r="C118" i="1"/>
  <c r="B118" i="1"/>
  <c r="A118" i="1"/>
  <c r="H117" i="1"/>
  <c r="G117" i="1"/>
  <c r="D117" i="1"/>
  <c r="C117" i="1"/>
  <c r="B117" i="1"/>
  <c r="A117" i="1"/>
  <c r="H116" i="1"/>
  <c r="G116" i="1"/>
  <c r="D116" i="1"/>
  <c r="C116" i="1"/>
  <c r="B116" i="1"/>
  <c r="A116" i="1"/>
  <c r="H115" i="1"/>
  <c r="G115" i="1"/>
  <c r="D115" i="1"/>
  <c r="C115" i="1"/>
  <c r="B115" i="1"/>
  <c r="A115" i="1"/>
  <c r="H114" i="1"/>
  <c r="G114" i="1"/>
  <c r="D114" i="1"/>
  <c r="C114" i="1"/>
  <c r="B114" i="1"/>
  <c r="A114" i="1"/>
  <c r="H113" i="1"/>
  <c r="G113" i="1"/>
  <c r="D113" i="1"/>
  <c r="C113" i="1"/>
  <c r="B113" i="1"/>
  <c r="A113" i="1"/>
  <c r="H112" i="1"/>
  <c r="G112" i="1"/>
  <c r="D112" i="1"/>
  <c r="C112" i="1"/>
  <c r="B112" i="1"/>
  <c r="A112" i="1"/>
  <c r="H111" i="1"/>
  <c r="G111" i="1"/>
  <c r="D111" i="1"/>
  <c r="C111" i="1"/>
  <c r="B111" i="1"/>
  <c r="A111" i="1"/>
  <c r="H110" i="1"/>
  <c r="G110" i="1"/>
  <c r="D110" i="1"/>
  <c r="C110" i="1"/>
  <c r="B110" i="1"/>
  <c r="A110" i="1"/>
  <c r="H109" i="1"/>
  <c r="G109" i="1"/>
  <c r="D109" i="1"/>
  <c r="C109" i="1"/>
  <c r="B109" i="1"/>
  <c r="A109" i="1"/>
  <c r="H108" i="1"/>
  <c r="G108" i="1"/>
  <c r="D108" i="1"/>
  <c r="C108" i="1"/>
  <c r="B108" i="1"/>
  <c r="A108" i="1"/>
  <c r="H107" i="1"/>
  <c r="G107" i="1"/>
  <c r="D107" i="1"/>
  <c r="C107" i="1"/>
  <c r="B107" i="1"/>
  <c r="A107" i="1"/>
  <c r="H106" i="1"/>
  <c r="G106" i="1"/>
  <c r="D106" i="1"/>
  <c r="C106" i="1"/>
  <c r="B106" i="1"/>
  <c r="A106" i="1"/>
  <c r="H105" i="1"/>
  <c r="G105" i="1"/>
  <c r="D105" i="1"/>
  <c r="C105" i="1"/>
  <c r="B105" i="1"/>
  <c r="A105" i="1"/>
  <c r="H104" i="1"/>
  <c r="G104" i="1"/>
  <c r="D104" i="1"/>
  <c r="C104" i="1"/>
  <c r="B104" i="1"/>
  <c r="A104" i="1"/>
  <c r="H103" i="1"/>
  <c r="G103" i="1"/>
  <c r="D103" i="1"/>
  <c r="C103" i="1"/>
  <c r="B103" i="1"/>
  <c r="A103" i="1"/>
  <c r="H102" i="1"/>
  <c r="G102" i="1"/>
  <c r="D102" i="1"/>
  <c r="C102" i="1"/>
  <c r="B102" i="1"/>
  <c r="A102" i="1"/>
  <c r="H101" i="1"/>
  <c r="G101" i="1"/>
  <c r="D101" i="1"/>
  <c r="C101" i="1"/>
  <c r="B101" i="1"/>
  <c r="A101" i="1"/>
  <c r="H100" i="1"/>
  <c r="G100" i="1"/>
  <c r="D100" i="1"/>
  <c r="C100" i="1"/>
  <c r="B100" i="1"/>
  <c r="A100" i="1"/>
  <c r="H99" i="1"/>
  <c r="G99" i="1"/>
  <c r="D99" i="1"/>
  <c r="C99" i="1"/>
  <c r="B99" i="1"/>
  <c r="A99" i="1"/>
  <c r="H98" i="1"/>
  <c r="G98" i="1"/>
  <c r="D98" i="1"/>
  <c r="C98" i="1"/>
  <c r="B98" i="1"/>
  <c r="A98" i="1"/>
  <c r="H97" i="1"/>
  <c r="G97" i="1"/>
  <c r="D97" i="1"/>
  <c r="C97" i="1"/>
  <c r="B97" i="1"/>
  <c r="A97" i="1"/>
  <c r="H96" i="1"/>
  <c r="G96" i="1"/>
  <c r="D96" i="1"/>
  <c r="C96" i="1"/>
  <c r="B96" i="1"/>
  <c r="A96" i="1"/>
  <c r="H95" i="1"/>
  <c r="G95" i="1"/>
  <c r="D95" i="1"/>
  <c r="C95" i="1"/>
  <c r="B95" i="1"/>
  <c r="A95" i="1"/>
  <c r="H94" i="1"/>
  <c r="G94" i="1"/>
  <c r="D94" i="1"/>
  <c r="C94" i="1"/>
  <c r="B94" i="1"/>
  <c r="A94" i="1"/>
  <c r="H93" i="1"/>
  <c r="G93" i="1"/>
  <c r="D93" i="1"/>
  <c r="C93" i="1"/>
  <c r="B93" i="1"/>
  <c r="A93" i="1"/>
  <c r="H92" i="1"/>
  <c r="G92" i="1"/>
  <c r="D92" i="1"/>
  <c r="C92" i="1"/>
  <c r="B92" i="1"/>
  <c r="A92" i="1"/>
  <c r="H91" i="1"/>
  <c r="G91" i="1"/>
  <c r="D91" i="1"/>
  <c r="C91" i="1"/>
  <c r="B91" i="1"/>
  <c r="A91" i="1"/>
  <c r="H90" i="1"/>
  <c r="G90" i="1"/>
  <c r="D90" i="1"/>
  <c r="C90" i="1"/>
  <c r="B90" i="1"/>
  <c r="A90" i="1"/>
  <c r="H89" i="1"/>
  <c r="G89" i="1"/>
  <c r="D89" i="1"/>
  <c r="C89" i="1"/>
  <c r="B89" i="1"/>
  <c r="A89" i="1"/>
  <c r="H88" i="1"/>
  <c r="G88" i="1"/>
  <c r="D88" i="1"/>
  <c r="C88" i="1"/>
  <c r="B88" i="1"/>
  <c r="A88" i="1"/>
  <c r="H87" i="1"/>
  <c r="G87" i="1"/>
  <c r="D87" i="1"/>
  <c r="C87" i="1"/>
  <c r="B87" i="1"/>
  <c r="A87" i="1"/>
  <c r="H86" i="1"/>
  <c r="G86" i="1"/>
  <c r="D86" i="1"/>
  <c r="C86" i="1"/>
  <c r="B86" i="1"/>
  <c r="A86" i="1"/>
  <c r="H85" i="1"/>
  <c r="G85" i="1"/>
  <c r="D85" i="1"/>
  <c r="C85" i="1"/>
  <c r="B85" i="1"/>
  <c r="A85" i="1"/>
  <c r="H84" i="1"/>
  <c r="G84" i="1"/>
  <c r="D84" i="1"/>
  <c r="C84" i="1"/>
  <c r="B84" i="1"/>
  <c r="A84" i="1"/>
  <c r="H83" i="1"/>
  <c r="G83" i="1"/>
  <c r="D83" i="1"/>
  <c r="C83" i="1"/>
  <c r="B83" i="1"/>
  <c r="A83" i="1"/>
  <c r="H82" i="1"/>
  <c r="G82" i="1"/>
  <c r="D82" i="1"/>
  <c r="C82" i="1"/>
  <c r="B82" i="1"/>
  <c r="A82" i="1"/>
  <c r="H81" i="1"/>
  <c r="G81" i="1"/>
  <c r="D81" i="1"/>
  <c r="C81" i="1"/>
  <c r="B81" i="1"/>
  <c r="A81" i="1"/>
  <c r="H80" i="1"/>
  <c r="G80" i="1"/>
  <c r="D80" i="1"/>
  <c r="C80" i="1"/>
  <c r="B80" i="1"/>
  <c r="A80" i="1"/>
  <c r="H79" i="1"/>
  <c r="G79" i="1"/>
  <c r="D79" i="1"/>
  <c r="C79" i="1"/>
  <c r="B79" i="1"/>
  <c r="A79" i="1"/>
  <c r="H78" i="1"/>
  <c r="G78" i="1"/>
  <c r="D78" i="1"/>
  <c r="C78" i="1"/>
  <c r="B78" i="1"/>
  <c r="A78" i="1"/>
  <c r="H77" i="1"/>
  <c r="G77" i="1"/>
  <c r="D77" i="1"/>
  <c r="C77" i="1"/>
  <c r="B77" i="1"/>
  <c r="A77" i="1"/>
  <c r="H76" i="1"/>
  <c r="G76" i="1"/>
  <c r="D76" i="1"/>
  <c r="C76" i="1"/>
  <c r="B76" i="1"/>
  <c r="A76" i="1"/>
  <c r="H75" i="1"/>
  <c r="G75" i="1"/>
  <c r="D75" i="1"/>
  <c r="C75" i="1"/>
  <c r="B75" i="1"/>
  <c r="A75" i="1"/>
  <c r="H74" i="1"/>
  <c r="G74" i="1"/>
  <c r="D74" i="1"/>
  <c r="C74" i="1"/>
  <c r="B74" i="1"/>
  <c r="A74" i="1"/>
  <c r="H73" i="1"/>
  <c r="G73" i="1"/>
  <c r="D73" i="1"/>
  <c r="C73" i="1"/>
  <c r="B73" i="1"/>
  <c r="A73" i="1"/>
  <c r="H72" i="1"/>
  <c r="G72" i="1"/>
  <c r="D72" i="1"/>
  <c r="C72" i="1"/>
  <c r="B72" i="1"/>
  <c r="A72" i="1"/>
  <c r="H71" i="1"/>
  <c r="G71" i="1"/>
  <c r="D71" i="1"/>
  <c r="C71" i="1"/>
  <c r="B71" i="1"/>
  <c r="A71" i="1"/>
  <c r="H70" i="1"/>
  <c r="G70" i="1"/>
  <c r="D70" i="1"/>
  <c r="C70" i="1"/>
  <c r="B70" i="1"/>
  <c r="A70" i="1"/>
  <c r="H69" i="1"/>
  <c r="G69" i="1"/>
  <c r="D69" i="1"/>
  <c r="C69" i="1"/>
  <c r="B69" i="1"/>
  <c r="A69" i="1"/>
  <c r="H68" i="1"/>
  <c r="G68" i="1"/>
  <c r="D68" i="1"/>
  <c r="C68" i="1"/>
  <c r="B68" i="1"/>
  <c r="A68" i="1"/>
  <c r="H67" i="1"/>
  <c r="G67" i="1"/>
  <c r="D67" i="1"/>
  <c r="C67" i="1"/>
  <c r="B67" i="1"/>
  <c r="A67" i="1"/>
  <c r="H66" i="1"/>
  <c r="G66" i="1"/>
  <c r="D66" i="1"/>
  <c r="C66" i="1"/>
  <c r="B66" i="1"/>
  <c r="A66" i="1"/>
  <c r="H65" i="1"/>
  <c r="G65" i="1"/>
  <c r="D65" i="1"/>
  <c r="C65" i="1"/>
  <c r="B65" i="1"/>
  <c r="A65" i="1"/>
  <c r="H64" i="1"/>
  <c r="G64" i="1"/>
  <c r="D64" i="1"/>
  <c r="C64" i="1"/>
  <c r="B64" i="1"/>
  <c r="A64" i="1"/>
  <c r="H63" i="1"/>
  <c r="G63" i="1"/>
  <c r="D63" i="1"/>
  <c r="C63" i="1"/>
  <c r="B63" i="1"/>
  <c r="A63" i="1"/>
  <c r="H62" i="1"/>
  <c r="G62" i="1"/>
  <c r="D62" i="1"/>
  <c r="C62" i="1"/>
  <c r="B62" i="1"/>
  <c r="A62" i="1"/>
  <c r="H61" i="1"/>
  <c r="G61" i="1"/>
  <c r="D61" i="1"/>
  <c r="C61" i="1"/>
  <c r="B61" i="1"/>
  <c r="A61" i="1"/>
  <c r="H60" i="1"/>
  <c r="G60" i="1"/>
  <c r="D60" i="1"/>
  <c r="C60" i="1"/>
  <c r="B60" i="1"/>
  <c r="A60" i="1"/>
  <c r="H59" i="1"/>
  <c r="G59" i="1"/>
  <c r="D59" i="1"/>
  <c r="C59" i="1"/>
  <c r="B59" i="1"/>
  <c r="A59" i="1"/>
  <c r="H58" i="1"/>
  <c r="G58" i="1"/>
  <c r="D58" i="1"/>
  <c r="C58" i="1"/>
  <c r="B58" i="1"/>
  <c r="A58" i="1"/>
  <c r="H57" i="1"/>
  <c r="G57" i="1"/>
  <c r="D57" i="1"/>
  <c r="C57" i="1"/>
  <c r="B57" i="1"/>
  <c r="A57" i="1"/>
  <c r="H56" i="1"/>
  <c r="G56" i="1"/>
  <c r="D56" i="1"/>
  <c r="C56" i="1"/>
  <c r="B56" i="1"/>
  <c r="A56" i="1"/>
  <c r="H55" i="1"/>
  <c r="G55" i="1"/>
  <c r="D55" i="1"/>
  <c r="C55" i="1"/>
  <c r="B55" i="1"/>
  <c r="A55" i="1"/>
  <c r="H54" i="1"/>
  <c r="G54" i="1"/>
  <c r="D54" i="1"/>
  <c r="C54" i="1"/>
  <c r="B54" i="1"/>
  <c r="A54" i="1"/>
  <c r="H53" i="1"/>
  <c r="G53" i="1"/>
  <c r="D53" i="1"/>
  <c r="C53" i="1"/>
  <c r="B53" i="1"/>
  <c r="A53" i="1"/>
  <c r="H52" i="1"/>
  <c r="G52" i="1"/>
  <c r="D52" i="1"/>
  <c r="C52" i="1"/>
  <c r="B52" i="1"/>
  <c r="A52" i="1"/>
  <c r="H51" i="1"/>
  <c r="G51" i="1"/>
  <c r="D51" i="1"/>
  <c r="C51" i="1"/>
  <c r="B51" i="1"/>
  <c r="A51" i="1"/>
  <c r="H50" i="1"/>
  <c r="G50" i="1"/>
  <c r="D50" i="1"/>
  <c r="C50" i="1"/>
  <c r="B50" i="1"/>
  <c r="A50" i="1"/>
  <c r="H49" i="1"/>
  <c r="G49" i="1"/>
  <c r="D49" i="1"/>
  <c r="C49" i="1"/>
  <c r="B49" i="1"/>
  <c r="A49" i="1"/>
  <c r="H48" i="1"/>
  <c r="G48" i="1"/>
  <c r="D48" i="1"/>
  <c r="C48" i="1"/>
  <c r="B48" i="1"/>
  <c r="A48" i="1"/>
  <c r="H47" i="1"/>
  <c r="G47" i="1"/>
  <c r="D47" i="1"/>
  <c r="C47" i="1"/>
  <c r="B47" i="1"/>
  <c r="A47" i="1"/>
  <c r="H46" i="1"/>
  <c r="G46" i="1"/>
  <c r="D46" i="1"/>
  <c r="C46" i="1"/>
  <c r="B46" i="1"/>
  <c r="A46" i="1"/>
  <c r="H45" i="1"/>
  <c r="G45" i="1"/>
  <c r="D45" i="1"/>
  <c r="C45" i="1"/>
  <c r="B45" i="1"/>
  <c r="A45" i="1"/>
  <c r="H44" i="1"/>
  <c r="G44" i="1"/>
  <c r="D44" i="1"/>
  <c r="C44" i="1"/>
  <c r="B44" i="1"/>
  <c r="A44" i="1"/>
  <c r="H43" i="1"/>
  <c r="G43" i="1"/>
  <c r="D43" i="1"/>
  <c r="C43" i="1"/>
  <c r="B43" i="1"/>
  <c r="A43" i="1"/>
  <c r="H42" i="1"/>
  <c r="G42" i="1"/>
  <c r="D42" i="1"/>
  <c r="C42" i="1"/>
  <c r="B42" i="1"/>
  <c r="A42" i="1"/>
  <c r="H41" i="1"/>
  <c r="G41" i="1"/>
  <c r="D41" i="1"/>
  <c r="C41" i="1"/>
  <c r="B41" i="1"/>
  <c r="A41" i="1"/>
  <c r="H40" i="1"/>
  <c r="G40" i="1"/>
  <c r="D40" i="1"/>
  <c r="C40" i="1"/>
  <c r="B40" i="1"/>
  <c r="A40" i="1"/>
  <c r="H39" i="1"/>
  <c r="G39" i="1"/>
  <c r="D39" i="1"/>
  <c r="C39" i="1"/>
  <c r="B39" i="1"/>
  <c r="A39" i="1"/>
  <c r="H38" i="1"/>
  <c r="G38" i="1"/>
  <c r="D38" i="1"/>
  <c r="C38" i="1"/>
  <c r="B38" i="1"/>
  <c r="A38" i="1"/>
  <c r="H37" i="1"/>
  <c r="G37" i="1"/>
  <c r="D37" i="1"/>
  <c r="C37" i="1"/>
  <c r="B37" i="1"/>
  <c r="A37" i="1"/>
  <c r="H36" i="1"/>
  <c r="G36" i="1"/>
  <c r="D36" i="1"/>
  <c r="C36" i="1"/>
  <c r="B36" i="1"/>
  <c r="A36" i="1"/>
  <c r="H35" i="1"/>
  <c r="G35" i="1"/>
  <c r="D35" i="1"/>
  <c r="C35" i="1"/>
  <c r="B35" i="1"/>
  <c r="A35" i="1"/>
  <c r="H34" i="1"/>
  <c r="G34" i="1"/>
  <c r="D34" i="1"/>
  <c r="C34" i="1"/>
  <c r="B34" i="1"/>
  <c r="A34" i="1"/>
  <c r="H33" i="1"/>
  <c r="G33" i="1"/>
  <c r="D33" i="1"/>
  <c r="C33" i="1"/>
  <c r="B33" i="1"/>
  <c r="A33" i="1"/>
  <c r="H32" i="1"/>
  <c r="G32" i="1"/>
  <c r="D32" i="1"/>
  <c r="C32" i="1"/>
  <c r="B32" i="1"/>
  <c r="A32" i="1"/>
  <c r="H31" i="1"/>
  <c r="G31" i="1"/>
  <c r="D31" i="1"/>
  <c r="C31" i="1"/>
  <c r="B31" i="1"/>
  <c r="A31" i="1"/>
  <c r="H30" i="1"/>
  <c r="G30" i="1"/>
  <c r="D30" i="1"/>
  <c r="C30" i="1"/>
  <c r="B30" i="1"/>
  <c r="A30" i="1"/>
  <c r="H29" i="1"/>
  <c r="G29" i="1"/>
  <c r="D29" i="1"/>
  <c r="C29" i="1"/>
  <c r="B29" i="1"/>
  <c r="A29" i="1"/>
  <c r="H28" i="1"/>
  <c r="G28" i="1"/>
  <c r="D28" i="1"/>
  <c r="C28" i="1"/>
  <c r="B28" i="1"/>
  <c r="A28" i="1"/>
  <c r="H27" i="1"/>
  <c r="G27" i="1"/>
  <c r="D27" i="1"/>
  <c r="C27" i="1"/>
  <c r="B27" i="1"/>
  <c r="A27" i="1"/>
  <c r="H26" i="1"/>
  <c r="G26" i="1"/>
  <c r="D26" i="1"/>
  <c r="C26" i="1"/>
  <c r="B26" i="1"/>
  <c r="A26" i="1"/>
  <c r="H25" i="1"/>
  <c r="G25" i="1"/>
  <c r="D25" i="1"/>
  <c r="C25" i="1"/>
  <c r="B25" i="1"/>
  <c r="A25" i="1"/>
  <c r="H24" i="1"/>
  <c r="G24" i="1"/>
  <c r="D24" i="1"/>
  <c r="C24" i="1"/>
  <c r="B24" i="1"/>
  <c r="A24" i="1"/>
  <c r="H23" i="1"/>
  <c r="G23" i="1"/>
  <c r="D23" i="1"/>
  <c r="C23" i="1"/>
  <c r="B23" i="1"/>
  <c r="A23" i="1"/>
  <c r="H22" i="1"/>
  <c r="G22" i="1"/>
  <c r="D22" i="1"/>
  <c r="C22" i="1"/>
  <c r="B22" i="1"/>
  <c r="A22" i="1"/>
  <c r="H21" i="1"/>
  <c r="G21" i="1"/>
  <c r="D21" i="1"/>
  <c r="C21" i="1"/>
  <c r="B21" i="1"/>
  <c r="A21" i="1"/>
  <c r="H20" i="1"/>
  <c r="G20" i="1"/>
  <c r="D20" i="1"/>
  <c r="C20" i="1"/>
  <c r="B20" i="1"/>
  <c r="A20" i="1"/>
  <c r="H19" i="1"/>
  <c r="G19" i="1"/>
  <c r="D19" i="1"/>
  <c r="C19" i="1"/>
  <c r="B19" i="1"/>
  <c r="A19" i="1"/>
  <c r="H18" i="1"/>
  <c r="G18" i="1"/>
  <c r="D18" i="1"/>
  <c r="C18" i="1"/>
  <c r="B18" i="1"/>
  <c r="A18" i="1"/>
  <c r="H17" i="1"/>
  <c r="G17" i="1"/>
  <c r="D17" i="1"/>
  <c r="C17" i="1"/>
  <c r="B17" i="1"/>
  <c r="A17" i="1"/>
  <c r="H16" i="1"/>
  <c r="G16" i="1"/>
  <c r="D16" i="1"/>
  <c r="C16" i="1"/>
  <c r="B16" i="1"/>
  <c r="A16" i="1"/>
  <c r="H15" i="1"/>
  <c r="G15" i="1"/>
  <c r="D15" i="1"/>
  <c r="C15" i="1"/>
  <c r="B15" i="1"/>
  <c r="A15" i="1"/>
  <c r="H14" i="1"/>
  <c r="G14" i="1"/>
  <c r="D14" i="1"/>
  <c r="C14" i="1"/>
  <c r="B14" i="1"/>
  <c r="A14" i="1"/>
  <c r="H13" i="1"/>
  <c r="G13" i="1"/>
  <c r="D13" i="1"/>
  <c r="C13" i="1"/>
  <c r="B13" i="1"/>
  <c r="A13" i="1"/>
  <c r="H12" i="1"/>
  <c r="G12" i="1"/>
  <c r="D12" i="1"/>
  <c r="C12" i="1"/>
  <c r="B12" i="1"/>
  <c r="A12" i="1"/>
  <c r="H11" i="1"/>
  <c r="G11" i="1"/>
  <c r="D11" i="1"/>
  <c r="C11" i="1"/>
  <c r="B11" i="1"/>
  <c r="A11" i="1"/>
  <c r="H10" i="1"/>
  <c r="G10" i="1"/>
  <c r="D10" i="1"/>
  <c r="C10" i="1"/>
  <c r="B10" i="1"/>
  <c r="A10" i="1"/>
  <c r="H9" i="1"/>
  <c r="G9" i="1"/>
  <c r="D9" i="1"/>
  <c r="C9" i="1"/>
  <c r="B9" i="1"/>
  <c r="A9" i="1"/>
  <c r="H8" i="1"/>
  <c r="G8" i="1"/>
  <c r="D8" i="1"/>
  <c r="C8" i="1"/>
  <c r="B8" i="1"/>
  <c r="A8" i="1"/>
  <c r="H7" i="1"/>
  <c r="G7" i="1"/>
  <c r="D7" i="1"/>
  <c r="C7" i="1"/>
  <c r="B7" i="1"/>
  <c r="A7" i="1"/>
  <c r="H6" i="1"/>
  <c r="G6" i="1"/>
  <c r="D6" i="1"/>
  <c r="C6" i="1"/>
  <c r="B6" i="1"/>
  <c r="A6" i="1"/>
  <c r="H5" i="1"/>
  <c r="G5" i="1"/>
  <c r="D5" i="1"/>
  <c r="C5" i="1"/>
  <c r="B5" i="1"/>
  <c r="A5" i="1"/>
  <c r="H4" i="1"/>
  <c r="G4" i="1"/>
  <c r="D4" i="1"/>
  <c r="C4" i="1"/>
  <c r="B4" i="1"/>
  <c r="A4" i="1"/>
  <c r="H3" i="1"/>
  <c r="G3" i="1"/>
  <c r="D3" i="1"/>
  <c r="C3" i="1"/>
  <c r="B3" i="1"/>
  <c r="A3" i="1"/>
</calcChain>
</file>

<file path=xl/sharedStrings.xml><?xml version="1.0" encoding="utf-8"?>
<sst xmlns="http://schemas.openxmlformats.org/spreadsheetml/2006/main" count="52760" uniqueCount="1933">
  <si>
    <t>Fund-Org-Program Combinations</t>
  </si>
  <si>
    <t>Financial Managers</t>
  </si>
  <si>
    <t>Fund</t>
  </si>
  <si>
    <t>Org</t>
  </si>
  <si>
    <t>Prog</t>
  </si>
  <si>
    <t>Index</t>
  </si>
  <si>
    <t>Fund Name</t>
  </si>
  <si>
    <t>Org Name</t>
  </si>
  <si>
    <t>Grant</t>
  </si>
  <si>
    <t>Approval Tier</t>
  </si>
  <si>
    <t>Min $$</t>
  </si>
  <si>
    <t>Max $$</t>
  </si>
  <si>
    <t>Financial Manager (FM)</t>
  </si>
  <si>
    <t>Alternate FM1</t>
  </si>
  <si>
    <t>Alternate FM2</t>
  </si>
  <si>
    <t>Alternate FM3</t>
  </si>
  <si>
    <t>Principal Investigator</t>
  </si>
  <si>
    <t>Accounting Contact</t>
  </si>
  <si>
    <t>Budget Contact</t>
  </si>
  <si>
    <t>Department Contact</t>
  </si>
  <si>
    <t>General Fund</t>
  </si>
  <si>
    <t>President's Office</t>
  </si>
  <si>
    <t>Beury, Carey</t>
  </si>
  <si>
    <t>Musich, Juanita</t>
  </si>
  <si>
    <t>Waterman, Katie</t>
  </si>
  <si>
    <t>Hupfer, Mary</t>
  </si>
  <si>
    <t>Board of Trustees</t>
  </si>
  <si>
    <t>VP for Development</t>
  </si>
  <si>
    <t>Strupp, Kindra</t>
  </si>
  <si>
    <t>Koewler, Donna</t>
  </si>
  <si>
    <t>Will, Sarah</t>
  </si>
  <si>
    <t>Turner, Kimberly</t>
  </si>
  <si>
    <t>White, Penny</t>
  </si>
  <si>
    <t>Provost Search</t>
  </si>
  <si>
    <t>Bridges, Steve</t>
  </si>
  <si>
    <t>Huss, Juli</t>
  </si>
  <si>
    <t>Faculty Senate</t>
  </si>
  <si>
    <t>Blunt, Shelly</t>
  </si>
  <si>
    <t>Duran, Michele</t>
  </si>
  <si>
    <t>Willoughby, Judy</t>
  </si>
  <si>
    <t>Administrative Senate</t>
  </si>
  <si>
    <t>Staff Council</t>
  </si>
  <si>
    <t>Melms, Lynn</t>
  </si>
  <si>
    <t>Brown, Stephanie</t>
  </si>
  <si>
    <t>Provost's Office</t>
  </si>
  <si>
    <t>Simmons, Michelle</t>
  </si>
  <si>
    <t>VP of Enrollment Management Search</t>
  </si>
  <si>
    <t>Doss, Khalilah</t>
  </si>
  <si>
    <t>Mujumdar, Sudesh</t>
  </si>
  <si>
    <t>McCalment, Tina</t>
  </si>
  <si>
    <t>Dixon, Michael</t>
  </si>
  <si>
    <t>HLC Self Study and Site Visit</t>
  </si>
  <si>
    <t>Outreach &amp; Engagement</t>
  </si>
  <si>
    <t>Stoneking, Dawn</t>
  </si>
  <si>
    <t>Brunner, Rita</t>
  </si>
  <si>
    <t>Townsend, Leslie</t>
  </si>
  <si>
    <t>Center for Applied Research</t>
  </si>
  <si>
    <t>College Achievement Program</t>
  </si>
  <si>
    <t>Dumond, Jaclyn</t>
  </si>
  <si>
    <t>Veteran Military Family Resource Ct</t>
  </si>
  <si>
    <t>Matherly, Joel</t>
  </si>
  <si>
    <t>Center for Adult Learners</t>
  </si>
  <si>
    <t>Lifelong Learning</t>
  </si>
  <si>
    <t>Historic Southern Indiana</t>
  </si>
  <si>
    <t>Glenn, Megan</t>
  </si>
  <si>
    <t>Online Learning</t>
  </si>
  <si>
    <t>Crose, Brian</t>
  </si>
  <si>
    <t>ROTC</t>
  </si>
  <si>
    <t>Bachelor of Professional Studies</t>
  </si>
  <si>
    <t>Doughty, Del</t>
  </si>
  <si>
    <t>Rode, Silvia</t>
  </si>
  <si>
    <t>Shefveland, Kristalyn</t>
  </si>
  <si>
    <t>Jones, Jillian</t>
  </si>
  <si>
    <t>Graduate Studies</t>
  </si>
  <si>
    <t>Gibson, Lindsey</t>
  </si>
  <si>
    <t>David L Rice Library</t>
  </si>
  <si>
    <t>Hostetler, Marna</t>
  </si>
  <si>
    <t>Neel, Becca</t>
  </si>
  <si>
    <t>Williams, Kirsten</t>
  </si>
  <si>
    <t>Ruddell, Janet</t>
  </si>
  <si>
    <t>Institutional Analytics Office</t>
  </si>
  <si>
    <t>Johnson, Gregory</t>
  </si>
  <si>
    <t>Sponsored Projects &amp; Research</t>
  </si>
  <si>
    <t>Chan Hilton, Amy</t>
  </si>
  <si>
    <t>Deeg, Rebecca</t>
  </si>
  <si>
    <t>Univ Core Curriculum Assessment</t>
  </si>
  <si>
    <t>Honors Program</t>
  </si>
  <si>
    <t>University Division</t>
  </si>
  <si>
    <t>Fitzgibbon, Tim</t>
  </si>
  <si>
    <t>Crowe, Kayla</t>
  </si>
  <si>
    <t>Miller, Troy</t>
  </si>
  <si>
    <t>Academic Skills</t>
  </si>
  <si>
    <t>Disability Resources</t>
  </si>
  <si>
    <t>Kirk, Michelle</t>
  </si>
  <si>
    <t>Barnett, Michele</t>
  </si>
  <si>
    <t>Ctr for Excell in Teaching &amp; Learng</t>
  </si>
  <si>
    <t>Romain College of Business</t>
  </si>
  <si>
    <t>McGuire, Brian</t>
  </si>
  <si>
    <t>Schibik, Tim</t>
  </si>
  <si>
    <t>Advising Center--Business</t>
  </si>
  <si>
    <t>Will, Anna</t>
  </si>
  <si>
    <t>Accounting and Finance</t>
  </si>
  <si>
    <t>Noland, Thomas</t>
  </si>
  <si>
    <t>Management and Information Sciences</t>
  </si>
  <si>
    <t>MBA Online</t>
  </si>
  <si>
    <t>Economics and Marketing</t>
  </si>
  <si>
    <t>Milewicz, Chad</t>
  </si>
  <si>
    <t>Blair Chair of Marketing</t>
  </si>
  <si>
    <t>Social Work</t>
  </si>
  <si>
    <t>Pease, Marie</t>
  </si>
  <si>
    <t>Kinesiology and Sport</t>
  </si>
  <si>
    <t>Fenwick Frimming, Renee</t>
  </si>
  <si>
    <t>Elliott, Bill</t>
  </si>
  <si>
    <t>Colson, Tori</t>
  </si>
  <si>
    <t>Delaney, Kim</t>
  </si>
  <si>
    <t>Hoskins, Terah</t>
  </si>
  <si>
    <t>Teacher Education</t>
  </si>
  <si>
    <t>College of Liberal Arts</t>
  </si>
  <si>
    <t>Advising Center--Liberal Arts</t>
  </si>
  <si>
    <t>Rowland, Renee</t>
  </si>
  <si>
    <t>LA Education and Programming</t>
  </si>
  <si>
    <t>Berger Lecture</t>
  </si>
  <si>
    <t>LA Distinguished Scholar Lecture</t>
  </si>
  <si>
    <t>Chamber Choir</t>
  </si>
  <si>
    <t>Craig, Daniel</t>
  </si>
  <si>
    <t>Jazz Ensemble</t>
  </si>
  <si>
    <t>USI Theatre</t>
  </si>
  <si>
    <t>FishHook Journal</t>
  </si>
  <si>
    <t>The Spin Radio</t>
  </si>
  <si>
    <t>Morris, John</t>
  </si>
  <si>
    <t>Art and Design Department</t>
  </si>
  <si>
    <t>McCutchan Art Center/Pace Galleries</t>
  </si>
  <si>
    <t>Music Instruction</t>
  </si>
  <si>
    <t>Performing Arts</t>
  </si>
  <si>
    <t>Communications and Media</t>
  </si>
  <si>
    <t>English</t>
  </si>
  <si>
    <t>Film Series</t>
  </si>
  <si>
    <t>World Languages and Cultures</t>
  </si>
  <si>
    <t>History</t>
  </si>
  <si>
    <t>Center for Communal Studies</t>
  </si>
  <si>
    <t>Political Sci, Pub Adm &amp; Philosophy</t>
  </si>
  <si>
    <t>Armeanu, Oana</t>
  </si>
  <si>
    <t>Psychology</t>
  </si>
  <si>
    <t>Sociology</t>
  </si>
  <si>
    <t>Criminal Justice Department</t>
  </si>
  <si>
    <t>College of Nursing &amp; Health Prof</t>
  </si>
  <si>
    <t>Doninger, Amy</t>
  </si>
  <si>
    <t>McCullough, Julie</t>
  </si>
  <si>
    <t>Evans, Jennifer</t>
  </si>
  <si>
    <t>Advising Center--Nursing &amp; HP</t>
  </si>
  <si>
    <t>Dunn, Cara</t>
  </si>
  <si>
    <t>Nursing</t>
  </si>
  <si>
    <t>Health Services</t>
  </si>
  <si>
    <t>Reynolds, Erin</t>
  </si>
  <si>
    <t>Hille, Kimberly</t>
  </si>
  <si>
    <t>Gerontology</t>
  </si>
  <si>
    <t>Ehlman, Katie</t>
  </si>
  <si>
    <t>Master of Health Administration</t>
  </si>
  <si>
    <t>Valadares, Kevin</t>
  </si>
  <si>
    <t>Food and Nutrition</t>
  </si>
  <si>
    <t>Young, Beth</t>
  </si>
  <si>
    <t>Occupational Therapy</t>
  </si>
  <si>
    <t>Mason, Jessica</t>
  </si>
  <si>
    <t>Occupational Therapy Assistant</t>
  </si>
  <si>
    <t>Weir, Sean</t>
  </si>
  <si>
    <t>Dental Assisting</t>
  </si>
  <si>
    <t>Holt, Emily</t>
  </si>
  <si>
    <t>Dental Hygiene</t>
  </si>
  <si>
    <t>Radiologic and Imaging Sciences</t>
  </si>
  <si>
    <t>Cook, Joy</t>
  </si>
  <si>
    <t>Diagnostic Medical Sonography</t>
  </si>
  <si>
    <t>Wilson, Amy</t>
  </si>
  <si>
    <t>Respiratory Therapy</t>
  </si>
  <si>
    <t>Delp, Jody</t>
  </si>
  <si>
    <t>Health Informatics &amp; Info Mngt</t>
  </si>
  <si>
    <t>Pott College of Sci Engineer &amp; Educ</t>
  </si>
  <si>
    <t>Advising Center--Sci, Engin &amp; Educ</t>
  </si>
  <si>
    <t>Bowerman, Bryan</t>
  </si>
  <si>
    <t>Biology</t>
  </si>
  <si>
    <t>DeLoney Marino, Cindy</t>
  </si>
  <si>
    <t>Engineering</t>
  </si>
  <si>
    <t>Kuban, Paul</t>
  </si>
  <si>
    <t>Applied Engineering Center</t>
  </si>
  <si>
    <t>Mathematical Sciences</t>
  </si>
  <si>
    <t>Hudson, Rick</t>
  </si>
  <si>
    <t>Chemistry and Biochemistry</t>
  </si>
  <si>
    <t>Walsh, Ken</t>
  </si>
  <si>
    <t>Geo Physics &amp; Envrnmental Science</t>
  </si>
  <si>
    <t>Maria, Tony</t>
  </si>
  <si>
    <t>Univ Marketing and Communications</t>
  </si>
  <si>
    <t>Hawes, Stephanie</t>
  </si>
  <si>
    <t>Alumni Engagement and Volunteer USI</t>
  </si>
  <si>
    <t>Carnahan, Maggie</t>
  </si>
  <si>
    <t>Bower, David</t>
  </si>
  <si>
    <t>Wyman, Breanna</t>
  </si>
  <si>
    <t>Development</t>
  </si>
  <si>
    <t>Gentry, Andrea</t>
  </si>
  <si>
    <t>University Strategic Communication</t>
  </si>
  <si>
    <t>Farless, John</t>
  </si>
  <si>
    <t>Randolph, Elizabeth</t>
  </si>
  <si>
    <t>Stambush, Connie</t>
  </si>
  <si>
    <t>Photography and Multimedia</t>
  </si>
  <si>
    <t>Goodwin, Barb</t>
  </si>
  <si>
    <t>University Creative and Print</t>
  </si>
  <si>
    <t>Ubelhor, Amy</t>
  </si>
  <si>
    <t>Carter, Ashley</t>
  </si>
  <si>
    <t>Hubert, Val</t>
  </si>
  <si>
    <t>Copier Fleet</t>
  </si>
  <si>
    <t>Carlisle, Gregory</t>
  </si>
  <si>
    <t>Special Events and Scheduling</t>
  </si>
  <si>
    <t>Doyle, Megan</t>
  </si>
  <si>
    <t>Commencement</t>
  </si>
  <si>
    <t>Art Collection</t>
  </si>
  <si>
    <t>Sauls, Susan</t>
  </si>
  <si>
    <t>Herriott, Sharri</t>
  </si>
  <si>
    <t>University Marketing Initiative</t>
  </si>
  <si>
    <t>Bosma, Claire</t>
  </si>
  <si>
    <t>Finance and Administration</t>
  </si>
  <si>
    <t>Federal Relations</t>
  </si>
  <si>
    <t>General Instruction</t>
  </si>
  <si>
    <t>University Administration</t>
  </si>
  <si>
    <t>General Academic Support</t>
  </si>
  <si>
    <t>General Student Services</t>
  </si>
  <si>
    <t>General Administration</t>
  </si>
  <si>
    <t>General Facility Oper and Planning</t>
  </si>
  <si>
    <t>Business Office</t>
  </si>
  <si>
    <t>Sickman, Jeff</t>
  </si>
  <si>
    <t>Platts, Jina</t>
  </si>
  <si>
    <t>Henson, Emily</t>
  </si>
  <si>
    <t>Hildenbrand, Shannon</t>
  </si>
  <si>
    <t>Procurement</t>
  </si>
  <si>
    <t>Sponn, Jeff</t>
  </si>
  <si>
    <t>Weinzapfel, Julie</t>
  </si>
  <si>
    <t>Stanley, Susanne</t>
  </si>
  <si>
    <t>Weinzapfel, Becky</t>
  </si>
  <si>
    <t>Distribution Services</t>
  </si>
  <si>
    <t>Wolfe, Jim</t>
  </si>
  <si>
    <t>Mann, Miles</t>
  </si>
  <si>
    <t>Lenfers, Scott</t>
  </si>
  <si>
    <t>Peach, Christian</t>
  </si>
  <si>
    <t>Risk Management</t>
  </si>
  <si>
    <t>Kaczmarski, Ryan</t>
  </si>
  <si>
    <t>Seng, Sarah</t>
  </si>
  <si>
    <t>Public Safety Office</t>
  </si>
  <si>
    <t>Preston, Samuel</t>
  </si>
  <si>
    <t>Jones, Brittany</t>
  </si>
  <si>
    <t>Parking Enforcement</t>
  </si>
  <si>
    <t>Facility Operations and Planning</t>
  </si>
  <si>
    <t>Facility Oper and Plan Univ Recycle</t>
  </si>
  <si>
    <t>Environmental Health and Safety</t>
  </si>
  <si>
    <t>Morrison, Bryan</t>
  </si>
  <si>
    <t>Administrative Technology Services</t>
  </si>
  <si>
    <t>Siders, Austin</t>
  </si>
  <si>
    <t>Draper, Anastasia</t>
  </si>
  <si>
    <t>Tharp, Kyle</t>
  </si>
  <si>
    <t>Academic Technology Services</t>
  </si>
  <si>
    <t>Ahmed, Juzar</t>
  </si>
  <si>
    <t>University Web and Digital Content</t>
  </si>
  <si>
    <t>Hess, Brandi</t>
  </si>
  <si>
    <t>Govt Approp--General Operating</t>
  </si>
  <si>
    <t>Hensley, Melissa</t>
  </si>
  <si>
    <t>Govt Approp--Fee Replacement</t>
  </si>
  <si>
    <t>Contingent Student Fees--Undergrad</t>
  </si>
  <si>
    <t>RN to BSN Online Fees</t>
  </si>
  <si>
    <t>BSRT Online Clearing</t>
  </si>
  <si>
    <t>Ivy Tech Dual Enroll Clearing</t>
  </si>
  <si>
    <t>Future Term Clearing</t>
  </si>
  <si>
    <t>Contingent Student Fees--Graduate</t>
  </si>
  <si>
    <t>MBA Online Fees</t>
  </si>
  <si>
    <t>MHA Accelerated Clearing</t>
  </si>
  <si>
    <t>Masters in Criminal Justice Online</t>
  </si>
  <si>
    <t>Masters in Public Admin Online</t>
  </si>
  <si>
    <t>Masters in Education Online</t>
  </si>
  <si>
    <t>Audit Fees</t>
  </si>
  <si>
    <t>Admission Application Fees</t>
  </si>
  <si>
    <t>Admission Enrollment Fee</t>
  </si>
  <si>
    <t>Counseling Services Fee</t>
  </si>
  <si>
    <t>Assessment Fee</t>
  </si>
  <si>
    <t>Portfolio Review Fees</t>
  </si>
  <si>
    <t>Late Registration Fees</t>
  </si>
  <si>
    <t>Liberal Arts Fees</t>
  </si>
  <si>
    <t>Science &amp; Engineering Fees</t>
  </si>
  <si>
    <t>Nursing &amp; Health Prof Fees</t>
  </si>
  <si>
    <t>Business Fees</t>
  </si>
  <si>
    <t>University Division Fees</t>
  </si>
  <si>
    <t>Clinical Fees--CNHP</t>
  </si>
  <si>
    <t>Lab Fees--Liberal Arts</t>
  </si>
  <si>
    <t>Lab Fees--Science, Engineer, Educ</t>
  </si>
  <si>
    <t>Lab Fees--Nursing &amp; Health Prof</t>
  </si>
  <si>
    <t>Lab Fees--University Division</t>
  </si>
  <si>
    <t>Lab Fees--Business</t>
  </si>
  <si>
    <t>Lab Fees--Online Learning</t>
  </si>
  <si>
    <t>Engineering Undergrad Program Fee</t>
  </si>
  <si>
    <t>Nursing RN Completion Program Fee</t>
  </si>
  <si>
    <t>Nursing BSN Program Fee</t>
  </si>
  <si>
    <t>Nursing MSN Program Fee</t>
  </si>
  <si>
    <t>Nursing DNP Program Fee</t>
  </si>
  <si>
    <t>Occupational Therapy Program Fee</t>
  </si>
  <si>
    <t>Computer Science Program Fee</t>
  </si>
  <si>
    <t>Health Informatics Program Fee</t>
  </si>
  <si>
    <t>Social Work Program Fee</t>
  </si>
  <si>
    <t>Respiratory Therapy Program Fee</t>
  </si>
  <si>
    <t>Academic Services Technology Rev</t>
  </si>
  <si>
    <t>Art Supply Fees</t>
  </si>
  <si>
    <t>Non-Resident Fees--Undergraduate</t>
  </si>
  <si>
    <t>Non-Resident Fees--Graduate</t>
  </si>
  <si>
    <t>Gifts and Contracts--USI Foundation</t>
  </si>
  <si>
    <t>Uniprint</t>
  </si>
  <si>
    <t>Administrative Cost Recovery</t>
  </si>
  <si>
    <t>Miscellaneous Rental Income</t>
  </si>
  <si>
    <t>Scrap Materials and Equipment Sales</t>
  </si>
  <si>
    <t>Investment Income</t>
  </si>
  <si>
    <t>Parking Penalties and Services</t>
  </si>
  <si>
    <t>Pay Parking Lot Revenue</t>
  </si>
  <si>
    <t>Payment Plan Revenue</t>
  </si>
  <si>
    <t>Miscellaneous Revenue</t>
  </si>
  <si>
    <t>Suspense</t>
  </si>
  <si>
    <t>General Remitted Fees</t>
  </si>
  <si>
    <t>Riney, Joanna</t>
  </si>
  <si>
    <t>Nickens, Cathy</t>
  </si>
  <si>
    <t>Emp Spouse Remitted Fees</t>
  </si>
  <si>
    <t>Employee Remitted Fees</t>
  </si>
  <si>
    <t>Retired/Spouse FT Student Rem Fees</t>
  </si>
  <si>
    <t>Employee Child Remitted Fees</t>
  </si>
  <si>
    <t>Graduate Assistant Clearing Org</t>
  </si>
  <si>
    <t>Fifth Year Non-Resident Remit Fees</t>
  </si>
  <si>
    <t>BMD Scholarship Remitted Fees</t>
  </si>
  <si>
    <t>21st Century Scholarship Textbooks</t>
  </si>
  <si>
    <t>Emp Spouse Non Res Remitted Fees</t>
  </si>
  <si>
    <t>Employee Non Res Remitted Fees</t>
  </si>
  <si>
    <t>Emp Child Non Res Remitted Fees</t>
  </si>
  <si>
    <t>Emp Spouse Grad Res Remitted Fees</t>
  </si>
  <si>
    <t>Employee Grad Res Remitted Fees</t>
  </si>
  <si>
    <t>Emp Child Grad Res Remitted fees</t>
  </si>
  <si>
    <t>Emp Spouse Grad NonRes Remit Fees</t>
  </si>
  <si>
    <t>Employee Grad NonRes Remit Fees</t>
  </si>
  <si>
    <t>Emp Child Grad NonRes Remit Fees</t>
  </si>
  <si>
    <t>David L Rice Merit Schlr Remit Fees</t>
  </si>
  <si>
    <t>Out-of-State Trans Top Schr Remit</t>
  </si>
  <si>
    <t>Out-of-State Top Scholar Remit Fees</t>
  </si>
  <si>
    <t>Out-of-State Scholarship Remit Fees</t>
  </si>
  <si>
    <t>Intl Undergrad Nonres Remit Fees</t>
  </si>
  <si>
    <t>International Grad Nonres Remit</t>
  </si>
  <si>
    <t>Grad Assistant Non-Res Remit Fees</t>
  </si>
  <si>
    <t>Provost Scholarship Remit Fees</t>
  </si>
  <si>
    <t>Undergrad NonRes Remit Fees</t>
  </si>
  <si>
    <t>Graduate NonRes Remit Fees</t>
  </si>
  <si>
    <t>USI Grant Remitted Fee</t>
  </si>
  <si>
    <t>Kentucky Regional Award Remit Fees</t>
  </si>
  <si>
    <t>Illinois Regional Award Remit Fees</t>
  </si>
  <si>
    <t>Out of State Merit NR Scholar Remit</t>
  </si>
  <si>
    <t>Out-of-State Merit Grant Remit Fees</t>
  </si>
  <si>
    <t>Transfer Merit Scholar Remit Fees</t>
  </si>
  <si>
    <t>Out-of-State Trans Top Schlr Remit</t>
  </si>
  <si>
    <t>Out-of-State Trans Grant Remit Fee</t>
  </si>
  <si>
    <t>Out of State Merit R Scholar Remit</t>
  </si>
  <si>
    <t>Graduate Employer Discounts</t>
  </si>
  <si>
    <t>USI Eagle Grant Remit Fees</t>
  </si>
  <si>
    <t>USI Ignite Remitted Fee</t>
  </si>
  <si>
    <t>Government and Legal Affairs</t>
  </si>
  <si>
    <t>Trump, Aaron</t>
  </si>
  <si>
    <t>Human Resources</t>
  </si>
  <si>
    <t>Institutional Equity Office</t>
  </si>
  <si>
    <t>Givens, Chelsea</t>
  </si>
  <si>
    <t>HR Training &amp; Orientation Programs</t>
  </si>
  <si>
    <t>HR Time and Attendance System</t>
  </si>
  <si>
    <t>Student Affairs</t>
  </si>
  <si>
    <t>Hartman, Deirdre</t>
  </si>
  <si>
    <t>Student Affairs Staff Development</t>
  </si>
  <si>
    <t>Pathways to College</t>
  </si>
  <si>
    <t>Hendricks, Brandi</t>
  </si>
  <si>
    <t>Registrar's Office</t>
  </si>
  <si>
    <t>Frank, Sandy</t>
  </si>
  <si>
    <t>Nelson, Angel</t>
  </si>
  <si>
    <t>Counseling and Psychological Srvcs</t>
  </si>
  <si>
    <t>Sanabria, Robin</t>
  </si>
  <si>
    <t>Pryor, Aaron</t>
  </si>
  <si>
    <t>Berry, Laurie</t>
  </si>
  <si>
    <t>Dean of Students</t>
  </si>
  <si>
    <t>Willoughby, Crystal</t>
  </si>
  <si>
    <t>Intramural Operations</t>
  </si>
  <si>
    <t>Walden-Schwake, Stephanie</t>
  </si>
  <si>
    <t>Gratz, Joe</t>
  </si>
  <si>
    <t>Sinvil, Claire</t>
  </si>
  <si>
    <t>Student Wellness</t>
  </si>
  <si>
    <t>Multicultural Center</t>
  </si>
  <si>
    <t>Hopson, Pam</t>
  </si>
  <si>
    <t>Berrios Chavarria, Cesar</t>
  </si>
  <si>
    <t>Turnley, Deonte</t>
  </si>
  <si>
    <t>Religious Life</t>
  </si>
  <si>
    <t>Schulten, Anna</t>
  </si>
  <si>
    <t>Center for Campus Life</t>
  </si>
  <si>
    <t>Garrison, Jenny</t>
  </si>
  <si>
    <t>New Student &amp; Transitional Programs</t>
  </si>
  <si>
    <t>Stoen, Carmen</t>
  </si>
  <si>
    <t>Smith, Rashad</t>
  </si>
  <si>
    <t>Hills, Ashley</t>
  </si>
  <si>
    <t>Undergraduate Admissions</t>
  </si>
  <si>
    <t>Parsons, Koryn</t>
  </si>
  <si>
    <t>Yates, Becky</t>
  </si>
  <si>
    <t>Career Services and Internships</t>
  </si>
  <si>
    <t>Fifer, Stephanie</t>
  </si>
  <si>
    <t>Center for International Programs</t>
  </si>
  <si>
    <t>McIntosh, Terry</t>
  </si>
  <si>
    <t>Zlatkovska, Emilija</t>
  </si>
  <si>
    <t>Gonnerman, Melissa</t>
  </si>
  <si>
    <t>Student Financial Assistance</t>
  </si>
  <si>
    <t>Strategic Enrollment Management</t>
  </si>
  <si>
    <t>Yates, Abby</t>
  </si>
  <si>
    <t>Athletics Administration</t>
  </si>
  <si>
    <t>Goebel, Angie</t>
  </si>
  <si>
    <t>Fulton, Mandi</t>
  </si>
  <si>
    <t>Eaton, Alex</t>
  </si>
  <si>
    <t>Delph, Holly</t>
  </si>
  <si>
    <t>Hall, Jon Mark</t>
  </si>
  <si>
    <t>OVC Sports - ESPN+</t>
  </si>
  <si>
    <t>Sports Medicine</t>
  </si>
  <si>
    <t>Screaming Eagles Complex</t>
  </si>
  <si>
    <t>Ahlbrand, Justin</t>
  </si>
  <si>
    <t>Screaming Eagles Aquatic Center</t>
  </si>
  <si>
    <t>Baseball--Men</t>
  </si>
  <si>
    <t>Softball--Women</t>
  </si>
  <si>
    <t>Basketball--Men</t>
  </si>
  <si>
    <t>Basketball--Women</t>
  </si>
  <si>
    <t>Cross Country--Men</t>
  </si>
  <si>
    <t>Cross Country--Women</t>
  </si>
  <si>
    <t>Golf--Men</t>
  </si>
  <si>
    <t>Golf--Women</t>
  </si>
  <si>
    <t>Soccer--Men</t>
  </si>
  <si>
    <t>Soccer--Women</t>
  </si>
  <si>
    <t>Tennis--Men</t>
  </si>
  <si>
    <t>Tennis--Women</t>
  </si>
  <si>
    <t>Volleyball--Women</t>
  </si>
  <si>
    <t>Swimming &amp; Diving--Men</t>
  </si>
  <si>
    <t>Swimming &amp; Diving--Women</t>
  </si>
  <si>
    <t>Reserve--Liberal Arts Computers</t>
  </si>
  <si>
    <t>Reserve--Library Computers</t>
  </si>
  <si>
    <t>Reserve--Col of Business Computers</t>
  </si>
  <si>
    <t>Reserve--Uniprint</t>
  </si>
  <si>
    <t>Reserve--Distribution Srvs Equip</t>
  </si>
  <si>
    <t>Reserve--The Spin Radio</t>
  </si>
  <si>
    <t>Reserve--LA Educ and Programming</t>
  </si>
  <si>
    <t>Reserve--Chamber Choir</t>
  </si>
  <si>
    <t>Reserve--USI Theatre</t>
  </si>
  <si>
    <t>Reserve--Art Education</t>
  </si>
  <si>
    <t>Art Education</t>
  </si>
  <si>
    <t>Reserve--Career Connections</t>
  </si>
  <si>
    <t>Reserve--University Initiatives</t>
  </si>
  <si>
    <t>Reserve--Workman's Compensation</t>
  </si>
  <si>
    <t>Reserve--Self-Insurance Unemploy</t>
  </si>
  <si>
    <t>Reserve--Self-Insurance Buildings</t>
  </si>
  <si>
    <t>Reserve--Self-Insurance Equipment</t>
  </si>
  <si>
    <t>Reserve--Equipment Replacement</t>
  </si>
  <si>
    <t>Reserve--Working Capital</t>
  </si>
  <si>
    <t>Reserve--Revolving Funds</t>
  </si>
  <si>
    <t>Reserve--Outstanding Encumbrances</t>
  </si>
  <si>
    <t>Reserve--Computer Software Replace</t>
  </si>
  <si>
    <t>Long-Term-Reserve--Medical Premiums</t>
  </si>
  <si>
    <t>Reserve--Science and Eng Equipment</t>
  </si>
  <si>
    <t>Reserve--Provost Initiatives</t>
  </si>
  <si>
    <t>Reserve--Technology Initiatives</t>
  </si>
  <si>
    <t>Reserve--University Benefits</t>
  </si>
  <si>
    <t>Reserve--Ctr for Applied Research</t>
  </si>
  <si>
    <t>Reserve--Economic Development Funds</t>
  </si>
  <si>
    <t>Reserve--Engineering Program</t>
  </si>
  <si>
    <t>Reserve-Business Projects</t>
  </si>
  <si>
    <t>Reserve-Liberal Arts Projects</t>
  </si>
  <si>
    <t>Weimer, Paul</t>
  </si>
  <si>
    <t>Reserve-Nursing &amp; HP Projects</t>
  </si>
  <si>
    <t>Reserve-Science and Eng Projects</t>
  </si>
  <si>
    <t>Reserve-Planning, Research, Assess</t>
  </si>
  <si>
    <t>Reserve-Jazz Ensemble</t>
  </si>
  <si>
    <t>Reserve-Online Learning</t>
  </si>
  <si>
    <t>Reserve-Counseling Center</t>
  </si>
  <si>
    <t>Reserve-Nursing Program</t>
  </si>
  <si>
    <t>Reserve-CAP Program</t>
  </si>
  <si>
    <t>Reserve-Occup Therapy Program</t>
  </si>
  <si>
    <t>Reserve-Teacher Education Program</t>
  </si>
  <si>
    <t>Reserve-Applied Engineering Center</t>
  </si>
  <si>
    <t>Reserve--Computer Science Program</t>
  </si>
  <si>
    <t>Reserve--STEM Initiatives</t>
  </si>
  <si>
    <t>Reserve--Campus Security Enhance</t>
  </si>
  <si>
    <t>Reserve - - Social Work Program</t>
  </si>
  <si>
    <t>Reserve-Univ Marketing Initiatives</t>
  </si>
  <si>
    <t>Reserve-Position Holdback</t>
  </si>
  <si>
    <t>Reserve-Respiratory Therapy Program</t>
  </si>
  <si>
    <t>Payroll</t>
  </si>
  <si>
    <t>Ricketts, Rita</t>
  </si>
  <si>
    <t>Payroll Flex</t>
  </si>
  <si>
    <t>Short-Term-Reserve-Medical Premiums</t>
  </si>
  <si>
    <t>Cash Collection Suspense</t>
  </si>
  <si>
    <t>Accounts Payable Clearing</t>
  </si>
  <si>
    <t>Risk Management Clearing</t>
  </si>
  <si>
    <t>Collections Awaiting Distribution</t>
  </si>
  <si>
    <t>Unapplied Cash Payments</t>
  </si>
  <si>
    <t>Student Refunds Clearing</t>
  </si>
  <si>
    <t>Scholarship Holding</t>
  </si>
  <si>
    <t>Stafford Loan EFT Clearing</t>
  </si>
  <si>
    <t>Art Show Scholarship</t>
  </si>
  <si>
    <t>USI Alumni Association Scholarship</t>
  </si>
  <si>
    <t>USI Alumni Association Grant</t>
  </si>
  <si>
    <t>Alumni Scholarship Endowment</t>
  </si>
  <si>
    <t>USI Alumni Dubois Co Chapter Sch</t>
  </si>
  <si>
    <t>USI Alumni Indianapolis Chapter Sch</t>
  </si>
  <si>
    <t>Schisler Scholarship</t>
  </si>
  <si>
    <t>BR and HG Neathery Scholarship</t>
  </si>
  <si>
    <t>Black Alumni Scholarship</t>
  </si>
  <si>
    <t>Dawn Bowers Memorial Schl</t>
  </si>
  <si>
    <t>Student Service Fee</t>
  </si>
  <si>
    <t>Student Fees Other</t>
  </si>
  <si>
    <t>Student Services Remitted Fees</t>
  </si>
  <si>
    <t>Academic Facilities Fee</t>
  </si>
  <si>
    <t>Academic Facilities Remitted Fees</t>
  </si>
  <si>
    <t>University Services Fee</t>
  </si>
  <si>
    <t>University Services Remitted Fees</t>
  </si>
  <si>
    <t>Student Activity Fee</t>
  </si>
  <si>
    <t>Student Activity Remitted Fees</t>
  </si>
  <si>
    <t>Technology Fee</t>
  </si>
  <si>
    <t>Technology Remitted Fees</t>
  </si>
  <si>
    <t>Athletics Fee</t>
  </si>
  <si>
    <t>Student Services Operations</t>
  </si>
  <si>
    <t>Spring Festival</t>
  </si>
  <si>
    <t>Weihe, Allison</t>
  </si>
  <si>
    <t>Student Programs</t>
  </si>
  <si>
    <t>Athletic Sup Grp PostSeason Travel</t>
  </si>
  <si>
    <t>Student Activities</t>
  </si>
  <si>
    <t>Hanks, Matt</t>
  </si>
  <si>
    <t>Gospel Choir</t>
  </si>
  <si>
    <t>Student Leadership Academy</t>
  </si>
  <si>
    <t>First Year Initiatives Program</t>
  </si>
  <si>
    <t>Activities Programming Board</t>
  </si>
  <si>
    <t>Student Government Association</t>
  </si>
  <si>
    <t>Orth, Britney</t>
  </si>
  <si>
    <t>Student Publications Reserve</t>
  </si>
  <si>
    <t>Student Publications</t>
  </si>
  <si>
    <t>The Shield</t>
  </si>
  <si>
    <t>Todd, Philip</t>
  </si>
  <si>
    <t>Orientation Programs</t>
  </si>
  <si>
    <t>Study Abroad Program Development</t>
  </si>
  <si>
    <t>International Student Exchange Prog</t>
  </si>
  <si>
    <t>International Student Programs</t>
  </si>
  <si>
    <t>Career Services Programs</t>
  </si>
  <si>
    <t>CareerLINK</t>
  </si>
  <si>
    <t>Regional Teacher Recruitment Fair</t>
  </si>
  <si>
    <t>Career Services Program</t>
  </si>
  <si>
    <t>Global Ambassador Scholarships</t>
  </si>
  <si>
    <t>Study Abroad Individual Students</t>
  </si>
  <si>
    <t>University of Osnabrueck Programs</t>
  </si>
  <si>
    <t>Hochschule Osnabrueck Programs</t>
  </si>
  <si>
    <t>Harlaxton</t>
  </si>
  <si>
    <t>Study Abroad Ambassador Scholarship</t>
  </si>
  <si>
    <t>Exchange Program Scholarship</t>
  </si>
  <si>
    <t>Global Engagement Scholarships</t>
  </si>
  <si>
    <t>Global Engagem Intern Scholarships</t>
  </si>
  <si>
    <t>Global Engagement Ghana Trip</t>
  </si>
  <si>
    <t>Global Engagem Ghana Scholarships</t>
  </si>
  <si>
    <t>Global Engagement Internship Trips</t>
  </si>
  <si>
    <t>Southwest University China Program</t>
  </si>
  <si>
    <t>Cheer Team</t>
  </si>
  <si>
    <t>Dance Team</t>
  </si>
  <si>
    <t>Pep Band</t>
  </si>
  <si>
    <t>Student Organization Support</t>
  </si>
  <si>
    <t>Club Sports</t>
  </si>
  <si>
    <t>Rec &amp; Fitness Center Programs</t>
  </si>
  <si>
    <t>POLS/PA China Summer Program</t>
  </si>
  <si>
    <t>Panama Logistics Seminar</t>
  </si>
  <si>
    <t>Panama Logistics Seminar Schlrships</t>
  </si>
  <si>
    <t>Intramural and Recreational Sports</t>
  </si>
  <si>
    <t>Intramural Programs</t>
  </si>
  <si>
    <t>Intramural Athletic Fields</t>
  </si>
  <si>
    <t>Archie's Army</t>
  </si>
  <si>
    <t>Student Organization Activity Fund</t>
  </si>
  <si>
    <t>Homecoming</t>
  </si>
  <si>
    <t>Late Night and Special Events</t>
  </si>
  <si>
    <t>Eagle Perks Program</t>
  </si>
  <si>
    <t>Equity and Inclusion Program</t>
  </si>
  <si>
    <t>Student Financial Success Center</t>
  </si>
  <si>
    <t>Student Programming Reserve</t>
  </si>
  <si>
    <t>FASTRC Pool</t>
  </si>
  <si>
    <t>Rochon, Ron</t>
  </si>
  <si>
    <t>CETL Pool</t>
  </si>
  <si>
    <t>Endeavor Awards</t>
  </si>
  <si>
    <t>Endeavor Travel Awards</t>
  </si>
  <si>
    <t>New Harmony Faculty Fellowship</t>
  </si>
  <si>
    <t>Student/Faculty Honors Symposium</t>
  </si>
  <si>
    <t>Volunteer USI</t>
  </si>
  <si>
    <t>Campus Bus &amp; Shuttle Service</t>
  </si>
  <si>
    <t>Lifelong Learning Events</t>
  </si>
  <si>
    <t>Historic Southern Indiana Projects</t>
  </si>
  <si>
    <t>Midwest Care Coordination Conf</t>
  </si>
  <si>
    <t>CNHP Lifelong Learning Conferences</t>
  </si>
  <si>
    <t>Hagan, Anita</t>
  </si>
  <si>
    <t>Southern Indiana Japanese School</t>
  </si>
  <si>
    <t>Lifelong Learning Contract Programs</t>
  </si>
  <si>
    <t>Tri-State Safety Council</t>
  </si>
  <si>
    <t>Health Professions Research Conf</t>
  </si>
  <si>
    <t>Southern Indiana Reading Series</t>
  </si>
  <si>
    <t>University Core Curriculum</t>
  </si>
  <si>
    <t>Community of Scholars</t>
  </si>
  <si>
    <t>Speaker Series</t>
  </si>
  <si>
    <t>Provost Faculty Development Travel</t>
  </si>
  <si>
    <t>Hardgrave, Jason</t>
  </si>
  <si>
    <t>Faculty Enhance--Liberal Arts</t>
  </si>
  <si>
    <t>Faculty Enhance Science &amp; Engineer</t>
  </si>
  <si>
    <t>Faculty Enhance--Nursing &amp; Health</t>
  </si>
  <si>
    <t>Faculty Enhance--Business</t>
  </si>
  <si>
    <t>Nursing &amp; Health Prof Practice Unit</t>
  </si>
  <si>
    <t>Scripps Howard Video Complex</t>
  </si>
  <si>
    <t>Computer Equipment &amp; Maintenance</t>
  </si>
  <si>
    <t>Automobile Self-Insurance</t>
  </si>
  <si>
    <t>Telecommunication Services</t>
  </si>
  <si>
    <t>Employee Benefits Revolving Fund</t>
  </si>
  <si>
    <t>Miller, Amy</t>
  </si>
  <si>
    <t>Family Programs and Events</t>
  </si>
  <si>
    <t>Nursing Leadership Conf</t>
  </si>
  <si>
    <t>Center for HP Lifelong Learning</t>
  </si>
  <si>
    <t>Clinical Simulation Cert Prog</t>
  </si>
  <si>
    <t>Anticoagulant Practice Unit</t>
  </si>
  <si>
    <t>Hypertension Management Cert Prog</t>
  </si>
  <si>
    <t>Heart Failure Certificate</t>
  </si>
  <si>
    <t>Coronal Polishing Cert Prog</t>
  </si>
  <si>
    <t>Case Management Practice Unit</t>
  </si>
  <si>
    <t>Flouride Application Cert Prog</t>
  </si>
  <si>
    <t>Dental Anesthesia Cert Prog</t>
  </si>
  <si>
    <t>Lipid Management Practice Unit</t>
  </si>
  <si>
    <t>Pain Management Practice Unit</t>
  </si>
  <si>
    <t>Coding Certificate Program</t>
  </si>
  <si>
    <t>Complementary &amp; Alternative Therapy</t>
  </si>
  <si>
    <t>Diabetes Management Practice Unit</t>
  </si>
  <si>
    <t>Respecting Choice 1st Steps Program</t>
  </si>
  <si>
    <t>Opioid Certificate Program</t>
  </si>
  <si>
    <t>Pediatric Diabetes CE Program</t>
  </si>
  <si>
    <t>Faith Community</t>
  </si>
  <si>
    <t>Oral Anticoagulation Program</t>
  </si>
  <si>
    <t>Wound Management Certificate Prog</t>
  </si>
  <si>
    <t>Interprofessional Collab &amp; Practice</t>
  </si>
  <si>
    <t>Oncology Management Cert Prog</t>
  </si>
  <si>
    <t>Patient Self Testing Cert Prog</t>
  </si>
  <si>
    <t>Healthcare Informatics Cert Prog</t>
  </si>
  <si>
    <t>Health Promotion/Worksite Wellnes</t>
  </si>
  <si>
    <t>Integrating Behavior Health CE Prog</t>
  </si>
  <si>
    <t>Cardiac Catherization CE Program</t>
  </si>
  <si>
    <t>Pediatric Pain Management CE Prog</t>
  </si>
  <si>
    <t>Nitrous Oxide &amp; Sedation CE Prog</t>
  </si>
  <si>
    <t>Independent Studies CE Program</t>
  </si>
  <si>
    <t>Expanded Functions for Dental Assts</t>
  </si>
  <si>
    <t>Tri-State Science/Engineering Fair</t>
  </si>
  <si>
    <t>Grabert, Allison</t>
  </si>
  <si>
    <t>Broadband Lease Service</t>
  </si>
  <si>
    <t>Adult Learner Scholarships</t>
  </si>
  <si>
    <t>Durham, Wesley</t>
  </si>
  <si>
    <t>Center for Social Justice Education</t>
  </si>
  <si>
    <t>Service Learning</t>
  </si>
  <si>
    <t>Southern Indiana Review</t>
  </si>
  <si>
    <t>LLC Planning and Development</t>
  </si>
  <si>
    <t>LLC Student Community Building</t>
  </si>
  <si>
    <t>Outreach &amp; Engagement Reserve</t>
  </si>
  <si>
    <t>USI-Crane Partnerships &amp; Projects</t>
  </si>
  <si>
    <t>Mid-America Institute on Aging</t>
  </si>
  <si>
    <t>Epi-Hab Fund</t>
  </si>
  <si>
    <t>SwI AHEC Programs</t>
  </si>
  <si>
    <t>Friona, Jane</t>
  </si>
  <si>
    <t>Experimental Economics Lab</t>
  </si>
  <si>
    <t>Cordo, Peter</t>
  </si>
  <si>
    <t>STEM Resource Center</t>
  </si>
  <si>
    <t>Graduate Studies Student Devlp</t>
  </si>
  <si>
    <t>Intensive English Program</t>
  </si>
  <si>
    <t>Intensive English Prgrm Recruitment</t>
  </si>
  <si>
    <t>New Harmony Writers Residency</t>
  </si>
  <si>
    <t>Faculty Enhance--Graduate Studies</t>
  </si>
  <si>
    <t>University Mascot</t>
  </si>
  <si>
    <t>Advance Care Planning Conference</t>
  </si>
  <si>
    <t>Romain COB Speaker Series</t>
  </si>
  <si>
    <t>Smart Communities</t>
  </si>
  <si>
    <t>USI MAGIC Project</t>
  </si>
  <si>
    <t>VA Mental Health Summit</t>
  </si>
  <si>
    <t>Competency Workshops</t>
  </si>
  <si>
    <t>Focus on Healthcare</t>
  </si>
  <si>
    <t>Pharmacology Update</t>
  </si>
  <si>
    <t>Dental Trends and Ethics</t>
  </si>
  <si>
    <t>Advance Practice Nursing Symposium</t>
  </si>
  <si>
    <t>Inst for Alcohol and Drug Studies</t>
  </si>
  <si>
    <t>Symposium of Homelessness</t>
  </si>
  <si>
    <t>Strengthening the Healthcare Team</t>
  </si>
  <si>
    <t>Computer Science Programs</t>
  </si>
  <si>
    <t>Diversity Equity and Inclusion Conf</t>
  </si>
  <si>
    <t>Univ Energy Use Reduction</t>
  </si>
  <si>
    <t>Gerontology Programs</t>
  </si>
  <si>
    <t>Bronstein Healthy Aging Wellness</t>
  </si>
  <si>
    <t>Charter Schools</t>
  </si>
  <si>
    <t>Nonprofit Excellence Symposium</t>
  </si>
  <si>
    <t>UNIV 101 Community Engagement</t>
  </si>
  <si>
    <t>Estreno Studies</t>
  </si>
  <si>
    <t>Community Relations</t>
  </si>
  <si>
    <t>2024 Solar Eclipse</t>
  </si>
  <si>
    <t>International Alumni</t>
  </si>
  <si>
    <t>Gregori-Gahan, Heidi</t>
  </si>
  <si>
    <t>Rechnic Holocaust Series</t>
  </si>
  <si>
    <t>USI Performing Arts Events</t>
  </si>
  <si>
    <t>Liberal Arts Summer Academy</t>
  </si>
  <si>
    <t>Research Incentive Liberal Arts</t>
  </si>
  <si>
    <t>Harriss, Lori</t>
  </si>
  <si>
    <t>Research Incentive Science/Eng</t>
  </si>
  <si>
    <t>Research Incentive Nursing/HP</t>
  </si>
  <si>
    <t>Research Incentive Business</t>
  </si>
  <si>
    <t>Research Incentive Social Work</t>
  </si>
  <si>
    <t>Research Incentive Nursing</t>
  </si>
  <si>
    <t>Research Incentive Library</t>
  </si>
  <si>
    <t>Research Incentive Spon Projects</t>
  </si>
  <si>
    <t>Research Incentive Outreach &amp; Engmt</t>
  </si>
  <si>
    <t>Research Incentive Gerontology</t>
  </si>
  <si>
    <t>Research Incentive Ctr Appl Res</t>
  </si>
  <si>
    <t>Research Incentive Biology</t>
  </si>
  <si>
    <t>Research Incentive Intl Programs</t>
  </si>
  <si>
    <t>Research Incentive Registrar</t>
  </si>
  <si>
    <t>Research Incentive Mathematics</t>
  </si>
  <si>
    <t>Research Incentive Teacher Ed</t>
  </si>
  <si>
    <t>Research Incentive Univ Division</t>
  </si>
  <si>
    <t>Research Incentive - Sociology</t>
  </si>
  <si>
    <t>Research Incentive Geology/Physics</t>
  </si>
  <si>
    <t>Research Incentive English</t>
  </si>
  <si>
    <t>Research Incentive Food/Nutrition</t>
  </si>
  <si>
    <t>Research Incentive Engineering</t>
  </si>
  <si>
    <t>Research Incentive Communications</t>
  </si>
  <si>
    <t>Research Incentive New Harmony</t>
  </si>
  <si>
    <t>New Harmony Operations</t>
  </si>
  <si>
    <t>Sanders, Diane</t>
  </si>
  <si>
    <t>Crews, Christine</t>
  </si>
  <si>
    <t>Research Incentive Grad Health Admn</t>
  </si>
  <si>
    <t>Research Incentive Mngmt Info Sci</t>
  </si>
  <si>
    <t>Research Incentive Ctr Excel Teach</t>
  </si>
  <si>
    <t>Research Incentive Psychology</t>
  </si>
  <si>
    <t>Research Incentive Provost Office</t>
  </si>
  <si>
    <t>Research Incentive Cntr Adult Lrnrs</t>
  </si>
  <si>
    <t>Research Incentive Philosopy</t>
  </si>
  <si>
    <t>Campus Store Scholarship</t>
  </si>
  <si>
    <t>Campus Store Operations</t>
  </si>
  <si>
    <t>Performing Arts Scholarships</t>
  </si>
  <si>
    <t>Provost Emergency Assistance</t>
  </si>
  <si>
    <t>David L Rice Scholarship</t>
  </si>
  <si>
    <t>Medical Professional Scholarship</t>
  </si>
  <si>
    <t>Multicultural Leader Scholarships</t>
  </si>
  <si>
    <t>Panama IFARHU</t>
  </si>
  <si>
    <t>Foundation Emergency Assistance</t>
  </si>
  <si>
    <t>USIF Matching Investment Program</t>
  </si>
  <si>
    <t>Departmental Emergency Assistance</t>
  </si>
  <si>
    <t>Dr. Linda Bennett Student Care Fund</t>
  </si>
  <si>
    <t>Educators in Chemistry Krahling</t>
  </si>
  <si>
    <t>Krahling, Mark</t>
  </si>
  <si>
    <t>Early Career Faculty Grant Pool</t>
  </si>
  <si>
    <t>CLAFDA Mark Young Stereotype</t>
  </si>
  <si>
    <t>Mark, Aimee</t>
  </si>
  <si>
    <t>Innovation Ely Female Engr Students</t>
  </si>
  <si>
    <t>Ely, Susan</t>
  </si>
  <si>
    <t>CLAFDA Dobersek Objectified Envrmnt</t>
  </si>
  <si>
    <t>Archer, Ursula</t>
  </si>
  <si>
    <t>FRCWG Han Software Performance</t>
  </si>
  <si>
    <t>Han, Xue</t>
  </si>
  <si>
    <t>CNHPFDA Hand Lived Experience</t>
  </si>
  <si>
    <t>Hand, Mikel</t>
  </si>
  <si>
    <t>CLAFDA Reyes Early Attachment</t>
  </si>
  <si>
    <t>2022 Excellence Scholar Champagne</t>
  </si>
  <si>
    <t>Champagne, Alex</t>
  </si>
  <si>
    <t>2022 Excellence Staff Butz</t>
  </si>
  <si>
    <t>Butz, Gloria</t>
  </si>
  <si>
    <t>2022 Excellence Advising Mara</t>
  </si>
  <si>
    <t>Mara, Kyle</t>
  </si>
  <si>
    <t>Barnett Award Walsh Lithiation</t>
  </si>
  <si>
    <t>Barnett Award Delaney Mitogenomes</t>
  </si>
  <si>
    <t>Barnett Award Champagne Fount Youth</t>
  </si>
  <si>
    <t>Innovation Grabert Science Olympiad</t>
  </si>
  <si>
    <t>SEERGA Lutter Luminescence</t>
  </si>
  <si>
    <t>Lutter, Jacob</t>
  </si>
  <si>
    <t>Thacker, Jenna</t>
  </si>
  <si>
    <t>ECFG Cook Random Forest</t>
  </si>
  <si>
    <t>Cook, Heather</t>
  </si>
  <si>
    <t>CNHPFDA Hape Sensory Impact Ped MH</t>
  </si>
  <si>
    <t>Hape, Kristi</t>
  </si>
  <si>
    <t>FASTRC Howard Past Meets Present</t>
  </si>
  <si>
    <t>Howard, Leigh</t>
  </si>
  <si>
    <t>CNHPFDA Peak 3D Imaging Techniques</t>
  </si>
  <si>
    <t>Peak, Katherine</t>
  </si>
  <si>
    <t>PCIRG Champagne Longevity in Birds</t>
  </si>
  <si>
    <t>CLAFDA Howard Past Meets Present</t>
  </si>
  <si>
    <t>CLAFDA Okotah Now With Curiosity</t>
  </si>
  <si>
    <t>Okotah, Sophia</t>
  </si>
  <si>
    <t>2023 Excellence Service Mitchell</t>
  </si>
  <si>
    <t>Mitchell, Zane</t>
  </si>
  <si>
    <t>2023 Excellence Scholarship Nelson</t>
  </si>
  <si>
    <t>Nelson, Todd</t>
  </si>
  <si>
    <t>2023 Excellence Advising Murray</t>
  </si>
  <si>
    <t>Murray, Stacey</t>
  </si>
  <si>
    <t>2023 Excellence Teaching Walsh</t>
  </si>
  <si>
    <t>2023 Excellence Staff Whorl</t>
  </si>
  <si>
    <t>Whorl, Julie</t>
  </si>
  <si>
    <t>CLAFDA Petty Legal Professionals</t>
  </si>
  <si>
    <t>Engbers, Trent</t>
  </si>
  <si>
    <t>Petty, Taylor</t>
  </si>
  <si>
    <t>CLAFDA Callahan Media Consumption</t>
  </si>
  <si>
    <t>Callahan, Jason</t>
  </si>
  <si>
    <t>CLAFDA Dennis Social Media</t>
  </si>
  <si>
    <t>Dennis, Erin</t>
  </si>
  <si>
    <t>CLAFDA Lee In Her Image</t>
  </si>
  <si>
    <t>Lee, Melanie</t>
  </si>
  <si>
    <t>CLAFDA Raen-Mendez Metal and Munsel</t>
  </si>
  <si>
    <t>Raen-Mendez, Nancy</t>
  </si>
  <si>
    <t>Barnett-Kiessling Humphrey</t>
  </si>
  <si>
    <t>Kiessling, Brian</t>
  </si>
  <si>
    <t>Barnett-Rezvani Rad and de Coning</t>
  </si>
  <si>
    <t>Rezvani Rad, Milad</t>
  </si>
  <si>
    <t>Barnett-Rezvani Rad and Osborne</t>
  </si>
  <si>
    <t>Innovation Hollinger Prof Devt Prg</t>
  </si>
  <si>
    <t>Hollinger, Erin</t>
  </si>
  <si>
    <t>SEERGA Grady Selenium-Reactive Tags</t>
  </si>
  <si>
    <t>Grady, Scott</t>
  </si>
  <si>
    <t>CNHPFDA Connerton Prof Dev-Nurse ED</t>
  </si>
  <si>
    <t>Connerton, Charlotte</t>
  </si>
  <si>
    <t>CNHPFDA Thomason Adv Fetal Echo Img</t>
  </si>
  <si>
    <t>Thomason, Jordan</t>
  </si>
  <si>
    <t>ECFG Jones Adopting LGBTQ policies</t>
  </si>
  <si>
    <t>Viktora-Jones, Magdalena</t>
  </si>
  <si>
    <t>CLAFDA Bauer Spondylus Divers</t>
  </si>
  <si>
    <t>Bauer, Daniel</t>
  </si>
  <si>
    <t>CLAFDA Dickes Mac/Mic Photography</t>
  </si>
  <si>
    <t>Dickes, Robert</t>
  </si>
  <si>
    <t>CLAFDA Montz Untitled Irish</t>
  </si>
  <si>
    <t>Montz, Amy</t>
  </si>
  <si>
    <t>CLAFDA ONeil Analysis Grammar</t>
  </si>
  <si>
    <t>O'Neil, David</t>
  </si>
  <si>
    <t>CLAFDA Ress Little Girls Limelight</t>
  </si>
  <si>
    <t>Ress, Stella</t>
  </si>
  <si>
    <t>ECFG Lutter Directed Synthesis</t>
  </si>
  <si>
    <t>FRCWG Dobersek Meat Consumption</t>
  </si>
  <si>
    <t>TCFG Dobersek Diet in Older Indiv</t>
  </si>
  <si>
    <t>Bronstein Dobersek Dietary Patterns</t>
  </si>
  <si>
    <t>FRCWG Millard-Mendez Three Gestural</t>
  </si>
  <si>
    <t>Millard-Mendez, Rob</t>
  </si>
  <si>
    <t>Title IV Control Fund</t>
  </si>
  <si>
    <t>Pell Grant 2022-2023</t>
  </si>
  <si>
    <t>Pell Grant 2023-2024</t>
  </si>
  <si>
    <t>SEOG</t>
  </si>
  <si>
    <t>College Work Study</t>
  </si>
  <si>
    <t>CWS Job Locator Program</t>
  </si>
  <si>
    <t>CWS Community Service Program</t>
  </si>
  <si>
    <t>CWS America Reads Program</t>
  </si>
  <si>
    <t>CWS Contractor Agreements</t>
  </si>
  <si>
    <t>Federal Work Study Math Tutors</t>
  </si>
  <si>
    <t>HRSA Geriatrics Workforce 2023-24</t>
  </si>
  <si>
    <t>USDE Student Support Services 20-25</t>
  </si>
  <si>
    <t>Munoz-Bryant, Tina</t>
  </si>
  <si>
    <t>CS USDE Student Support Serv 20-25</t>
  </si>
  <si>
    <t>HRSA GWEP ADRD 2023-24</t>
  </si>
  <si>
    <t>USDA Forest Svc Hydrologic Data 22</t>
  </si>
  <si>
    <t>Doss, Paul</t>
  </si>
  <si>
    <t>CS USDA Forest Svc Hydro Data 2022</t>
  </si>
  <si>
    <t>HRSA ANE SANE Program 2023-24</t>
  </si>
  <si>
    <t>Russell, Katelyn</t>
  </si>
  <si>
    <t>HRSA ANE SANE Program 23-24 Suppl</t>
  </si>
  <si>
    <t>HRSA GWEP Nursing Home Supp 23-24</t>
  </si>
  <si>
    <t>NSF Transforming STEM Education</t>
  </si>
  <si>
    <t>NSF Enhancing Inst Data STEM Wkshop</t>
  </si>
  <si>
    <t>NSF Investigate Philosophical Comm</t>
  </si>
  <si>
    <t>Gonnerman, Chad</t>
  </si>
  <si>
    <t>NSF ESTEEM</t>
  </si>
  <si>
    <t>NSF ESTEEM phase 2 2024-25</t>
  </si>
  <si>
    <t>NSF ESTEEM phase 2 2025-26</t>
  </si>
  <si>
    <t>NSF ESTEEM phase 2 2026-27</t>
  </si>
  <si>
    <t>HHS ISDH SANE Health Disparities</t>
  </si>
  <si>
    <t>ICN HRSA NEEDS2B 2023-24</t>
  </si>
  <si>
    <t>ICN HRSA NEEDS2B Scholarships 23-24</t>
  </si>
  <si>
    <t>HRSA SW IN Area Health Educ 23-24</t>
  </si>
  <si>
    <t>ARP READI RDA Reg Nurse Expansion</t>
  </si>
  <si>
    <t>NASA JPL Kloosterman Subaward</t>
  </si>
  <si>
    <t>Kloosterman, Jenna</t>
  </si>
  <si>
    <t>CEA AmeriCorps MLK Day 2024</t>
  </si>
  <si>
    <t>O'Neil, Monica</t>
  </si>
  <si>
    <t>ARPA DMHA IU Mental Health Subaward</t>
  </si>
  <si>
    <t>NASA JPL Kloosterman Subaward FY24</t>
  </si>
  <si>
    <t>Minority Teacher Scholarships</t>
  </si>
  <si>
    <t>21st Century Scholars Program</t>
  </si>
  <si>
    <t>Child of Disabled Veteran Grant</t>
  </si>
  <si>
    <t>National Guard Supplemental Grant</t>
  </si>
  <si>
    <t>Full-Time Grant Program</t>
  </si>
  <si>
    <t>Mitch Daniels Early Graduation Schl</t>
  </si>
  <si>
    <t>Adult Student Grant</t>
  </si>
  <si>
    <t>Next Generation Hoosier Educators</t>
  </si>
  <si>
    <t>Fast Track Award</t>
  </si>
  <si>
    <t>Rogers Student Teaching</t>
  </si>
  <si>
    <t>Student Teaching High Needs</t>
  </si>
  <si>
    <t>Vanderburgh Co Treatment Crt 21-23</t>
  </si>
  <si>
    <t>Dickerson, Jay</t>
  </si>
  <si>
    <t>Vanderburgh Co Work Release 2021-23</t>
  </si>
  <si>
    <t>ICHE STEM NEXIDE Phase 4</t>
  </si>
  <si>
    <t>ICHE NEXIDE Scholarship Phase 4</t>
  </si>
  <si>
    <t>ICHE STEM Teaching Eagles Phase 5</t>
  </si>
  <si>
    <t>Sparks, Kelly</t>
  </si>
  <si>
    <t>BSW MSW Child Welfare Educ 2024</t>
  </si>
  <si>
    <t>Dillingham, Jara</t>
  </si>
  <si>
    <t>Minnette, Julie</t>
  </si>
  <si>
    <t>ICHE STEM Recruit NExIME 2023</t>
  </si>
  <si>
    <t>ICHE NExIME Scholarship 2023</t>
  </si>
  <si>
    <t>ICHE STEM Teaching Eagles Phase 6</t>
  </si>
  <si>
    <t>ICHE Teaching Eagle Scholar Phase 6</t>
  </si>
  <si>
    <t>ICHE College Success Coach</t>
  </si>
  <si>
    <t>IAC New Harmony Gallery 2023-24</t>
  </si>
  <si>
    <t>New Harmony Gallery of Contemp Art</t>
  </si>
  <si>
    <t>Lambert, Audra</t>
  </si>
  <si>
    <t>Lance, T</t>
  </si>
  <si>
    <t>SW IN Area Health Education 23-24</t>
  </si>
  <si>
    <t>SWI AHEC 23-24 Non-Cost Share</t>
  </si>
  <si>
    <t>ICC Storytelling Project</t>
  </si>
  <si>
    <t>Zhulamanova, Ilfa</t>
  </si>
  <si>
    <t>CS ICC Storytelling Project</t>
  </si>
  <si>
    <t>APA Psychology Education Partner</t>
  </si>
  <si>
    <t>Felton, Maggie</t>
  </si>
  <si>
    <t>ACSI Art Day 2017</t>
  </si>
  <si>
    <t>Pritchard, Shannon</t>
  </si>
  <si>
    <t>AHA Community Health Centers</t>
  </si>
  <si>
    <t>STP Instructional Resource Award</t>
  </si>
  <si>
    <t>Daniels, Katherine</t>
  </si>
  <si>
    <t>Lilly Charting the Future Phase 2</t>
  </si>
  <si>
    <t>Lilly UIndy Charting Future Phase 3</t>
  </si>
  <si>
    <t>NAS Healthy Longevity Catalyst</t>
  </si>
  <si>
    <t>NCBA Scoping Review Psych Benifits</t>
  </si>
  <si>
    <t>Lilly Reading Instruct IN Planning</t>
  </si>
  <si>
    <t>Dghtrs of Charity Biodiversity Stdy</t>
  </si>
  <si>
    <t>McCloud, Eric</t>
  </si>
  <si>
    <t>Lilly Hist NH Religion &amp; Cultural</t>
  </si>
  <si>
    <t>AGS GWEP CC Education Resource 2023</t>
  </si>
  <si>
    <t>Lilly College &amp; Comm Collab-Plan</t>
  </si>
  <si>
    <t>Lilly Historic New Harmony 23-24</t>
  </si>
  <si>
    <t>CEA SEAD Speak Now</t>
  </si>
  <si>
    <t>FACE French Film Festival</t>
  </si>
  <si>
    <t>Jensen, Jessica</t>
  </si>
  <si>
    <t>Parker Family Fdn HNH Tram</t>
  </si>
  <si>
    <t>CEA Comm Engage-Int'l OT Fieldwork</t>
  </si>
  <si>
    <t>CS CEA Comm Engage-Int'l OT Fieldwk</t>
  </si>
  <si>
    <t>Lilly Reading Instruct Implement</t>
  </si>
  <si>
    <t>AGS GWEP CC Education Resource 2024</t>
  </si>
  <si>
    <t>ICN Scholarships</t>
  </si>
  <si>
    <t>ETE Interest Regional Leadership</t>
  </si>
  <si>
    <t>ETE Interest Faculty Recognition</t>
  </si>
  <si>
    <t>ETE Interest Honors Retention</t>
  </si>
  <si>
    <t>ETE Interest Faculty Devel Director</t>
  </si>
  <si>
    <t>ETE Interest Department Chair</t>
  </si>
  <si>
    <t>Schell Student Loan Program</t>
  </si>
  <si>
    <t>Athletics Shared Revenue</t>
  </si>
  <si>
    <t>Athletics Operations</t>
  </si>
  <si>
    <t>Athletics Special Events</t>
  </si>
  <si>
    <t>Athletics Reserve</t>
  </si>
  <si>
    <t>Athletics Grant-in-Aid</t>
  </si>
  <si>
    <t>Recreation &amp; Fitness Center</t>
  </si>
  <si>
    <t>Rec &amp; Fitness Center Operations</t>
  </si>
  <si>
    <t>Recreation &amp; Fitness Center Reserve</t>
  </si>
  <si>
    <t>Housing &amp; Residence Life Operations</t>
  </si>
  <si>
    <t>Burch, Melissa</t>
  </si>
  <si>
    <t>Howell, Doug</t>
  </si>
  <si>
    <t>Mullins, Betsy Jo</t>
  </si>
  <si>
    <t>Housing &amp; Residence Life Revenue</t>
  </si>
  <si>
    <t>Housing &amp; Res Life Assistants</t>
  </si>
  <si>
    <t>Housing &amp; Res Life Summer Conf</t>
  </si>
  <si>
    <t>Housing &amp; Residence Life Services</t>
  </si>
  <si>
    <t>Housing &amp; Residence Life Activities</t>
  </si>
  <si>
    <t>Student Housing Association</t>
  </si>
  <si>
    <t>Housing Technology</t>
  </si>
  <si>
    <t>2024 SWISH Project</t>
  </si>
  <si>
    <t>2024 Miscellaneous Furnishings</t>
  </si>
  <si>
    <t>Food Service</t>
  </si>
  <si>
    <t>Meal Plan Program</t>
  </si>
  <si>
    <t>Auxiliary Parking Services</t>
  </si>
  <si>
    <t>Auxiliary Parking Remitted Fees</t>
  </si>
  <si>
    <t>Campus Store</t>
  </si>
  <si>
    <t>University Center</t>
  </si>
  <si>
    <t>Campus Card Office</t>
  </si>
  <si>
    <t>New Harmony Museum Shop</t>
  </si>
  <si>
    <t>Museum Shop Operations</t>
  </si>
  <si>
    <t>Museum Shop General Merchandise</t>
  </si>
  <si>
    <t>Museum Shop Media</t>
  </si>
  <si>
    <t>Museum Shop Jewelry</t>
  </si>
  <si>
    <t>New Harmony Museum Shop Retail Inv</t>
  </si>
  <si>
    <t>New Harmony Facility Oper</t>
  </si>
  <si>
    <t>Repertory Project</t>
  </si>
  <si>
    <t>Theatre Management</t>
  </si>
  <si>
    <t>Rental Properties</t>
  </si>
  <si>
    <t>Conference Services Operations</t>
  </si>
  <si>
    <t>Conference Services Events</t>
  </si>
  <si>
    <t>Screaming Eagle Arena Suites</t>
  </si>
  <si>
    <t>New Harmony Guest House</t>
  </si>
  <si>
    <t>Construction Project Planning Serv</t>
  </si>
  <si>
    <t>Licensing</t>
  </si>
  <si>
    <t>Energy Exploration</t>
  </si>
  <si>
    <t>2024 SECamp Program</t>
  </si>
  <si>
    <t>SE Camp Program</t>
  </si>
  <si>
    <t>Carroll, Robin</t>
  </si>
  <si>
    <t>Emergency Loans</t>
  </si>
  <si>
    <t>Miller, Cindy</t>
  </si>
  <si>
    <t>Direct Stafford Loans Subsidized</t>
  </si>
  <si>
    <t>Direct Stafford Loans Unsub Need</t>
  </si>
  <si>
    <t>Direct PLUS Loans Need</t>
  </si>
  <si>
    <t>Direct PLUS Loans Graduate</t>
  </si>
  <si>
    <t>Direct Loan Control Fund</t>
  </si>
  <si>
    <t>USI Foundation Scholarships</t>
  </si>
  <si>
    <t>Scholarships</t>
  </si>
  <si>
    <t>Henry &amp; Hazel Bennighof Scholarship</t>
  </si>
  <si>
    <t>Sol &amp; Arlene Bronstein Art Scholar</t>
  </si>
  <si>
    <t>TH Burckhartt Memorial Scholarship</t>
  </si>
  <si>
    <t>Corrigan Scholarship</t>
  </si>
  <si>
    <t>Paul M Grimes Memorial Scholarship</t>
  </si>
  <si>
    <t>Elizabeth F Hitchcock Spanish Award</t>
  </si>
  <si>
    <t>Kinsey Memorial Scholarship</t>
  </si>
  <si>
    <t>McCutchan Memorial Scholarship</t>
  </si>
  <si>
    <t>Frank F McDonald Scholarship</t>
  </si>
  <si>
    <t>Richard E Meier Scholarship</t>
  </si>
  <si>
    <t>Music Scholarship</t>
  </si>
  <si>
    <t>Robert &amp; Elaine Pott Foundation Sch</t>
  </si>
  <si>
    <t>Rankin Distinguished Leader Award</t>
  </si>
  <si>
    <t>Bill Sands Comm Scholar Endow</t>
  </si>
  <si>
    <t>Science &amp; Mathematics Faculty Sch</t>
  </si>
  <si>
    <t>Theatre Scholarship</t>
  </si>
  <si>
    <t>WC &amp; K Wardner Memorial Scholarship</t>
  </si>
  <si>
    <t>Deaconess Hospital Staff Scholar</t>
  </si>
  <si>
    <t>Frank Scholarship</t>
  </si>
  <si>
    <t>Ohio Valley Dental Hygienists Sch</t>
  </si>
  <si>
    <t>R Carithers Schlr Arts &amp; Humanities</t>
  </si>
  <si>
    <t>William A &amp; Trudy Mitchell Scholar</t>
  </si>
  <si>
    <t>William E &amp; Rebecca N Couch Sch</t>
  </si>
  <si>
    <t>Roland E Eckels Scholarship Award</t>
  </si>
  <si>
    <t>Robert L Moore Mem Schol</t>
  </si>
  <si>
    <t>DAR Vanderburgh Chapter Scholarship</t>
  </si>
  <si>
    <t>Elmo Holder Memorial Scholarship</t>
  </si>
  <si>
    <t>Aline Nunn Renner Scholarship</t>
  </si>
  <si>
    <t>Evansville Retired Teachers Scholar</t>
  </si>
  <si>
    <t>American Chemical Society Scholar</t>
  </si>
  <si>
    <t>Bill Motoux Special Athletic Sch</t>
  </si>
  <si>
    <t>Bernard E Schnacke Memorial Scholar</t>
  </si>
  <si>
    <t>O John Logsdon Chemistry Scholar</t>
  </si>
  <si>
    <t>Kappa Kappa Kappa Emergency Grant</t>
  </si>
  <si>
    <t>Presidential Scholarship</t>
  </si>
  <si>
    <t>BKD Accounting Award</t>
  </si>
  <si>
    <t>Albert A Woll Memorial Scholarship</t>
  </si>
  <si>
    <t>Frances &amp; Guy Cornell Memorial Sch</t>
  </si>
  <si>
    <t>Kappa Delta Pi Scholarship</t>
  </si>
  <si>
    <t>L Bernard &amp; Lena F Powers Scholar</t>
  </si>
  <si>
    <t>Lucile A Moutoux Scholarship</t>
  </si>
  <si>
    <t>William J &amp; Alda E Moutoux Scholar</t>
  </si>
  <si>
    <t>Clifford &amp; Ruth Kleymeyer Endowment</t>
  </si>
  <si>
    <t>Fred &amp; Elise Trautvetter Scholar</t>
  </si>
  <si>
    <t>Cynderella McDowell Miller Scholar</t>
  </si>
  <si>
    <t>Jeffrey S Deering Memorial Scholar</t>
  </si>
  <si>
    <t>Virginia &amp; Ed Fritz Scholarships</t>
  </si>
  <si>
    <t>First District Dental Society Sch</t>
  </si>
  <si>
    <t>Robert W Wallace Scholarship</t>
  </si>
  <si>
    <t>USI Student Education Assoc Schl</t>
  </si>
  <si>
    <t>Trockman Pre-Law Scholarship</t>
  </si>
  <si>
    <t>USI Admins &amp; Associates Scholar</t>
  </si>
  <si>
    <t>Sigma Alpha Gamma Betta Scholarship</t>
  </si>
  <si>
    <t>IMA Outstanding Junior Scholarship</t>
  </si>
  <si>
    <t>J Maxwell Davis Memorial Scholar</t>
  </si>
  <si>
    <t>Acad Achieve Awd Rad &amp; Image Sci</t>
  </si>
  <si>
    <t>Edward F Harrison Scholarship</t>
  </si>
  <si>
    <t>Bernard G Schenk Memorial Scholar</t>
  </si>
  <si>
    <t>Donald &amp; Ruth Whipple Memorial Sch</t>
  </si>
  <si>
    <t>Penkava Radiologic Technology Sch</t>
  </si>
  <si>
    <t>Helen M Bamberger Memorial Sch</t>
  </si>
  <si>
    <t>Evansville Professional Women Sch</t>
  </si>
  <si>
    <t>Woman's Rotary Club Scholarship</t>
  </si>
  <si>
    <t>Wanda B Hibbits Accounting Scholar</t>
  </si>
  <si>
    <t>Altrusa Foundation Scholarship</t>
  </si>
  <si>
    <t>Day/Farmer Memorial Scholarship</t>
  </si>
  <si>
    <t>F Leo Peyronnin Memorial Scholar</t>
  </si>
  <si>
    <t>R Malcolm Koch Memorial Scholarship</t>
  </si>
  <si>
    <t>Westside Kiwanis Nursing Scholar</t>
  </si>
  <si>
    <t>Bob &amp; Mary Lue Russler Scholarship</t>
  </si>
  <si>
    <t>Claude Wertz Sr Memorial Scholar</t>
  </si>
  <si>
    <t>Barbara Jeanne Wertz Memorial Sch</t>
  </si>
  <si>
    <t>Judith Wertz Memorial Scholarship</t>
  </si>
  <si>
    <t>Schoenenberger Merit Award</t>
  </si>
  <si>
    <t>Denise Powers Memorial Scholarship</t>
  </si>
  <si>
    <t>Gordon &amp; Gail Kelley Scholarship</t>
  </si>
  <si>
    <t>Eastside Optimist Club Scholarship</t>
  </si>
  <si>
    <t>Doris &amp; Al Grabhorn Scholarship</t>
  </si>
  <si>
    <t>Angus Scientech Recognition Award</t>
  </si>
  <si>
    <t>William F Bennett Memorial Scholar</t>
  </si>
  <si>
    <t>Roy G &amp; Marguerite Long Mem Schlr</t>
  </si>
  <si>
    <t>Social Work Scholarship</t>
  </si>
  <si>
    <t>Seaman Business Merit Scholarship</t>
  </si>
  <si>
    <t>Betty Fordice Rice Scholarship</t>
  </si>
  <si>
    <t>Fifth Year Scholarship</t>
  </si>
  <si>
    <t>L Ray Stewart MC Memorial Schl</t>
  </si>
  <si>
    <t>Amelia Harrington Memorial Scholar</t>
  </si>
  <si>
    <t>Roy &amp; Adelaide Sanders Scholarship</t>
  </si>
  <si>
    <t>Shannon R Duke Scholarship</t>
  </si>
  <si>
    <t>Expressway Dodge Marketing Award</t>
  </si>
  <si>
    <t>Jerry Nicholson Memorial Scholar</t>
  </si>
  <si>
    <t>Labhart-Olsen Family Math Scholar</t>
  </si>
  <si>
    <t>White County Illinois Scholarship</t>
  </si>
  <si>
    <t>Char-ron Newman Scholarship</t>
  </si>
  <si>
    <t>Homer &amp; Olive Clifft Lib Arts Sch</t>
  </si>
  <si>
    <t>Toyota Scholarship</t>
  </si>
  <si>
    <t>Bill Ross Scholarship</t>
  </si>
  <si>
    <t>C Jack Buschkill Business Scholar</t>
  </si>
  <si>
    <t>Dr John &amp; Grace Eisterhold Scholar</t>
  </si>
  <si>
    <t>Lonzo &amp; Vera Morgan Memorial Sch</t>
  </si>
  <si>
    <t>Beverly June Frederking Scholarship</t>
  </si>
  <si>
    <t>Walter Jermakowicz Scholarship</t>
  </si>
  <si>
    <t>Orr Scholarship for Global Business</t>
  </si>
  <si>
    <t>Gustav &amp; Eleanor Hoos Memorial Sch</t>
  </si>
  <si>
    <t>Southern Indiana Imaging Scholar</t>
  </si>
  <si>
    <t>Barbara &amp; Edward Marting Scholar</t>
  </si>
  <si>
    <t>Hubert R &amp; Louise S Bruce Scholar</t>
  </si>
  <si>
    <t>Charles H &amp; Margaret Braun Scholar</t>
  </si>
  <si>
    <t>John &amp; Carol Bolger Business Sch</t>
  </si>
  <si>
    <t>Dain Garrett Merit Award</t>
  </si>
  <si>
    <t>Optimists-Mrs of Evansville Scholar</t>
  </si>
  <si>
    <t>Hightower Memorial Scholarship</t>
  </si>
  <si>
    <t>Brooks Inns of Court Pre-Law Sch</t>
  </si>
  <si>
    <t>Deans Scholarship</t>
  </si>
  <si>
    <t>Charles B Michaels Memorial Scholar</t>
  </si>
  <si>
    <t>Alpha Omega Psi Alumni Scholarship</t>
  </si>
  <si>
    <t>Goodman Pre-Optometry Scholarship</t>
  </si>
  <si>
    <t>Pumphrey Scholarship</t>
  </si>
  <si>
    <t>Scripps-Howard Scholarship</t>
  </si>
  <si>
    <t>Loren &amp; Audrey Herrli Scholarship</t>
  </si>
  <si>
    <t>Donald &amp; Mary Jane Elliott Scholar</t>
  </si>
  <si>
    <t>Ethel Mae Jenny Payne Nursing Sch</t>
  </si>
  <si>
    <t>Georgiana T Schoeny Scholarship</t>
  </si>
  <si>
    <t>Midwest Ironworkers Scholarship</t>
  </si>
  <si>
    <t>Maidlow Scholarship</t>
  </si>
  <si>
    <t>USI Epi-Hab Center Scholarship</t>
  </si>
  <si>
    <t>Altrusa International Scholarship</t>
  </si>
  <si>
    <t>Davies Engineering Technology Sch</t>
  </si>
  <si>
    <t>Arp Business Scholarship</t>
  </si>
  <si>
    <t>Amelia Benson Scholarship</t>
  </si>
  <si>
    <t>Carlson Nurse Practitioner Scholar</t>
  </si>
  <si>
    <t>Lloyd Wallis Memorial Scholarship</t>
  </si>
  <si>
    <t>Accounting Circle MSA Scholarship</t>
  </si>
  <si>
    <t>Sharon Working Memorial Scholarship</t>
  </si>
  <si>
    <t>Kanzler Scholarship</t>
  </si>
  <si>
    <t>Nan &amp; Keith Benedict Engineer Sch</t>
  </si>
  <si>
    <t>Kahn Memorial Scholarship</t>
  </si>
  <si>
    <t>Harpole Scholarship</t>
  </si>
  <si>
    <t>Schergens Merit Scholarship</t>
  </si>
  <si>
    <t>HNTB Engineering Scholarship</t>
  </si>
  <si>
    <t>Ruston Engineering Scholarship</t>
  </si>
  <si>
    <t>Westside Nut Club Scholarship</t>
  </si>
  <si>
    <t>AAUW Science &amp; Engineering Scholar</t>
  </si>
  <si>
    <t>Lilly Engineering Co-op Scholarship</t>
  </si>
  <si>
    <t>Harry Thompson Business Scholarship</t>
  </si>
  <si>
    <t>Jennings &amp; Josephine Carter Scholar</t>
  </si>
  <si>
    <t>Jennings &amp; Ann Carter Scholarship</t>
  </si>
  <si>
    <t>Virginia Cox Memorial Scholarship</t>
  </si>
  <si>
    <t>J R Dick Harris Memorial Scholar</t>
  </si>
  <si>
    <t>John C Schroeder Memorial Scholar</t>
  </si>
  <si>
    <t>Barnett Research Award</t>
  </si>
  <si>
    <t>Nursing Alumni Scholarship</t>
  </si>
  <si>
    <t>Distinguished Scholars Award</t>
  </si>
  <si>
    <t>Integra Bank Illinois Scholarship</t>
  </si>
  <si>
    <t>Integra Bank Kentucky Scholarship</t>
  </si>
  <si>
    <t>Wuetherich Memorial Scholarship</t>
  </si>
  <si>
    <t>Connie Romain Music/Theatre Scholar</t>
  </si>
  <si>
    <t>Milton Working Memorial Scholarship</t>
  </si>
  <si>
    <t>Endowment for Teaching Excellence</t>
  </si>
  <si>
    <t>Alcoa Engineering Scholarship</t>
  </si>
  <si>
    <t>Dal and Donna Herring Award</t>
  </si>
  <si>
    <t>Brian and Tara Mullen Chemistry Sch</t>
  </si>
  <si>
    <t>Edward J Shover Memorial Scholar</t>
  </si>
  <si>
    <t>Phil Fisher Business Scholarship</t>
  </si>
  <si>
    <t>Mary Schroeder Communications Schol</t>
  </si>
  <si>
    <t>Raymond and Hazel Roesner Scholar</t>
  </si>
  <si>
    <t>Orthopaedic Associates Scholarship</t>
  </si>
  <si>
    <t>Esarey Engineering Excellence</t>
  </si>
  <si>
    <t>Esarey Mechanical Engineering</t>
  </si>
  <si>
    <t>Allison Carter Memorial Scholarship</t>
  </si>
  <si>
    <t>Lawrence Memorial Nursing Scholar</t>
  </si>
  <si>
    <t>Ruder Eagle Scout Scholarship</t>
  </si>
  <si>
    <t>Virginia McConnell Memorial Scholar</t>
  </si>
  <si>
    <t>Edgar and Marie Santon Scholarship</t>
  </si>
  <si>
    <t>Keller Schroeder Technology Scholar</t>
  </si>
  <si>
    <t>IT Alliance Scholarship</t>
  </si>
  <si>
    <t>Cowley-Vogelbach Scholarship</t>
  </si>
  <si>
    <t>Rust Endowed Engineering Scholar</t>
  </si>
  <si>
    <t>Toyota Endowed Engineering Scholar</t>
  </si>
  <si>
    <t>Tim Mahoney Business Scholarship</t>
  </si>
  <si>
    <t>Hafer Assoc Engineering Scholarship</t>
  </si>
  <si>
    <t>Biagi Chance Cummins Engineer Sch</t>
  </si>
  <si>
    <t>Douglas and Irene McDonald Scholar</t>
  </si>
  <si>
    <t>Donald Pitzer History Scholarship</t>
  </si>
  <si>
    <t>Rust Foreign Language Scholarship</t>
  </si>
  <si>
    <t>GIA Nicholson Stanonis Memorial Sch</t>
  </si>
  <si>
    <t>Rosie Newhouse Memorial Scholarship</t>
  </si>
  <si>
    <t>Brock Babb Memorial Engineering Sch</t>
  </si>
  <si>
    <t>Gumberts Business Scholarship</t>
  </si>
  <si>
    <t>Wells Business Scholarship</t>
  </si>
  <si>
    <t>Joergens Fifth Year Scholarship</t>
  </si>
  <si>
    <t>Harold McCutchan Memorial Scholar</t>
  </si>
  <si>
    <t>Kleymeyer Liberal Arts Scholarship</t>
  </si>
  <si>
    <t>Bill Stegemoller Memorial Scholar</t>
  </si>
  <si>
    <t>Elaine C Schwartz Future Educators</t>
  </si>
  <si>
    <t>USI Foundation Annual Scholarship</t>
  </si>
  <si>
    <t>USI Foundation BMD Scholarship</t>
  </si>
  <si>
    <t>Zurstadt Engineering Scholarship</t>
  </si>
  <si>
    <t>Leona Paul Shafer Nursing Scholar</t>
  </si>
  <si>
    <t>Wilhite Endowed Business Scholar</t>
  </si>
  <si>
    <t>Scot A Pinkstaff Memorial Scholar</t>
  </si>
  <si>
    <t>Roxy Baas Memorial Scholarship</t>
  </si>
  <si>
    <t>Geisser Engineering Scholarship</t>
  </si>
  <si>
    <t>Atlas World Group Tech Scholarship</t>
  </si>
  <si>
    <t>Byron and Joanna Wright Scholarship</t>
  </si>
  <si>
    <t>Labhart-Olsen Renewal Scholarship</t>
  </si>
  <si>
    <t>Miller and Browning Business Sch</t>
  </si>
  <si>
    <t>Browning Education Scholarship</t>
  </si>
  <si>
    <t>Dewitt and Browning History Scholar</t>
  </si>
  <si>
    <t>Miller Nursing Scholarship</t>
  </si>
  <si>
    <t>Earl McDaniel Jr Business Scholar</t>
  </si>
  <si>
    <t>Davis Physical Education Scholar</t>
  </si>
  <si>
    <t>Indiana Oil &amp; Gas Assn Geology Sch</t>
  </si>
  <si>
    <t>Jackson &amp; Barbara Marr Biology Sch</t>
  </si>
  <si>
    <t>Everett Literature Scholarship</t>
  </si>
  <si>
    <t>Josephine D &amp; D Bailey Merrill Sch</t>
  </si>
  <si>
    <t>Petranek Non-Traditional Stu Sch</t>
  </si>
  <si>
    <t>Philop &amp; Agnes Tzchoppe German Sch</t>
  </si>
  <si>
    <t>Sherrianne Standley University Sch</t>
  </si>
  <si>
    <t>Irving Materials Engineering Sch</t>
  </si>
  <si>
    <t>William Schmidt Foundation Art Sch</t>
  </si>
  <si>
    <t>Craig R Ehlen Scholarship</t>
  </si>
  <si>
    <t>Benedict Industrial Supervision Sch</t>
  </si>
  <si>
    <t>Hirsch Endowed Scholarship</t>
  </si>
  <si>
    <t>Hirsch Fine Arts Scholarship</t>
  </si>
  <si>
    <t>Nix Hirsch Endowed Scholarship</t>
  </si>
  <si>
    <t>Nix Hirsch Business Scholarship</t>
  </si>
  <si>
    <t>Cheryl Hay Warren Family Sch</t>
  </si>
  <si>
    <t>Zutt Art Travel Scholarship</t>
  </si>
  <si>
    <t>A Fulk Memorial Engineering Schl</t>
  </si>
  <si>
    <t>Robbins Business Scholarship</t>
  </si>
  <si>
    <t>Calvert Engineering Scholarship</t>
  </si>
  <si>
    <t>Jim Sanders Gallery Fellowship</t>
  </si>
  <si>
    <t>Graphic Design Scholarship</t>
  </si>
  <si>
    <t>Les Nunn Scholarship</t>
  </si>
  <si>
    <t>TriState Constr Fin Mgmt Assoc Schl</t>
  </si>
  <si>
    <t>Betty Schutte Memorial Scholarship</t>
  </si>
  <si>
    <t>Mathematics Scholarship</t>
  </si>
  <si>
    <t>Ogilvy Scholarship</t>
  </si>
  <si>
    <t>Natl Soc Colonial Dames XVII Schl</t>
  </si>
  <si>
    <t>Bertke Intern Scholarship</t>
  </si>
  <si>
    <t>Occupational Therapy Scholarship</t>
  </si>
  <si>
    <t>McDowell Memorial Scholarship</t>
  </si>
  <si>
    <t>Renner Non Traditional Scholarship</t>
  </si>
  <si>
    <t>West Kiwanis Hlth Prof Schol</t>
  </si>
  <si>
    <t>Sill Memorial Academic Merit Awd</t>
  </si>
  <si>
    <t>Sill Academic Achievement Geology</t>
  </si>
  <si>
    <t>Sill Academic Excellance Geology</t>
  </si>
  <si>
    <t>Sill Prospective Geology Stdt Schl</t>
  </si>
  <si>
    <t>Barnett Memorial Engineering Schl</t>
  </si>
  <si>
    <t>Sands Business Communication Schl</t>
  </si>
  <si>
    <t>Benedict Manufacturing Schl</t>
  </si>
  <si>
    <t>Ozete Spanish Scholarship</t>
  </si>
  <si>
    <t>Donald Wolfe Foreign Lang Schl</t>
  </si>
  <si>
    <t>Gerald Dunigan Jr Memorial Schl</t>
  </si>
  <si>
    <t>Vectren Engineering Scholarship</t>
  </si>
  <si>
    <t>Dewey &amp; Lenore Watson Mem Schl</t>
  </si>
  <si>
    <t>USIF Excellence Lrng Awd Business</t>
  </si>
  <si>
    <t>USIF Excellence Lrng Awd Lib Arts</t>
  </si>
  <si>
    <t>USIF Excellence Lrng Awd Nursing</t>
  </si>
  <si>
    <t>USIF Excellence Lrng Awd Science</t>
  </si>
  <si>
    <t>Mohammed &amp; Desiree Khayum Schl</t>
  </si>
  <si>
    <t>Radiology Student Alumni Schl</t>
  </si>
  <si>
    <t>Ruder Bosse High School Scholarship</t>
  </si>
  <si>
    <t>Ava Marie Cook Memorial Scholarship</t>
  </si>
  <si>
    <t>Lloyd Wallis Mem Schl-Dentl Hygne</t>
  </si>
  <si>
    <t>Shoe Carnival Technology Schl</t>
  </si>
  <si>
    <t>Marie Hankins Chemistry Scholarship</t>
  </si>
  <si>
    <t>Norma F Schuessler Schl</t>
  </si>
  <si>
    <t>USI Schlrshp for Hispanic Students</t>
  </si>
  <si>
    <t>Harpole Music Scholarship</t>
  </si>
  <si>
    <t>Harpole Theatre Scholarship</t>
  </si>
  <si>
    <t>Mosley Cash High School Schl</t>
  </si>
  <si>
    <t>Sean Weigand Memorial Scholarship</t>
  </si>
  <si>
    <t>McCutchan and Peva Memorial Schl</t>
  </si>
  <si>
    <t>Mary Weiss Barnhart Scholarship</t>
  </si>
  <si>
    <t>Sport Management Scholarship</t>
  </si>
  <si>
    <t>Koch Enterprises Engineering Schl</t>
  </si>
  <si>
    <t>Kindred Endowed Teacher Educ Schl</t>
  </si>
  <si>
    <t>So. IN Higher Education Schl</t>
  </si>
  <si>
    <t>Andrea Fuquay Memorial Schl</t>
  </si>
  <si>
    <t>Dunning Engineering Scholarship</t>
  </si>
  <si>
    <t>Schonberger Engineering Scholarship</t>
  </si>
  <si>
    <t>Efroymson Bridge Year Art Award</t>
  </si>
  <si>
    <t>TriState Scty of Plstcs Eng Schl</t>
  </si>
  <si>
    <t>Manuel Zapata Olivella Scholarship</t>
  </si>
  <si>
    <t>International Studies Scholarship</t>
  </si>
  <si>
    <t>Hilda Higgs Nursing &amp; HP Schl</t>
  </si>
  <si>
    <t>ONB Foundation Scholarship</t>
  </si>
  <si>
    <t>Indiana center for Nursing Schl</t>
  </si>
  <si>
    <t>Daniel Kelley Scholarship</t>
  </si>
  <si>
    <t>Hupfer Outstanding Mntr Ldrship Awd</t>
  </si>
  <si>
    <t>Richard &amp; Shirley James Scholarship</t>
  </si>
  <si>
    <t>Three I Design Engineering Schl</t>
  </si>
  <si>
    <t>Daniel &amp; Virginia Sharp Zutt Schl</t>
  </si>
  <si>
    <t>John H Weikel Jr Scholarship</t>
  </si>
  <si>
    <t>Paul &amp; Martha Dunbar Scholarship</t>
  </si>
  <si>
    <t>Jeanne K Barnett Scholarship</t>
  </si>
  <si>
    <t>Baker Theatre Scholarship</t>
  </si>
  <si>
    <t>Springer Endowed Nursing Schl</t>
  </si>
  <si>
    <t>Johnson Journalism Scholarship</t>
  </si>
  <si>
    <t>Provost Scholarship</t>
  </si>
  <si>
    <t>Metzger Scholarship</t>
  </si>
  <si>
    <t>Munger Memorial Scholarship</t>
  </si>
  <si>
    <t>Pott College STEM Scholarship</t>
  </si>
  <si>
    <t>Dunn Chemistry Scholarship</t>
  </si>
  <si>
    <t>Woll-Loeb Scholarship</t>
  </si>
  <si>
    <t>Deeg Music Scholarship</t>
  </si>
  <si>
    <t>Suzanne &amp; Horace Nicholson Schl</t>
  </si>
  <si>
    <t>Brumfield Scholarship</t>
  </si>
  <si>
    <t>Lockhart Hansert Scholarship</t>
  </si>
  <si>
    <t>Haaff Business Scholarship</t>
  </si>
  <si>
    <t>Haaff Nursing &amp; HP Scholarship</t>
  </si>
  <si>
    <t>Haaff Liberal Arts Scholarship</t>
  </si>
  <si>
    <t>Haaff Pott College Scholarship</t>
  </si>
  <si>
    <t>St. Mary's Nursing Scholarship</t>
  </si>
  <si>
    <t>Dr. Bennett Memorial Schl</t>
  </si>
  <si>
    <t>Jochum Memorial Geology Schl</t>
  </si>
  <si>
    <t>Kaffenberger Accounting Schl</t>
  </si>
  <si>
    <t>Bullock Memorial Scholarship</t>
  </si>
  <si>
    <t>McGregor Geology Scholarship</t>
  </si>
  <si>
    <t>Social Work Alum BSW Schl</t>
  </si>
  <si>
    <t>Gregory and Joyce Donaldson Schl</t>
  </si>
  <si>
    <t>Dan Scism Scholarship</t>
  </si>
  <si>
    <t>Goldman Memorial Art Scholarship</t>
  </si>
  <si>
    <t>Benedict Memorial Nursing Schl</t>
  </si>
  <si>
    <t>VJAE Nursing Schl Endowment</t>
  </si>
  <si>
    <t>Risley Mem Scholarship Endowment</t>
  </si>
  <si>
    <t>Hanka Public Admin Grad Schl</t>
  </si>
  <si>
    <t>Hanka Political Science Scholarship</t>
  </si>
  <si>
    <t>SABIC Engineering Scholarship</t>
  </si>
  <si>
    <t>Deaconess Health Sys HP Schl</t>
  </si>
  <si>
    <t>Breivogel Accounting Schl</t>
  </si>
  <si>
    <t>Morton Engineering Scholarship</t>
  </si>
  <si>
    <t>Posey Co Chapter No. 36 DAV Schl</t>
  </si>
  <si>
    <t>James W. Gray Business Scholarship</t>
  </si>
  <si>
    <t>Pam &amp; John Deem New Leader Schl</t>
  </si>
  <si>
    <t>Betty Worthington Endowment Schl</t>
  </si>
  <si>
    <t>Hassee Memorial Scholarship</t>
  </si>
  <si>
    <t>Loretta &amp; Walter Zygmunt Schl</t>
  </si>
  <si>
    <t>Ramsden Family STEM Schl</t>
  </si>
  <si>
    <t>Patricia Schmidt Nursing Schl</t>
  </si>
  <si>
    <t>Empire Contractors Civil Engr Schl</t>
  </si>
  <si>
    <t>Acctg Circle CPA Eligibility Schl</t>
  </si>
  <si>
    <t>Etienne Memorial Scholarship</t>
  </si>
  <si>
    <t>USI Innovative Challenge Schl</t>
  </si>
  <si>
    <t>Mary Pat Hartley MSW Schl</t>
  </si>
  <si>
    <t>Natl Assn of Purchasing Mgmt Schl</t>
  </si>
  <si>
    <t>Social Work Alumni Assn MSW Schl</t>
  </si>
  <si>
    <t>Rick Davis Journalism Mem Schl</t>
  </si>
  <si>
    <t>AICPA Cast Study Team Schl</t>
  </si>
  <si>
    <t>Farless Study Abroad Scholarship</t>
  </si>
  <si>
    <t>Liberal Arts Stdnt Opportunity Schl</t>
  </si>
  <si>
    <t>Steve &amp; Vicki Small Theatre Schl</t>
  </si>
  <si>
    <t>Vectren Diversity Scholarship</t>
  </si>
  <si>
    <t>Barry &amp; Sherrianne Standley Schl</t>
  </si>
  <si>
    <t>Frederick Spahn Nursing Schl</t>
  </si>
  <si>
    <t>Rolland &amp; Phyllis Eckels Schl</t>
  </si>
  <si>
    <t>Cook Scholarship</t>
  </si>
  <si>
    <t>Lambda Nu Theta Chi Scholarship</t>
  </si>
  <si>
    <t>Babb Dental Hygiene Scholarship</t>
  </si>
  <si>
    <t>Horton Scholarship</t>
  </si>
  <si>
    <t>Alexander Joest Memorial Schl</t>
  </si>
  <si>
    <t>Dunbar German Study Abroad Schl</t>
  </si>
  <si>
    <t>William Schmidt Music Scholarship</t>
  </si>
  <si>
    <t>David Moll Memorial TKE Scholarship</t>
  </si>
  <si>
    <t>William R. Grisham Business Schl</t>
  </si>
  <si>
    <t>Nancy Johnson Alumni Scholarship</t>
  </si>
  <si>
    <t>Mary Legler Wilson Science Schl</t>
  </si>
  <si>
    <t>Morton Liberal Arts Scholarship</t>
  </si>
  <si>
    <t>Dippel Scholarship</t>
  </si>
  <si>
    <t>Matthew Graham Poetry Schl</t>
  </si>
  <si>
    <t>Kathryn Waters Painting Schl</t>
  </si>
  <si>
    <t>Eckels USI Community Schl</t>
  </si>
  <si>
    <t>USI Foundation Scholarship</t>
  </si>
  <si>
    <t>Campbell Gray Scholarship</t>
  </si>
  <si>
    <t>College of N &amp; HP Scholarship</t>
  </si>
  <si>
    <t>Soc Work Out BSW Sen Awd</t>
  </si>
  <si>
    <t>William R &amp; Jean N Thompson Schl</t>
  </si>
  <si>
    <t>Medical Professional Schl</t>
  </si>
  <si>
    <t>Med Professional Schl Distinction</t>
  </si>
  <si>
    <t>Jennifer Kleusner Schl</t>
  </si>
  <si>
    <t>Trilogiy Health Svcs Schl</t>
  </si>
  <si>
    <t>Abraham Brown Scholarship</t>
  </si>
  <si>
    <t>Rob A Hon Family Scholarship</t>
  </si>
  <si>
    <t>Olive Carruthers Clifft Travel</t>
  </si>
  <si>
    <t>Empire Contractors Scholar Endow</t>
  </si>
  <si>
    <t>AstraZeneca Mt Vernon STEM Scholar</t>
  </si>
  <si>
    <t>Halee Rathgeber Nursing Mem Scholar</t>
  </si>
  <si>
    <t>Fenderich &amp; Christina Huck Fin Sch</t>
  </si>
  <si>
    <t>Global Leadership Scholarship</t>
  </si>
  <si>
    <t>Pott College Scholarship</t>
  </si>
  <si>
    <t>College of Liberal Arts Scholarship</t>
  </si>
  <si>
    <t>JW Rinks Radio/Television Scholar</t>
  </si>
  <si>
    <t>Browning Grad Studies Scholarship</t>
  </si>
  <si>
    <t>Fehsenfeld Social Work Scholarship</t>
  </si>
  <si>
    <t>W.L. &amp; Charlie Johnson Scholarship</t>
  </si>
  <si>
    <t>Bennett Presidential Scholarship</t>
  </si>
  <si>
    <t>Dr Linda Bennett Student Endow</t>
  </si>
  <si>
    <t>MPA Society Achieve Scholarship</t>
  </si>
  <si>
    <t>Statham Community Engagement</t>
  </si>
  <si>
    <t>USI Foundation Psychology Scholar</t>
  </si>
  <si>
    <t>Karl &amp; Janet Johnson Scholarship</t>
  </si>
  <si>
    <t>Jack Naghdi Scholarship</t>
  </si>
  <si>
    <t>HOLA Scholarship</t>
  </si>
  <si>
    <t>Dr Linda Bennett Endow Scholar</t>
  </si>
  <si>
    <t>Fehsenfeld Graphic Art Scholarship</t>
  </si>
  <si>
    <t>USI Indianapolis Scholarship</t>
  </si>
  <si>
    <t>Carithers Art Scholarship</t>
  </si>
  <si>
    <t>LA Student Opportunity Scholarship</t>
  </si>
  <si>
    <t>John &amp; Kathryn Mosley Scholarship</t>
  </si>
  <si>
    <t>Wilson Informatics Scholar Endow</t>
  </si>
  <si>
    <t>Meyer 89 Mech Engineering Sch</t>
  </si>
  <si>
    <t>David Deeg Memorial Music Scholar</t>
  </si>
  <si>
    <t>McCormick Reitz Scholar Endow</t>
  </si>
  <si>
    <t>McCormick Castle Scholar Endow</t>
  </si>
  <si>
    <t>AWP Harlaxton Study Abroad Scholar</t>
  </si>
  <si>
    <t>OT-OTA Collaboration Scholarship</t>
  </si>
  <si>
    <t>Koewler Family Health Prof Scholar</t>
  </si>
  <si>
    <t>Jacqueline Bower Richards Scholar</t>
  </si>
  <si>
    <t>Communication Studies Alumni School</t>
  </si>
  <si>
    <t>USI Alumni Legacy Scholarship</t>
  </si>
  <si>
    <t>Science Teaching Award</t>
  </si>
  <si>
    <t>Dalrymple-Johansen Leader Schoar</t>
  </si>
  <si>
    <t>International Studies Provost</t>
  </si>
  <si>
    <t>Graduate Studies Provost</t>
  </si>
  <si>
    <t>Judith &amp; Robert Griffin Scholarship</t>
  </si>
  <si>
    <t>Donna Harris Business Scholarship</t>
  </si>
  <si>
    <t>Dewig deJong Design Scholar</t>
  </si>
  <si>
    <t>Healthy Aging &amp; Wellness Scholar</t>
  </si>
  <si>
    <t>Charleen Newman Williamson Scholar</t>
  </si>
  <si>
    <t>Kelsey Shipman '18 Biology Scholar</t>
  </si>
  <si>
    <t>Meredith Grace Opel Mem Scholar</t>
  </si>
  <si>
    <t>Andy &amp; Kate Lannert Accntng Scholar</t>
  </si>
  <si>
    <t>Gene Kennard Geology Scholar</t>
  </si>
  <si>
    <t>Korb Family Business Scholar</t>
  </si>
  <si>
    <t>Engineering Dept Scholar</t>
  </si>
  <si>
    <t>Engineering Emergency Grant</t>
  </si>
  <si>
    <t>Exceptional STEM Transfer Award</t>
  </si>
  <si>
    <t>Most Improved Student Award</t>
  </si>
  <si>
    <t>Outstanding Student Leader Award</t>
  </si>
  <si>
    <t>USI Online Learning Scholar</t>
  </si>
  <si>
    <t>Alex Hurt Memorial Scholar</t>
  </si>
  <si>
    <t>D Melvin Aca Achieve Anthrop</t>
  </si>
  <si>
    <t>D Melvin Recog Awrd Anthrop</t>
  </si>
  <si>
    <t>D Melvin Recog Awrd Crim Just</t>
  </si>
  <si>
    <t>D Melvin Recog Awrd Sociology</t>
  </si>
  <si>
    <t>D Melvin Aca Achieve Sociology</t>
  </si>
  <si>
    <t>W Hopkins Recog Awrd Crim Just</t>
  </si>
  <si>
    <t>J McNaughton Awrd Woodwork</t>
  </si>
  <si>
    <t>Salvatore &amp; Mirabella Achieve</t>
  </si>
  <si>
    <t>Outstanding Theatre Award</t>
  </si>
  <si>
    <t>Hooper Respiratory Award</t>
  </si>
  <si>
    <t>Kuhlenschmidt Clinical Award</t>
  </si>
  <si>
    <t>Most Valuable Peer Award</t>
  </si>
  <si>
    <t>Schisler Prof Awrd Dental Hygn</t>
  </si>
  <si>
    <t>Trustees Distinguish Merit Award</t>
  </si>
  <si>
    <t>Hubbard Prize Business Ethics</t>
  </si>
  <si>
    <t>Sill Geology Field Camp Award</t>
  </si>
  <si>
    <t>Harrison Class of 69 Scholar</t>
  </si>
  <si>
    <t>STEM+CARE Annual Scholar</t>
  </si>
  <si>
    <t>Archibald Eagle Scholarship</t>
  </si>
  <si>
    <t>Archibald Eagle Understudy Scholar</t>
  </si>
  <si>
    <t>J &amp; P Newman Scholarship</t>
  </si>
  <si>
    <t>Lehman Bertram Memorial Scholar</t>
  </si>
  <si>
    <t>Carol Kent Hermes MHA Scholar</t>
  </si>
  <si>
    <t>R &amp; S Hooper Resp Therapy Scholar</t>
  </si>
  <si>
    <t>Project Associates Scholarship</t>
  </si>
  <si>
    <t>Matthew J Reffett CC Scholarship</t>
  </si>
  <si>
    <t>Matsel &amp; Topper Global Comm Scholar</t>
  </si>
  <si>
    <t>Whipple Veterans Scholarship</t>
  </si>
  <si>
    <t>Math Sciences Merit Scholarship</t>
  </si>
  <si>
    <t>Fifth Third Diversity Scholarship</t>
  </si>
  <si>
    <t>Steven Stringer Scholarship</t>
  </si>
  <si>
    <t>R Preston Family Fndtn Scholarship</t>
  </si>
  <si>
    <t>Koch Fndtn Diversity Schlr Endow</t>
  </si>
  <si>
    <t>Dr M Koens Nix PhD Mem Schlr Endow</t>
  </si>
  <si>
    <t>Z Burton '06 '16 STEM Scholarship</t>
  </si>
  <si>
    <t>Melissa Kahn Finance Scholarship</t>
  </si>
  <si>
    <t>MedPro Scholarship</t>
  </si>
  <si>
    <t>Pott College Stu Advsry Board Endow</t>
  </si>
  <si>
    <t>Henry Ruston Scholarship</t>
  </si>
  <si>
    <t>Academic Excellence Scholarship</t>
  </si>
  <si>
    <t>Zygmunt Music Scholarship Endowment</t>
  </si>
  <si>
    <t>Frederking Scholarship Endowment</t>
  </si>
  <si>
    <t>J. Walter Scholarship Endowment</t>
  </si>
  <si>
    <t>Hodges Memoral Golf Scholar Endow</t>
  </si>
  <si>
    <t>Steenberg Family Scholar Endowment</t>
  </si>
  <si>
    <t>DeWitt Browning Accounting Scholar</t>
  </si>
  <si>
    <t>McMichael Engineering Scholar Endow</t>
  </si>
  <si>
    <t>Donaldson Scholarship Endowment</t>
  </si>
  <si>
    <t>Dubord Indianapolis Scholar Endow</t>
  </si>
  <si>
    <t>Private Anderson Memorial Scholar</t>
  </si>
  <si>
    <t>Pendleton Scholarship Endowment</t>
  </si>
  <si>
    <t>Heart to Heart Hospice Foundation</t>
  </si>
  <si>
    <t>Statham Community Engage Scholar</t>
  </si>
  <si>
    <t>Whitney Nursing Scholar Endowment</t>
  </si>
  <si>
    <t>Lannert Pre-Medicine Scholarship</t>
  </si>
  <si>
    <t>Robert Roeder '71 Family Scholar</t>
  </si>
  <si>
    <t>Fredrich &amp; Dieter Engineer Scholar</t>
  </si>
  <si>
    <t>Waitman Literature Scholar Endow</t>
  </si>
  <si>
    <t>Furhmann Literature Scholar Endow</t>
  </si>
  <si>
    <t>Wilhite Memorial Nursing Scholar</t>
  </si>
  <si>
    <t>Lawrence '73 F&amp;N Scholar Endow</t>
  </si>
  <si>
    <t>Class of 1971 Scholar Endowment</t>
  </si>
  <si>
    <t>Heim Nursing Scholarship Endowment</t>
  </si>
  <si>
    <t>Rick Davis Scholarship Endowment</t>
  </si>
  <si>
    <t>Richardt Scholarship Enodwment</t>
  </si>
  <si>
    <t>Tepool Sr Pharmacy Scholarship</t>
  </si>
  <si>
    <t>Durham Memorial Geology Scholarship</t>
  </si>
  <si>
    <t>Charlie Pride Account/CIS Scholar</t>
  </si>
  <si>
    <t>Paul Edward Bennett Scholarshp</t>
  </si>
  <si>
    <t>Tony Travis Memorial CIS Scholar</t>
  </si>
  <si>
    <t>Weng Endow Scholarship in Art</t>
  </si>
  <si>
    <t>Fikeland-Sailer-Calvert Scholarship</t>
  </si>
  <si>
    <t>Seib Scholarship Endowment</t>
  </si>
  <si>
    <t>Parrent Art Scholarship Endowment</t>
  </si>
  <si>
    <t>Pott College Science Fair Scholar</t>
  </si>
  <si>
    <t>Dassel Scholarship Endowment</t>
  </si>
  <si>
    <t>Wargel Scholarship Endowment</t>
  </si>
  <si>
    <t>MacDonell &amp; Shepard Stdy Abrd Endw</t>
  </si>
  <si>
    <t>Whitney Occupational Therapy Endow</t>
  </si>
  <si>
    <t>Strupp Engineering Scholarship</t>
  </si>
  <si>
    <t>Russell Woosley '79 Scholarship</t>
  </si>
  <si>
    <t>Harding Shymanski Account Scholar</t>
  </si>
  <si>
    <t>USI Empowerment Scholarship</t>
  </si>
  <si>
    <t>Dr Black Scholarship Endowment</t>
  </si>
  <si>
    <t>Scholarship Clearing</t>
  </si>
  <si>
    <t>College Panhellenic Council</t>
  </si>
  <si>
    <t>Student Organizations</t>
  </si>
  <si>
    <t>Black Student Union</t>
  </si>
  <si>
    <t>Hogg, Jada</t>
  </si>
  <si>
    <t>Society of Automotive Engineers</t>
  </si>
  <si>
    <t>Amos, Justin</t>
  </si>
  <si>
    <t>Inter-Greek Programming Council</t>
  </si>
  <si>
    <t>Beta Gamma Sigma</t>
  </si>
  <si>
    <t>German Club</t>
  </si>
  <si>
    <t>Berg, Bartell</t>
  </si>
  <si>
    <t>Dental Assisting Students</t>
  </si>
  <si>
    <t>ACS Student Affiliate</t>
  </si>
  <si>
    <t>Human Resources Club</t>
  </si>
  <si>
    <t>Fertig, Jason</t>
  </si>
  <si>
    <t>Williams, Erika</t>
  </si>
  <si>
    <t>Sociology Club</t>
  </si>
  <si>
    <t>Buck, Andrew</t>
  </si>
  <si>
    <t>Williams, Steven</t>
  </si>
  <si>
    <t>Bengert, Sarah</t>
  </si>
  <si>
    <t>Respiratory Therapy Club</t>
  </si>
  <si>
    <t>Sullivan, Kim</t>
  </si>
  <si>
    <t>Psychology Club</t>
  </si>
  <si>
    <t>Eyink, Julie</t>
  </si>
  <si>
    <t>Social Work Club</t>
  </si>
  <si>
    <t>Turner, Wendy</t>
  </si>
  <si>
    <t>Student Nursing Association</t>
  </si>
  <si>
    <t>Kappa Delta Pi Xi Mu Chapter</t>
  </si>
  <si>
    <t>Bartley, Lisa</t>
  </si>
  <si>
    <t>IEEE</t>
  </si>
  <si>
    <t>Chlebowski, Arthur</t>
  </si>
  <si>
    <t>Accounting Club</t>
  </si>
  <si>
    <t>Maier-Lytle, Jeanette</t>
  </si>
  <si>
    <t>Delta Sigma Theta</t>
  </si>
  <si>
    <t>AMA USI Chapter</t>
  </si>
  <si>
    <t>Wanjugu, Sabinah</t>
  </si>
  <si>
    <t>Jankuhn, Nicolas</t>
  </si>
  <si>
    <t>Biology Club</t>
  </si>
  <si>
    <t>Maurice, Henri</t>
  </si>
  <si>
    <t>Chess Club</t>
  </si>
  <si>
    <t>Mosser, Chase</t>
  </si>
  <si>
    <t>Tau Kappa Epsilon</t>
  </si>
  <si>
    <t>Lambda Chi Alpha</t>
  </si>
  <si>
    <t>AIS</t>
  </si>
  <si>
    <t>Shemroske, Kenneth</t>
  </si>
  <si>
    <t>Foroughi, Abbas</t>
  </si>
  <si>
    <t>Ice Hockey Club</t>
  </si>
  <si>
    <t>SADHA</t>
  </si>
  <si>
    <t>Art Club</t>
  </si>
  <si>
    <t>Blair, Gregory</t>
  </si>
  <si>
    <t>Gamma Phi Beta</t>
  </si>
  <si>
    <t>Sigma Theta Tau</t>
  </si>
  <si>
    <t>SETV12</t>
  </si>
  <si>
    <t>Roark, Jessie</t>
  </si>
  <si>
    <t>Student Education Association</t>
  </si>
  <si>
    <t>Sigma Zeta</t>
  </si>
  <si>
    <t>Summers, Brent</t>
  </si>
  <si>
    <t>Phi Alpha</t>
  </si>
  <si>
    <t>International Club</t>
  </si>
  <si>
    <t>Political Science Society</t>
  </si>
  <si>
    <t>Alpha Sigma Alpha</t>
  </si>
  <si>
    <t>Interfraternity Council</t>
  </si>
  <si>
    <t>Speak Eagle Toastmasters</t>
  </si>
  <si>
    <t>Psi Chi</t>
  </si>
  <si>
    <t>SAGA</t>
  </si>
  <si>
    <t>French Club</t>
  </si>
  <si>
    <t>Sigma Tau Delta</t>
  </si>
  <si>
    <t>Popescu Sandu, Oana</t>
  </si>
  <si>
    <t>Kiesel, Julia</t>
  </si>
  <si>
    <t>Student Christian Fellowship</t>
  </si>
  <si>
    <t>Thomas, Pam</t>
  </si>
  <si>
    <t>American Society of Civil Engineers</t>
  </si>
  <si>
    <t>Hall, Kerry</t>
  </si>
  <si>
    <t>Pi Sigma Alpha</t>
  </si>
  <si>
    <t>Order of Omega</t>
  </si>
  <si>
    <t>Delta Zeta</t>
  </si>
  <si>
    <t>College Republicans of USI</t>
  </si>
  <si>
    <t>LaRowe, Nicholas</t>
  </si>
  <si>
    <t>Student Alumni Association</t>
  </si>
  <si>
    <t>Pre-Law Club</t>
  </si>
  <si>
    <t>Ultimate Frisbee Club</t>
  </si>
  <si>
    <t>Hispanic Student Union</t>
  </si>
  <si>
    <t>MSW Social Work Club</t>
  </si>
  <si>
    <t>Writers Union</t>
  </si>
  <si>
    <t>LaFollette-Samson, Kristin</t>
  </si>
  <si>
    <t>Kappa Alpha</t>
  </si>
  <si>
    <t>College Democrats</t>
  </si>
  <si>
    <t>Hardcastle, Edith</t>
  </si>
  <si>
    <t>Philosophy Club</t>
  </si>
  <si>
    <t>Stoll, Mary</t>
  </si>
  <si>
    <t>Circle K International</t>
  </si>
  <si>
    <t>Rugby Club</t>
  </si>
  <si>
    <t>Mu Gamma Pi</t>
  </si>
  <si>
    <t>ROTC Student Fund</t>
  </si>
  <si>
    <t>Alpha Phi Alpha</t>
  </si>
  <si>
    <t>Doss, Dameion</t>
  </si>
  <si>
    <t>Geology Environmental Sciences Club</t>
  </si>
  <si>
    <t>DiPietro, Joseph</t>
  </si>
  <si>
    <t>Scheller, Kent</t>
  </si>
  <si>
    <t>Honors Student Assembly</t>
  </si>
  <si>
    <t>Horn, Jenn</t>
  </si>
  <si>
    <t>Alpha Kappa Psi</t>
  </si>
  <si>
    <t>Society of Physics Students</t>
  </si>
  <si>
    <t>Purcell, Kenny</t>
  </si>
  <si>
    <t>American Advertising Federation</t>
  </si>
  <si>
    <t>Campus Outreach</t>
  </si>
  <si>
    <t>Oeding, Jill</t>
  </si>
  <si>
    <t>Exercise Science Club</t>
  </si>
  <si>
    <t>Weatherholt, Alyssa</t>
  </si>
  <si>
    <t>Sorrells, Darrin</t>
  </si>
  <si>
    <t>Public Relations Society</t>
  </si>
  <si>
    <t>Reese, Mary Beth</t>
  </si>
  <si>
    <t>Beta Alpha Psi</t>
  </si>
  <si>
    <t>Stellar</t>
  </si>
  <si>
    <t>Spanish Club</t>
  </si>
  <si>
    <t>Apodaca-Valdez, Manuel</t>
  </si>
  <si>
    <t>Natl Soc for Collegiate Scholars</t>
  </si>
  <si>
    <t>Phi Alpha Theta History Honor Soc</t>
  </si>
  <si>
    <t>Best Buddies</t>
  </si>
  <si>
    <t>Smothers, Moriah</t>
  </si>
  <si>
    <t>Wilkins, Elizabeth</t>
  </si>
  <si>
    <t>Alpha Psi Omega</t>
  </si>
  <si>
    <t>Jensen, Shan</t>
  </si>
  <si>
    <t>Sigma Pi</t>
  </si>
  <si>
    <t>Student Occupational Therapy Assn</t>
  </si>
  <si>
    <t>South Asian Student Association</t>
  </si>
  <si>
    <t>Baath, Kirat</t>
  </si>
  <si>
    <t>Pre-Professional Health Club</t>
  </si>
  <si>
    <t>Alpha Mu Gamma</t>
  </si>
  <si>
    <t>Cusic, Lauren</t>
  </si>
  <si>
    <t>ASME</t>
  </si>
  <si>
    <t>Field, Brandon</t>
  </si>
  <si>
    <t>Active Minds at USI</t>
  </si>
  <si>
    <t>Todd, Susan</t>
  </si>
  <si>
    <t>Dance Marathon</t>
  </si>
  <si>
    <t>Scheller, Mary</t>
  </si>
  <si>
    <t>USI Japanese Club</t>
  </si>
  <si>
    <t>Hitchcock, David</t>
  </si>
  <si>
    <t>Student Veteran Association</t>
  </si>
  <si>
    <t>Sigma Tau Gamma</t>
  </si>
  <si>
    <t>Optimist Club</t>
  </si>
  <si>
    <t>Chi Alpha Campus Ministry</t>
  </si>
  <si>
    <t>Vegetarian Club</t>
  </si>
  <si>
    <t>MPA Society</t>
  </si>
  <si>
    <t>HOSA Club</t>
  </si>
  <si>
    <t>Alpha Sigma Tau</t>
  </si>
  <si>
    <t>Global Awareness Project</t>
  </si>
  <si>
    <t>Gupta, Sukanya</t>
  </si>
  <si>
    <t>Radiologic Technology Club</t>
  </si>
  <si>
    <t>Schmuck, Heather</t>
  </si>
  <si>
    <t>Williams, Ryan</t>
  </si>
  <si>
    <t>Lambda Nu Theta Chi</t>
  </si>
  <si>
    <t>Alpha Kappa Alpha</t>
  </si>
  <si>
    <t>Women's Ultimate Frisbee</t>
  </si>
  <si>
    <t>Young Life</t>
  </si>
  <si>
    <t>Aviator Esports</t>
  </si>
  <si>
    <t>Smith, Chase</t>
  </si>
  <si>
    <t>Fellowship of Christian Athletes</t>
  </si>
  <si>
    <t>Thirst Project</t>
  </si>
  <si>
    <t>Theuri, Serah</t>
  </si>
  <si>
    <t>Southern Roots Student Growers</t>
  </si>
  <si>
    <t>Sigma Sigma Sigma</t>
  </si>
  <si>
    <t>Graduate Student Professional Ntwk</t>
  </si>
  <si>
    <t>KESHO</t>
  </si>
  <si>
    <t>Students for Life at USI</t>
  </si>
  <si>
    <t>Bueltel, Brett</t>
  </si>
  <si>
    <t>Be the Match on Campus</t>
  </si>
  <si>
    <t>Bennett, Rich</t>
  </si>
  <si>
    <t>Smothers, Jack</t>
  </si>
  <si>
    <t>Timmy Global Health USI Chapter</t>
  </si>
  <si>
    <t>Criminal Justice Student Assoc</t>
  </si>
  <si>
    <t>Association for Computing Machinery</t>
  </si>
  <si>
    <t>Srivastava, Srishti</t>
  </si>
  <si>
    <t>Next Generation Christian</t>
  </si>
  <si>
    <t>Students for Gender Violence Aware</t>
  </si>
  <si>
    <t>Climbing Club at USI</t>
  </si>
  <si>
    <t>Gregory, Mark</t>
  </si>
  <si>
    <t>NAACP USI College Chapter</t>
  </si>
  <si>
    <t>Patterson, Kerseclia</t>
  </si>
  <si>
    <t>Eagles Bass Fishing Team</t>
  </si>
  <si>
    <t>Saudi Student Organization</t>
  </si>
  <si>
    <t>Delight Ministries</t>
  </si>
  <si>
    <t>Carey, Cathy</t>
  </si>
  <si>
    <t>African Student Union</t>
  </si>
  <si>
    <t>Asian Student Organization</t>
  </si>
  <si>
    <t>Love Unites Love Avails</t>
  </si>
  <si>
    <t>Weber, Thomas</t>
  </si>
  <si>
    <t>Cygnets OIG of Gamma Phi Omega</t>
  </si>
  <si>
    <t>Anthropology Club</t>
  </si>
  <si>
    <t>Strezewski, Michael</t>
  </si>
  <si>
    <t>Business Professionals of America</t>
  </si>
  <si>
    <t>Kinney, Kathleen</t>
  </si>
  <si>
    <t>Kovanic, Nancy</t>
  </si>
  <si>
    <t>Student Org Food Service Clearing</t>
  </si>
  <si>
    <t>Venturing Crew 313</t>
  </si>
  <si>
    <t>ACFE Chapter at USI</t>
  </si>
  <si>
    <t>McKnight, Mark</t>
  </si>
  <si>
    <t>Chen, Manfen</t>
  </si>
  <si>
    <t>Women's Rugby</t>
  </si>
  <si>
    <t>Net Impact</t>
  </si>
  <si>
    <t>Lara Gracia, Marco</t>
  </si>
  <si>
    <t>Sigma Iota Rho</t>
  </si>
  <si>
    <t>RCOB Student Advisory Board</t>
  </si>
  <si>
    <t>AIGA USI Design Group</t>
  </si>
  <si>
    <t>Armstrong, Chuck</t>
  </si>
  <si>
    <t>Paris, Dawn</t>
  </si>
  <si>
    <t>Southern Indiana Economics Club</t>
  </si>
  <si>
    <t>Sevastianova, Daria</t>
  </si>
  <si>
    <t>USI Table Top Club</t>
  </si>
  <si>
    <t>Wire, Richard</t>
  </si>
  <si>
    <t>Andrews, Carly</t>
  </si>
  <si>
    <t>Panamanian Association</t>
  </si>
  <si>
    <t>Health Informatics and Info Mgmt</t>
  </si>
  <si>
    <t>Sustain Ability</t>
  </si>
  <si>
    <t>Am College of Health Care Admin</t>
  </si>
  <si>
    <t>Nimkar, Swateja</t>
  </si>
  <si>
    <t>Fein, Joy</t>
  </si>
  <si>
    <t>Engineers In Action</t>
  </si>
  <si>
    <t>Hill, Andrew</t>
  </si>
  <si>
    <t>Screagle Step Team</t>
  </si>
  <si>
    <t>Authentically Me Hair and Culture</t>
  </si>
  <si>
    <t>Eagles in Action</t>
  </si>
  <si>
    <t>Feminist Majority Alliance of USI</t>
  </si>
  <si>
    <t>Hoehn, Shannon</t>
  </si>
  <si>
    <t>Students for Solar Panels</t>
  </si>
  <si>
    <t>Society of Women Engineers</t>
  </si>
  <si>
    <t>Muslim Student Association</t>
  </si>
  <si>
    <t>Greenwood, Eric</t>
  </si>
  <si>
    <t>Bullet Journal Babble</t>
  </si>
  <si>
    <t>Personal Finance and Investing Club</t>
  </si>
  <si>
    <t>Elkhal, Khaled</t>
  </si>
  <si>
    <t>Animal Club</t>
  </si>
  <si>
    <t>Clay Target Club</t>
  </si>
  <si>
    <t>Eagles Fencing Club</t>
  </si>
  <si>
    <t>Outdoor Exploration Club</t>
  </si>
  <si>
    <t>Candid</t>
  </si>
  <si>
    <t>College Life</t>
  </si>
  <si>
    <t>Pre-Dental Club</t>
  </si>
  <si>
    <t>Community Faith Continue</t>
  </si>
  <si>
    <t>Haunt USI</t>
  </si>
  <si>
    <t>Young Americans for Freedom</t>
  </si>
  <si>
    <t>KPop Dance Club</t>
  </si>
  <si>
    <t>Sobriety in College</t>
  </si>
  <si>
    <t>Standiford Reyes, Laurel</t>
  </si>
  <si>
    <t>Pott College Student Advisory Board</t>
  </si>
  <si>
    <t>Athletics Away Game Tickets</t>
  </si>
  <si>
    <t>General Agencies</t>
  </si>
  <si>
    <t>Merit Scholars Enrichment Program</t>
  </si>
  <si>
    <t>Archibald Eagle Food Closet</t>
  </si>
  <si>
    <t>Math Contest</t>
  </si>
  <si>
    <t>Sigma Phi Omega</t>
  </si>
  <si>
    <t>Campus Ministry</t>
  </si>
  <si>
    <t>Administrative Assistants and Assoc</t>
  </si>
  <si>
    <t>Nursing &amp; Health Professions Club</t>
  </si>
  <si>
    <t>Health Plan Fee</t>
  </si>
  <si>
    <t>Biology Study Trip</t>
  </si>
  <si>
    <t>Language Academic Bowl</t>
  </si>
  <si>
    <t>Faw, Bryan</t>
  </si>
  <si>
    <t>High School Media Day</t>
  </si>
  <si>
    <t>Greater Evansville College Fair</t>
  </si>
  <si>
    <t>Academy of Business Economics</t>
  </si>
  <si>
    <t>Destination Indiana</t>
  </si>
  <si>
    <t>USI Retirees</t>
  </si>
  <si>
    <t>Deem, John</t>
  </si>
  <si>
    <t>Housing Reserve</t>
  </si>
  <si>
    <t>Auxilliary System R&amp;R Reserve</t>
  </si>
  <si>
    <t>Housing Furnishings Reserve</t>
  </si>
  <si>
    <t>Housing Debt Reserve</t>
  </si>
  <si>
    <t>Dining Reserve</t>
  </si>
  <si>
    <t>Parking Reserve</t>
  </si>
  <si>
    <t>Auxiliary Facilities Reserve</t>
  </si>
  <si>
    <t>Library Acquisitions Reserve</t>
  </si>
  <si>
    <t>New Harmony Project Reserve</t>
  </si>
  <si>
    <t>Rec &amp; Fitness Center Debt Reserve</t>
  </si>
  <si>
    <t>Rec &amp; Fitness Ctr Expansion Reserve</t>
  </si>
  <si>
    <t>Creative and Print Serv Equip Res</t>
  </si>
  <si>
    <t>Energy Management Controls Reserve</t>
  </si>
  <si>
    <t>Interest Earned on Auxiliary Funds</t>
  </si>
  <si>
    <t>NH Property Disposal Reserve</t>
  </si>
  <si>
    <t>Construction Planning</t>
  </si>
  <si>
    <t>Special Projects</t>
  </si>
  <si>
    <t>Property Purchases/Sales</t>
  </si>
  <si>
    <t>Landscaping and Campus Improvements</t>
  </si>
  <si>
    <t>HP Reno LL First/Second Floors</t>
  </si>
  <si>
    <t>Burgdorf, Gary</t>
  </si>
  <si>
    <t>Beale House Repair and Improv</t>
  </si>
  <si>
    <t>Housing Fiber Optic Upgrade</t>
  </si>
  <si>
    <t>Athletics Facilities Improvements</t>
  </si>
  <si>
    <t>2023 Student Housing Fire System</t>
  </si>
  <si>
    <t>Softball/Baseball/Brdwy Fiber &amp; Cam</t>
  </si>
  <si>
    <t>Add Offices to SEC for Athletics</t>
  </si>
  <si>
    <t>OC Accounting New Offices</t>
  </si>
  <si>
    <t>Oglesby, Madison</t>
  </si>
  <si>
    <t>Daktronics LED Arena Display</t>
  </si>
  <si>
    <t>Orr Center Chiller Replacement</t>
  </si>
  <si>
    <t>Series N Construction</t>
  </si>
  <si>
    <t>University Home Renovations</t>
  </si>
  <si>
    <t>RFWC Storage &amp; Bike Shop</t>
  </si>
  <si>
    <t>New Creative &amp; Print Services Bldg</t>
  </si>
  <si>
    <t>State of Indiana Funding</t>
  </si>
  <si>
    <t>Wellness Center</t>
  </si>
  <si>
    <t>UC West Electrical Transformers</t>
  </si>
  <si>
    <t>HVAC Var Equip and Energy Improv</t>
  </si>
  <si>
    <t>HVAC Bldg Ctrls Replc and Prg Upgds</t>
  </si>
  <si>
    <t>Install LEDs in All Campus Bldgs</t>
  </si>
  <si>
    <t>2023 Education Building Repairs</t>
  </si>
  <si>
    <t>Atheneum HVAC Improvements</t>
  </si>
  <si>
    <t>Cooling Tower 3 Replacement</t>
  </si>
  <si>
    <t>Wright Admin Renovation</t>
  </si>
  <si>
    <t>Health Professions Reno Phase IV</t>
  </si>
  <si>
    <t>Series K 2012</t>
  </si>
  <si>
    <t>Series L-1 2017</t>
  </si>
  <si>
    <t>Series L-2 2017</t>
  </si>
  <si>
    <t>Series L-3 2017</t>
  </si>
  <si>
    <t>Series M 2019</t>
  </si>
  <si>
    <t>Series O 2022</t>
  </si>
  <si>
    <t>Series 2003</t>
  </si>
  <si>
    <t>Series 2006</t>
  </si>
  <si>
    <t>Investment in Plant</t>
  </si>
  <si>
    <t>Educational Buildings General</t>
  </si>
  <si>
    <t>Right to Use Agreements</t>
  </si>
  <si>
    <t>Library Building</t>
  </si>
  <si>
    <t>Kolb Property</t>
  </si>
  <si>
    <t>Paul Grimes Log House</t>
  </si>
  <si>
    <t>Foundation Offices</t>
  </si>
  <si>
    <t>University Home Land</t>
  </si>
  <si>
    <t>McDowell Road Lot &amp; Garage</t>
  </si>
  <si>
    <t>McDowell Road Acerage</t>
  </si>
  <si>
    <t>1161 Schutte Road</t>
  </si>
  <si>
    <t>1222 McDowell Road</t>
  </si>
  <si>
    <t>1001 Schutte Road</t>
  </si>
  <si>
    <t>1111 Schutte Road</t>
  </si>
  <si>
    <t>9330 Charlie Drive</t>
  </si>
  <si>
    <t>815 Schutte</t>
  </si>
  <si>
    <t>1101 Schutte Road</t>
  </si>
  <si>
    <t>1401 Schutte Road</t>
  </si>
  <si>
    <t>8401 Broadway Avenue</t>
  </si>
  <si>
    <t>9351 Farmington Drive</t>
  </si>
  <si>
    <t>821 Mahrenholz Road</t>
  </si>
  <si>
    <t>7401 Mahrenholz Road</t>
  </si>
  <si>
    <t>805 Schutte Road</t>
  </si>
  <si>
    <t>1501 Schutte Road</t>
  </si>
  <si>
    <t>Broadway Recreational Complex</t>
  </si>
  <si>
    <t>1130 McDowell Road</t>
  </si>
  <si>
    <t>Atheneum</t>
  </si>
  <si>
    <t>Maclure Square</t>
  </si>
  <si>
    <t>David Owen Laboratory Site</t>
  </si>
  <si>
    <t>Hidbrader Archives Building</t>
  </si>
  <si>
    <t>West Street Log Cabins</t>
  </si>
  <si>
    <t>Bodmer Lichtenberger Building</t>
  </si>
  <si>
    <t>Salomon Wolf</t>
  </si>
  <si>
    <t>1850s Doctor Office</t>
  </si>
  <si>
    <t>LO Robb Lot</t>
  </si>
  <si>
    <t>Benton Lot</t>
  </si>
  <si>
    <t>Authreith Dunlap House</t>
  </si>
  <si>
    <t>1830 Owen House</t>
  </si>
  <si>
    <t>Keppler House</t>
  </si>
  <si>
    <t>Hop House</t>
  </si>
  <si>
    <t>Murphy Auditorium</t>
  </si>
  <si>
    <t>Wisley Land</t>
  </si>
  <si>
    <t>John Beal House</t>
  </si>
  <si>
    <t>David Lenz House</t>
  </si>
  <si>
    <t>Cooper Shop &amp; Stave Yard</t>
  </si>
  <si>
    <t>Brandenstein House</t>
  </si>
  <si>
    <t>Orchard</t>
  </si>
  <si>
    <t>Jacquess Hall &amp; Parlour</t>
  </si>
  <si>
    <t>Macluria Double Log</t>
  </si>
  <si>
    <t>Goodman House</t>
  </si>
  <si>
    <t>Anderson Lot</t>
  </si>
  <si>
    <t>Theatre Barn</t>
  </si>
  <si>
    <t>Reichert House</t>
  </si>
  <si>
    <t>Maintenance Shop</t>
  </si>
  <si>
    <t>Laundromat</t>
  </si>
  <si>
    <t>Schnee Elliott House</t>
  </si>
  <si>
    <t>Neef House</t>
  </si>
  <si>
    <t>New Harmony School Site</t>
  </si>
  <si>
    <t>St Stephen Church Rectory</t>
  </si>
  <si>
    <t>417 Arthur Street New Harmony</t>
  </si>
  <si>
    <t>Red Bud Park Part 1 New Harmony</t>
  </si>
  <si>
    <t>Red Bud Park Part II New Harmony</t>
  </si>
  <si>
    <t>McDonald Apartments</t>
  </si>
  <si>
    <t>O'Daniel Apartments</t>
  </si>
  <si>
    <t>Land</t>
  </si>
  <si>
    <t>Building Shells</t>
  </si>
  <si>
    <t>Building Roofs</t>
  </si>
  <si>
    <t>Building Utilities</t>
  </si>
  <si>
    <t>Building Internal</t>
  </si>
  <si>
    <t>Guaranteed Energy Performance</t>
  </si>
  <si>
    <t>Parking Lots/Roads/Improvements</t>
  </si>
  <si>
    <t>Infrastructure</t>
  </si>
  <si>
    <t>Transfers In-Athletics</t>
  </si>
  <si>
    <t>Reserve-Athletics</t>
  </si>
  <si>
    <t>COLA Scholarships</t>
  </si>
  <si>
    <t>TCFG Hanka Washington Long Journey</t>
  </si>
  <si>
    <t>Hanka, Matt</t>
  </si>
  <si>
    <t>ECFG Nguyen SW Students in Vietnam</t>
  </si>
  <si>
    <t>Nguyen, Ngoc</t>
  </si>
  <si>
    <t>USGS Purdue Groundwater Subaward</t>
  </si>
  <si>
    <t>IDOE Literacy Endorsement</t>
  </si>
  <si>
    <t>Nance, Simone</t>
  </si>
  <si>
    <t>STUEMPL, fmalldredg</t>
  </si>
  <si>
    <t>CS IHC Heritage Artisans Days 2024</t>
  </si>
  <si>
    <t>IHC Heritage Artisans Days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</si>
</sst>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00"/>
    <numFmt numFmtId="166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5" applyNumberFormat="0" applyAlignment="0" applyProtection="0"/>
    <xf numFmtId="0" fontId="8" fillId="28" borderId="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4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</cellStyleXfs>
  <cellXfs count="21">
    <xf numFmtId="0" fontId="0" fillId="0" borderId="0" xfId="0"/>
    <xf numFmtId="164" fontId="21" fillId="0" borderId="0" xfId="0" applyNumberFormat="1" applyFont="1" applyBorder="1" applyAlignment="1" applyProtection="1">
      <alignment horizontal="right"/>
    </xf>
    <xf numFmtId="164" fontId="21" fillId="0" borderId="0" xfId="0" applyNumberFormat="1" applyFont="1" applyBorder="1" applyAlignment="1" applyProtection="1">
      <alignment horizontal="left"/>
    </xf>
    <xf numFmtId="0" fontId="21" fillId="0" borderId="0" xfId="0" applyFont="1" applyBorder="1"/>
    <xf numFmtId="49" fontId="2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/>
    <xf numFmtId="164" fontId="3" fillId="0" borderId="4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center"/>
    </xf>
    <xf numFmtId="165" fontId="0" fillId="0" borderId="0" xfId="0" applyNumberFormat="1"/>
    <xf numFmtId="49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43" xr:uid="{29419FA6-4D87-4A49-A8B9-6E8CC0B91F7D}"/>
    <cellStyle name="60% - Accent2" xfId="14" builtinId="36" customBuiltin="1"/>
    <cellStyle name="60% - Accent2 2" xfId="44" xr:uid="{FE4BC7B2-2F23-4E62-9571-0D9B912B30D6}"/>
    <cellStyle name="60% - Accent3" xfId="15" builtinId="40" customBuiltin="1"/>
    <cellStyle name="60% - Accent3 2" xfId="45" xr:uid="{1CA85726-B57A-4510-AB1A-69E67EDD7996}"/>
    <cellStyle name="60% - Accent4" xfId="16" builtinId="44" customBuiltin="1"/>
    <cellStyle name="60% - Accent4 2" xfId="46" xr:uid="{CBB3DB18-FD9D-4F96-A4B7-E63A71AF7CE9}"/>
    <cellStyle name="60% - Accent5" xfId="17" builtinId="48" customBuiltin="1"/>
    <cellStyle name="60% - Accent5 2" xfId="47" xr:uid="{A04BA019-B02A-45D8-8627-52143E96C349}"/>
    <cellStyle name="60% - Accent6" xfId="18" builtinId="52" customBuiltin="1"/>
    <cellStyle name="60% - Accent6 2" xfId="48" xr:uid="{4081551B-CEE5-4F89-AF27-612C47550FC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42" xr:uid="{DF743D5E-97EF-45E6-BAB4-27CFE7F1F5A8}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37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ColWidth="8.85546875" defaultRowHeight="15" x14ac:dyDescent="0.25"/>
  <cols>
    <col min="1" max="1" width="11.7109375" style="11" customWidth="1"/>
    <col min="2" max="2" width="6" style="10" customWidth="1"/>
    <col min="3" max="3" width="6.5703125" style="13" customWidth="1"/>
    <col min="4" max="4" width="7.28515625" style="10" customWidth="1"/>
    <col min="5" max="5" width="38.5703125" style="11" customWidth="1"/>
    <col min="6" max="6" width="36.28515625" style="11" customWidth="1"/>
    <col min="7" max="7" width="10.7109375" style="11" customWidth="1"/>
    <col min="8" max="8" width="13.42578125" style="11" customWidth="1"/>
    <col min="9" max="9" width="7" style="11" customWidth="1"/>
    <col min="10" max="10" width="11" style="11" customWidth="1"/>
    <col min="11" max="11" width="30.42578125" style="11" bestFit="1" customWidth="1"/>
    <col min="12" max="12" width="26.85546875" style="11" bestFit="1" customWidth="1"/>
    <col min="13" max="14" width="26.85546875" style="11" customWidth="1"/>
    <col min="15" max="15" width="24.28515625" style="11" customWidth="1"/>
    <col min="16" max="16" width="18.85546875" style="11" bestFit="1" customWidth="1"/>
    <col min="17" max="17" width="18" style="11" customWidth="1"/>
    <col min="18" max="18" width="23.42578125" style="11" customWidth="1"/>
    <col min="19" max="19" width="30.42578125" style="11" bestFit="1" customWidth="1"/>
    <col min="20" max="16384" width="8.85546875" style="11"/>
  </cols>
  <sheetData>
    <row r="1" spans="1:19" customFormat="1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K1" s="12">
        <v>45469</v>
      </c>
      <c r="L1" s="1"/>
      <c r="M1" s="2"/>
      <c r="N1" s="3"/>
      <c r="S1" s="12">
        <v>45469</v>
      </c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"10001"</f>
        <v>10001</v>
      </c>
      <c r="B3" s="14" t="str">
        <f>"00100"</f>
        <v>00100</v>
      </c>
      <c r="C3" s="14" t="str">
        <f>"1400"</f>
        <v>1400</v>
      </c>
      <c r="D3" s="14" t="str">
        <f>"00100"</f>
        <v>00100</v>
      </c>
      <c r="E3" s="14" t="s">
        <v>20</v>
      </c>
      <c r="F3" s="14" t="s">
        <v>21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22</v>
      </c>
      <c r="L3" s="14" t="s">
        <v>23</v>
      </c>
      <c r="P3" s="14" t="s">
        <v>24</v>
      </c>
      <c r="Q3" s="14" t="s">
        <v>25</v>
      </c>
      <c r="R3" s="14" t="s">
        <v>23</v>
      </c>
    </row>
    <row r="4" spans="1:19" s="14" customFormat="1" x14ac:dyDescent="0.25">
      <c r="A4" s="14" t="str">
        <f>"10001"</f>
        <v>10001</v>
      </c>
      <c r="B4" s="14" t="str">
        <f>"00110"</f>
        <v>00110</v>
      </c>
      <c r="C4" s="14" t="str">
        <f>"1400"</f>
        <v>1400</v>
      </c>
      <c r="D4" s="14" t="str">
        <f>"00110"</f>
        <v>00110</v>
      </c>
      <c r="E4" s="14" t="s">
        <v>20</v>
      </c>
      <c r="F4" s="14" t="s">
        <v>26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23</v>
      </c>
      <c r="L4" s="14" t="s">
        <v>22</v>
      </c>
      <c r="P4" s="14" t="s">
        <v>24</v>
      </c>
      <c r="Q4" s="14" t="s">
        <v>25</v>
      </c>
      <c r="R4" s="14" t="s">
        <v>23</v>
      </c>
    </row>
    <row r="5" spans="1:19" s="14" customFormat="1" x14ac:dyDescent="0.25">
      <c r="A5" s="14" t="str">
        <f>"10001"</f>
        <v>10001</v>
      </c>
      <c r="B5" s="14" t="str">
        <f>"00120"</f>
        <v>00120</v>
      </c>
      <c r="C5" s="14" t="str">
        <f>"1400"</f>
        <v>1400</v>
      </c>
      <c r="D5" s="14" t="str">
        <f>"00120"</f>
        <v>00120</v>
      </c>
      <c r="E5" s="14" t="s">
        <v>20</v>
      </c>
      <c r="F5" s="14" t="s">
        <v>27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28</v>
      </c>
      <c r="L5" s="14" t="s">
        <v>29</v>
      </c>
      <c r="M5" s="14" t="s">
        <v>30</v>
      </c>
      <c r="P5" s="14" t="s">
        <v>31</v>
      </c>
      <c r="Q5" s="14" t="s">
        <v>31</v>
      </c>
      <c r="R5" s="14" t="s">
        <v>32</v>
      </c>
    </row>
    <row r="6" spans="1:19" s="14" customFormat="1" x14ac:dyDescent="0.25">
      <c r="A6" s="14" t="str">
        <f>"10001"</f>
        <v>10001</v>
      </c>
      <c r="B6" s="14" t="str">
        <f>"00121"</f>
        <v>00121</v>
      </c>
      <c r="C6" s="14" t="str">
        <f>"1400"</f>
        <v>1400</v>
      </c>
      <c r="D6" s="14" t="str">
        <f>"00121"</f>
        <v>00121</v>
      </c>
      <c r="E6" s="14" t="s">
        <v>20</v>
      </c>
      <c r="F6" s="14" t="s">
        <v>33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34</v>
      </c>
      <c r="P6" s="14" t="s">
        <v>31</v>
      </c>
      <c r="Q6" s="14" t="s">
        <v>25</v>
      </c>
      <c r="R6" s="14" t="s">
        <v>35</v>
      </c>
    </row>
    <row r="7" spans="1:19" s="14" customFormat="1" x14ac:dyDescent="0.25">
      <c r="A7" s="14" t="str">
        <f>"10001"</f>
        <v>10001</v>
      </c>
      <c r="B7" s="14" t="str">
        <f>"00162"</f>
        <v>00162</v>
      </c>
      <c r="C7" s="14" t="str">
        <f>"1400"</f>
        <v>1400</v>
      </c>
      <c r="D7" s="14" t="str">
        <f>"00162"</f>
        <v>00162</v>
      </c>
      <c r="E7" s="14" t="s">
        <v>20</v>
      </c>
      <c r="F7" s="14" t="s">
        <v>36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37</v>
      </c>
      <c r="L7" s="14" t="s">
        <v>38</v>
      </c>
      <c r="P7" s="14" t="s">
        <v>39</v>
      </c>
      <c r="Q7" s="14" t="s">
        <v>25</v>
      </c>
      <c r="R7" s="14" t="s">
        <v>38</v>
      </c>
    </row>
    <row r="8" spans="1:19" s="14" customFormat="1" x14ac:dyDescent="0.25">
      <c r="A8" s="14" t="str">
        <f>"10001"</f>
        <v>10001</v>
      </c>
      <c r="B8" s="14" t="str">
        <f>"00163"</f>
        <v>00163</v>
      </c>
      <c r="C8" s="14" t="str">
        <f>"1400"</f>
        <v>1400</v>
      </c>
      <c r="D8" s="14" t="str">
        <f>"00163"</f>
        <v>00163</v>
      </c>
      <c r="E8" s="14" t="s">
        <v>20</v>
      </c>
      <c r="F8" s="14" t="s">
        <v>40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34</v>
      </c>
      <c r="L8" s="14" t="s">
        <v>25</v>
      </c>
      <c r="P8" s="14" t="s">
        <v>31</v>
      </c>
      <c r="Q8" s="14" t="s">
        <v>25</v>
      </c>
      <c r="R8" s="14" t="s">
        <v>35</v>
      </c>
    </row>
    <row r="9" spans="1:19" s="14" customFormat="1" x14ac:dyDescent="0.25">
      <c r="A9" s="14" t="str">
        <f>"10001"</f>
        <v>10001</v>
      </c>
      <c r="B9" s="14" t="str">
        <f>"00164"</f>
        <v>00164</v>
      </c>
      <c r="C9" s="14" t="str">
        <f>"1400"</f>
        <v>1400</v>
      </c>
      <c r="D9" s="14" t="str">
        <f>"00164"</f>
        <v>00164</v>
      </c>
      <c r="E9" s="14" t="s">
        <v>20</v>
      </c>
      <c r="F9" s="14" t="s">
        <v>41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30</v>
      </c>
      <c r="L9" s="14" t="s">
        <v>42</v>
      </c>
      <c r="P9" s="14" t="s">
        <v>24</v>
      </c>
      <c r="Q9" s="14" t="s">
        <v>25</v>
      </c>
      <c r="R9" s="14" t="s">
        <v>43</v>
      </c>
    </row>
    <row r="10" spans="1:19" s="14" customFormat="1" x14ac:dyDescent="0.25">
      <c r="A10" s="14" t="str">
        <f>"10001"</f>
        <v>10001</v>
      </c>
      <c r="B10" s="14" t="str">
        <f>"01000"</f>
        <v>01000</v>
      </c>
      <c r="C10" s="14" t="str">
        <f>"1400"</f>
        <v>1400</v>
      </c>
      <c r="D10" s="14" t="str">
        <f>"01000"</f>
        <v>01000</v>
      </c>
      <c r="E10" s="14" t="s">
        <v>20</v>
      </c>
      <c r="F10" s="14" t="s">
        <v>44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37</v>
      </c>
      <c r="L10" s="14" t="s">
        <v>38</v>
      </c>
      <c r="P10" s="14" t="s">
        <v>39</v>
      </c>
      <c r="Q10" s="14" t="s">
        <v>25</v>
      </c>
      <c r="R10" s="14" t="s">
        <v>45</v>
      </c>
    </row>
    <row r="11" spans="1:19" s="14" customFormat="1" x14ac:dyDescent="0.25">
      <c r="A11" s="14" t="str">
        <f>"10001"</f>
        <v>10001</v>
      </c>
      <c r="B11" s="14" t="str">
        <f>"01005"</f>
        <v>01005</v>
      </c>
      <c r="C11" s="14" t="str">
        <f>"1400"</f>
        <v>1400</v>
      </c>
      <c r="D11" s="14" t="str">
        <f>"01005"</f>
        <v>01005</v>
      </c>
      <c r="E11" s="14" t="s">
        <v>20</v>
      </c>
      <c r="F11" s="14" t="s">
        <v>46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47</v>
      </c>
      <c r="L11" s="14" t="s">
        <v>23</v>
      </c>
      <c r="P11" s="14" t="s">
        <v>39</v>
      </c>
      <c r="Q11" s="14" t="s">
        <v>25</v>
      </c>
      <c r="R11" s="14" t="s">
        <v>23</v>
      </c>
    </row>
    <row r="12" spans="1:19" s="14" customFormat="1" x14ac:dyDescent="0.25">
      <c r="A12" s="14" t="str">
        <f>"10001"</f>
        <v>10001</v>
      </c>
      <c r="B12" s="14" t="str">
        <f>"01010"</f>
        <v>01010</v>
      </c>
      <c r="C12" s="14" t="str">
        <f>"1400"</f>
        <v>1400</v>
      </c>
      <c r="D12" s="14" t="str">
        <f>"01010"</f>
        <v>01010</v>
      </c>
      <c r="E12" s="14" t="s">
        <v>20</v>
      </c>
      <c r="F12" s="14" t="s">
        <v>51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37</v>
      </c>
      <c r="L12" s="14" t="s">
        <v>34</v>
      </c>
      <c r="P12" s="14" t="s">
        <v>39</v>
      </c>
      <c r="Q12" s="14" t="s">
        <v>25</v>
      </c>
      <c r="R12" s="14" t="s">
        <v>38</v>
      </c>
    </row>
    <row r="13" spans="1:19" s="14" customFormat="1" x14ac:dyDescent="0.25">
      <c r="A13" s="14" t="str">
        <f>"10001"</f>
        <v>10001</v>
      </c>
      <c r="B13" s="14" t="str">
        <f>"01030"</f>
        <v>01030</v>
      </c>
      <c r="C13" s="14" t="str">
        <f>"1600"</f>
        <v>1600</v>
      </c>
      <c r="D13" s="14" t="str">
        <f>"01030"</f>
        <v>01030</v>
      </c>
      <c r="E13" s="14" t="s">
        <v>20</v>
      </c>
      <c r="F13" s="14" t="s">
        <v>52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53</v>
      </c>
      <c r="L13" s="14" t="s">
        <v>54</v>
      </c>
      <c r="M13" s="14" t="s">
        <v>55</v>
      </c>
      <c r="P13" s="14" t="s">
        <v>31</v>
      </c>
      <c r="Q13" s="14" t="s">
        <v>25</v>
      </c>
      <c r="R13" s="14" t="s">
        <v>54</v>
      </c>
    </row>
    <row r="14" spans="1:19" s="14" customFormat="1" x14ac:dyDescent="0.25">
      <c r="A14" s="14" t="str">
        <f>"10001"</f>
        <v>10001</v>
      </c>
      <c r="B14" s="14" t="str">
        <f>"01035"</f>
        <v>01035</v>
      </c>
      <c r="C14" s="14" t="str">
        <f>"1600"</f>
        <v>1600</v>
      </c>
      <c r="D14" s="14" t="str">
        <f>"01035"</f>
        <v>01035</v>
      </c>
      <c r="E14" s="14" t="s">
        <v>20</v>
      </c>
      <c r="F14" s="14" t="s">
        <v>56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53</v>
      </c>
      <c r="L14" s="14" t="s">
        <v>54</v>
      </c>
      <c r="M14" s="14" t="s">
        <v>55</v>
      </c>
      <c r="P14" s="14" t="s">
        <v>31</v>
      </c>
      <c r="Q14" s="14" t="s">
        <v>25</v>
      </c>
      <c r="R14" s="14" t="s">
        <v>54</v>
      </c>
    </row>
    <row r="15" spans="1:19" s="14" customFormat="1" x14ac:dyDescent="0.25">
      <c r="A15" s="14" t="str">
        <f>"10001"</f>
        <v>10001</v>
      </c>
      <c r="B15" s="14" t="str">
        <f>"01040"</f>
        <v>01040</v>
      </c>
      <c r="C15" s="14" t="str">
        <f>"1100"</f>
        <v>1100</v>
      </c>
      <c r="D15" s="14" t="str">
        <f>"01040"</f>
        <v>01040</v>
      </c>
      <c r="E15" s="14" t="s">
        <v>20</v>
      </c>
      <c r="F15" s="14" t="s">
        <v>57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53</v>
      </c>
      <c r="L15" s="14" t="s">
        <v>54</v>
      </c>
      <c r="M15" s="14" t="s">
        <v>55</v>
      </c>
      <c r="N15" s="14" t="s">
        <v>58</v>
      </c>
      <c r="P15" s="14" t="s">
        <v>31</v>
      </c>
      <c r="Q15" s="14" t="s">
        <v>25</v>
      </c>
      <c r="R15" s="14" t="s">
        <v>58</v>
      </c>
    </row>
    <row r="16" spans="1:19" s="14" customFormat="1" x14ac:dyDescent="0.25">
      <c r="A16" s="14" t="str">
        <f>"10001"</f>
        <v>10001</v>
      </c>
      <c r="B16" s="14" t="str">
        <f>"01047"</f>
        <v>01047</v>
      </c>
      <c r="C16" s="14" t="str">
        <f>"1700"</f>
        <v>1700</v>
      </c>
      <c r="D16" s="14" t="str">
        <f>"01047"</f>
        <v>01047</v>
      </c>
      <c r="E16" s="14" t="s">
        <v>20</v>
      </c>
      <c r="F16" s="14" t="s">
        <v>59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53</v>
      </c>
      <c r="L16" s="14" t="s">
        <v>54</v>
      </c>
      <c r="M16" s="14" t="s">
        <v>55</v>
      </c>
      <c r="P16" s="14" t="s">
        <v>31</v>
      </c>
      <c r="Q16" s="14" t="s">
        <v>25</v>
      </c>
      <c r="R16" s="14" t="s">
        <v>60</v>
      </c>
    </row>
    <row r="17" spans="1:18" s="14" customFormat="1" x14ac:dyDescent="0.25">
      <c r="A17" s="14" t="str">
        <f>"10001"</f>
        <v>10001</v>
      </c>
      <c r="B17" s="14" t="str">
        <f>"01080"</f>
        <v>01080</v>
      </c>
      <c r="C17" s="14" t="str">
        <f>"1700"</f>
        <v>1700</v>
      </c>
      <c r="D17" s="14" t="str">
        <f>"01080"</f>
        <v>01080</v>
      </c>
      <c r="E17" s="14" t="s">
        <v>20</v>
      </c>
      <c r="F17" s="14" t="s">
        <v>61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37</v>
      </c>
      <c r="L17" s="14" t="s">
        <v>50</v>
      </c>
      <c r="P17" s="14" t="s">
        <v>31</v>
      </c>
      <c r="Q17" s="14" t="s">
        <v>25</v>
      </c>
      <c r="R17" s="14" t="s">
        <v>38</v>
      </c>
    </row>
    <row r="18" spans="1:18" s="14" customFormat="1" x14ac:dyDescent="0.25">
      <c r="A18" s="14" t="str">
        <f>"10001"</f>
        <v>10001</v>
      </c>
      <c r="B18" s="14" t="str">
        <f>"01090"</f>
        <v>01090</v>
      </c>
      <c r="C18" s="14" t="str">
        <f>"1100"</f>
        <v>1100</v>
      </c>
      <c r="D18" s="14" t="str">
        <f>"01090"</f>
        <v>01090</v>
      </c>
      <c r="E18" s="14" t="s">
        <v>20</v>
      </c>
      <c r="F18" s="14" t="s">
        <v>62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53</v>
      </c>
      <c r="L18" s="14" t="s">
        <v>54</v>
      </c>
      <c r="M18" s="14" t="s">
        <v>55</v>
      </c>
      <c r="P18" s="14" t="s">
        <v>31</v>
      </c>
      <c r="Q18" s="14" t="s">
        <v>25</v>
      </c>
      <c r="R18" s="14" t="s">
        <v>54</v>
      </c>
    </row>
    <row r="19" spans="1:18" s="14" customFormat="1" x14ac:dyDescent="0.25">
      <c r="A19" s="14" t="str">
        <f>"10001"</f>
        <v>10001</v>
      </c>
      <c r="B19" s="14" t="str">
        <f>"01160"</f>
        <v>01160</v>
      </c>
      <c r="C19" s="14" t="str">
        <f>"1600"</f>
        <v>1600</v>
      </c>
      <c r="D19" s="14" t="str">
        <f>"01160"</f>
        <v>01160</v>
      </c>
      <c r="E19" s="14" t="s">
        <v>20</v>
      </c>
      <c r="F19" s="14" t="s">
        <v>63</v>
      </c>
      <c r="G19" s="14" t="str">
        <f>""</f>
        <v/>
      </c>
      <c r="H19" s="14" t="str">
        <f>" 10"</f>
        <v xml:space="preserve"> 10</v>
      </c>
      <c r="I19" s="14">
        <v>0.01</v>
      </c>
      <c r="J19" s="14">
        <v>500</v>
      </c>
      <c r="K19" s="14" t="s">
        <v>64</v>
      </c>
      <c r="P19" s="14" t="s">
        <v>31</v>
      </c>
      <c r="Q19" s="14" t="s">
        <v>25</v>
      </c>
      <c r="R19" s="14" t="s">
        <v>55</v>
      </c>
    </row>
    <row r="20" spans="1:18" s="14" customFormat="1" x14ac:dyDescent="0.25">
      <c r="A20" s="14" t="str">
        <f>"10001"</f>
        <v>10001</v>
      </c>
      <c r="B20" s="14" t="str">
        <f>"01160"</f>
        <v>01160</v>
      </c>
      <c r="C20" s="14" t="str">
        <f>"1600"</f>
        <v>1600</v>
      </c>
      <c r="D20" s="14" t="str">
        <f>"01160"</f>
        <v>01160</v>
      </c>
      <c r="E20" s="14" t="s">
        <v>20</v>
      </c>
      <c r="F20" s="14" t="s">
        <v>63</v>
      </c>
      <c r="G20" s="14" t="str">
        <f>""</f>
        <v/>
      </c>
      <c r="H20" s="14" t="str">
        <f>" 20"</f>
        <v xml:space="preserve"> 20</v>
      </c>
      <c r="I20" s="14">
        <v>500.01</v>
      </c>
      <c r="J20" s="14">
        <v>9999999.9900000002</v>
      </c>
      <c r="K20" s="14" t="s">
        <v>55</v>
      </c>
      <c r="L20" s="14" t="s">
        <v>53</v>
      </c>
      <c r="M20" s="14" t="s">
        <v>54</v>
      </c>
      <c r="P20" s="14" t="s">
        <v>31</v>
      </c>
      <c r="Q20" s="14" t="s">
        <v>25</v>
      </c>
      <c r="R20" s="14" t="s">
        <v>55</v>
      </c>
    </row>
    <row r="21" spans="1:18" s="14" customFormat="1" x14ac:dyDescent="0.25">
      <c r="A21" s="14" t="str">
        <f>"10001"</f>
        <v>10001</v>
      </c>
      <c r="B21" s="14" t="str">
        <f>"01180"</f>
        <v>01180</v>
      </c>
      <c r="C21" s="14" t="str">
        <f>"1100"</f>
        <v>1100</v>
      </c>
      <c r="D21" s="14" t="str">
        <f>"01180"</f>
        <v>01180</v>
      </c>
      <c r="E21" s="14" t="s">
        <v>20</v>
      </c>
      <c r="F21" s="14" t="s">
        <v>65</v>
      </c>
      <c r="G21" s="14" t="str">
        <f>""</f>
        <v/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66</v>
      </c>
      <c r="L21" s="14" t="s">
        <v>50</v>
      </c>
      <c r="M21" s="14" t="s">
        <v>37</v>
      </c>
      <c r="P21" s="14" t="s">
        <v>31</v>
      </c>
      <c r="Q21" s="14" t="s">
        <v>25</v>
      </c>
      <c r="R21" s="14" t="s">
        <v>38</v>
      </c>
    </row>
    <row r="22" spans="1:18" s="14" customFormat="1" x14ac:dyDescent="0.25">
      <c r="A22" s="14" t="str">
        <f>"10001"</f>
        <v>10001</v>
      </c>
      <c r="B22" s="14" t="str">
        <f>"01190"</f>
        <v>01190</v>
      </c>
      <c r="C22" s="14" t="str">
        <f>"1700"</f>
        <v>1700</v>
      </c>
      <c r="D22" s="14" t="str">
        <f>"01190"</f>
        <v>01190</v>
      </c>
      <c r="E22" s="14" t="s">
        <v>20</v>
      </c>
      <c r="F22" s="14" t="s">
        <v>67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53</v>
      </c>
      <c r="L22" s="14" t="s">
        <v>54</v>
      </c>
      <c r="M22" s="14" t="s">
        <v>55</v>
      </c>
      <c r="P22" s="14" t="s">
        <v>31</v>
      </c>
      <c r="Q22" s="14" t="s">
        <v>25</v>
      </c>
      <c r="R22" s="14" t="s">
        <v>54</v>
      </c>
    </row>
    <row r="23" spans="1:18" s="14" customFormat="1" x14ac:dyDescent="0.25">
      <c r="A23" s="14" t="str">
        <f>"10001"</f>
        <v>10001</v>
      </c>
      <c r="B23" s="14" t="str">
        <f>"01200"</f>
        <v>01200</v>
      </c>
      <c r="C23" s="14" t="str">
        <f>"1100"</f>
        <v>1100</v>
      </c>
      <c r="D23" s="14" t="str">
        <f>"01200"</f>
        <v>01200</v>
      </c>
      <c r="E23" s="14" t="s">
        <v>20</v>
      </c>
      <c r="F23" s="14" t="s">
        <v>68</v>
      </c>
      <c r="G23" s="14" t="str">
        <f>""</f>
        <v/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69</v>
      </c>
      <c r="L23" s="14" t="s">
        <v>70</v>
      </c>
      <c r="M23" s="14" t="s">
        <v>71</v>
      </c>
      <c r="P23" s="14" t="s">
        <v>31</v>
      </c>
      <c r="Q23" s="14" t="s">
        <v>25</v>
      </c>
      <c r="R23" s="14" t="s">
        <v>72</v>
      </c>
    </row>
    <row r="24" spans="1:18" s="14" customFormat="1" x14ac:dyDescent="0.25">
      <c r="A24" s="14" t="str">
        <f>"10001"</f>
        <v>10001</v>
      </c>
      <c r="B24" s="14" t="str">
        <f>"01225"</f>
        <v>01225</v>
      </c>
      <c r="C24" s="14" t="str">
        <f>"1300"</f>
        <v>1300</v>
      </c>
      <c r="D24" s="14" t="str">
        <f>"01225"</f>
        <v>01225</v>
      </c>
      <c r="E24" s="14" t="s">
        <v>20</v>
      </c>
      <c r="F24" s="14" t="s">
        <v>73</v>
      </c>
      <c r="G24" s="14" t="str">
        <f>""</f>
        <v/>
      </c>
      <c r="H24" s="14" t="str">
        <f>" 00"</f>
        <v xml:space="preserve"> 00</v>
      </c>
      <c r="I24" s="14">
        <v>0.01</v>
      </c>
      <c r="J24" s="14">
        <v>9999999.9900000002</v>
      </c>
      <c r="K24" s="14" t="s">
        <v>50</v>
      </c>
      <c r="L24" s="14" t="s">
        <v>74</v>
      </c>
      <c r="P24" s="14" t="s">
        <v>31</v>
      </c>
      <c r="Q24" s="14" t="s">
        <v>25</v>
      </c>
      <c r="R24" s="14" t="s">
        <v>74</v>
      </c>
    </row>
    <row r="25" spans="1:18" s="14" customFormat="1" x14ac:dyDescent="0.25">
      <c r="A25" s="14" t="str">
        <f>"10001"</f>
        <v>10001</v>
      </c>
      <c r="B25" s="14" t="str">
        <f>"01230"</f>
        <v>01230</v>
      </c>
      <c r="C25" s="14" t="str">
        <f>"1300"</f>
        <v>1300</v>
      </c>
      <c r="D25" s="14" t="str">
        <f>"01230"</f>
        <v>01230</v>
      </c>
      <c r="E25" s="14" t="s">
        <v>20</v>
      </c>
      <c r="F25" s="14" t="s">
        <v>75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76</v>
      </c>
      <c r="L25" s="14" t="s">
        <v>77</v>
      </c>
      <c r="M25" s="14" t="s">
        <v>78</v>
      </c>
      <c r="P25" s="14" t="s">
        <v>31</v>
      </c>
      <c r="Q25" s="14" t="s">
        <v>25</v>
      </c>
      <c r="R25" s="14" t="s">
        <v>79</v>
      </c>
    </row>
    <row r="26" spans="1:18" s="14" customFormat="1" x14ac:dyDescent="0.25">
      <c r="A26" s="14" t="str">
        <f>"10001"</f>
        <v>10001</v>
      </c>
      <c r="B26" s="14" t="str">
        <f>"01240"</f>
        <v>01240</v>
      </c>
      <c r="C26" s="14" t="str">
        <f>"1400"</f>
        <v>1400</v>
      </c>
      <c r="D26" s="14" t="str">
        <f>"01240"</f>
        <v>01240</v>
      </c>
      <c r="E26" s="14" t="s">
        <v>20</v>
      </c>
      <c r="F26" s="14" t="s">
        <v>80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81</v>
      </c>
      <c r="L26" s="14" t="s">
        <v>37</v>
      </c>
      <c r="P26" s="14" t="s">
        <v>31</v>
      </c>
      <c r="Q26" s="14" t="s">
        <v>25</v>
      </c>
      <c r="R26" s="14" t="s">
        <v>81</v>
      </c>
    </row>
    <row r="27" spans="1:18" s="14" customFormat="1" x14ac:dyDescent="0.25">
      <c r="A27" s="14" t="str">
        <f>"10001"</f>
        <v>10001</v>
      </c>
      <c r="B27" s="14" t="str">
        <f>"01241"</f>
        <v>01241</v>
      </c>
      <c r="C27" s="14" t="str">
        <f>"1300"</f>
        <v>1300</v>
      </c>
      <c r="D27" s="14" t="str">
        <f>"01241"</f>
        <v>01241</v>
      </c>
      <c r="E27" s="14" t="s">
        <v>20</v>
      </c>
      <c r="F27" s="14" t="s">
        <v>82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83</v>
      </c>
      <c r="L27" s="14" t="s">
        <v>37</v>
      </c>
      <c r="M27" s="14" t="s">
        <v>84</v>
      </c>
      <c r="P27" s="14" t="s">
        <v>31</v>
      </c>
      <c r="Q27" s="14" t="s">
        <v>25</v>
      </c>
      <c r="R27" s="14" t="s">
        <v>38</v>
      </c>
    </row>
    <row r="28" spans="1:18" s="14" customFormat="1" x14ac:dyDescent="0.25">
      <c r="A28" s="14" t="str">
        <f>"10001"</f>
        <v>10001</v>
      </c>
      <c r="B28" s="14" t="str">
        <f>"01242"</f>
        <v>01242</v>
      </c>
      <c r="C28" s="14" t="str">
        <f>"1300"</f>
        <v>1300</v>
      </c>
      <c r="D28" s="14" t="str">
        <f>"01242"</f>
        <v>01242</v>
      </c>
      <c r="E28" s="14" t="s">
        <v>20</v>
      </c>
      <c r="F28" s="14" t="s">
        <v>85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37</v>
      </c>
      <c r="L28" s="14" t="s">
        <v>34</v>
      </c>
      <c r="P28" s="14" t="s">
        <v>39</v>
      </c>
      <c r="Q28" s="14" t="s">
        <v>25</v>
      </c>
      <c r="R28" s="14" t="s">
        <v>38</v>
      </c>
    </row>
    <row r="29" spans="1:18" s="14" customFormat="1" x14ac:dyDescent="0.25">
      <c r="A29" s="14" t="str">
        <f>"10001"</f>
        <v>10001</v>
      </c>
      <c r="B29" s="14" t="str">
        <f>"01250"</f>
        <v>01250</v>
      </c>
      <c r="C29" s="14" t="str">
        <f>"1300"</f>
        <v>1300</v>
      </c>
      <c r="D29" s="14" t="str">
        <f>"01250"</f>
        <v>01250</v>
      </c>
      <c r="E29" s="14" t="s">
        <v>20</v>
      </c>
      <c r="F29" s="14" t="s">
        <v>86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37</v>
      </c>
      <c r="L29" s="14" t="s">
        <v>601</v>
      </c>
      <c r="P29" s="14" t="s">
        <v>39</v>
      </c>
      <c r="Q29" s="14" t="s">
        <v>25</v>
      </c>
      <c r="R29" s="14" t="s">
        <v>38</v>
      </c>
    </row>
    <row r="30" spans="1:18" s="14" customFormat="1" x14ac:dyDescent="0.25">
      <c r="A30" s="14" t="str">
        <f>"10001"</f>
        <v>10001</v>
      </c>
      <c r="B30" s="14" t="str">
        <f>"01260"</f>
        <v>01260</v>
      </c>
      <c r="C30" s="14" t="str">
        <f>"1100"</f>
        <v>1100</v>
      </c>
      <c r="D30" s="14" t="str">
        <f>"01260"</f>
        <v>01260</v>
      </c>
      <c r="E30" s="14" t="s">
        <v>20</v>
      </c>
      <c r="F30" s="14" t="s">
        <v>87</v>
      </c>
      <c r="G30" s="14" t="str">
        <f>""</f>
        <v/>
      </c>
      <c r="H30" s="14" t="str">
        <f>" 10"</f>
        <v xml:space="preserve"> 10</v>
      </c>
      <c r="I30" s="14">
        <v>0.01</v>
      </c>
      <c r="J30" s="14">
        <v>500</v>
      </c>
      <c r="K30" s="14" t="s">
        <v>88</v>
      </c>
      <c r="P30" s="14" t="s">
        <v>31</v>
      </c>
      <c r="Q30" s="14" t="s">
        <v>25</v>
      </c>
      <c r="R30" s="14" t="s">
        <v>89</v>
      </c>
    </row>
    <row r="31" spans="1:18" s="14" customFormat="1" x14ac:dyDescent="0.25">
      <c r="A31" s="14" t="str">
        <f>"10001"</f>
        <v>10001</v>
      </c>
      <c r="B31" s="14" t="str">
        <f>"01260"</f>
        <v>01260</v>
      </c>
      <c r="C31" s="14" t="str">
        <f>"1100"</f>
        <v>1100</v>
      </c>
      <c r="D31" s="14" t="str">
        <f>"01260"</f>
        <v>01260</v>
      </c>
      <c r="E31" s="14" t="s">
        <v>20</v>
      </c>
      <c r="F31" s="14" t="s">
        <v>87</v>
      </c>
      <c r="G31" s="14" t="str">
        <f>""</f>
        <v/>
      </c>
      <c r="H31" s="14" t="str">
        <f>" 20"</f>
        <v xml:space="preserve"> 20</v>
      </c>
      <c r="I31" s="14">
        <v>500.01</v>
      </c>
      <c r="J31" s="14">
        <v>9999999.9900000002</v>
      </c>
      <c r="K31" s="14" t="s">
        <v>90</v>
      </c>
      <c r="L31" s="14" t="s">
        <v>88</v>
      </c>
      <c r="P31" s="14" t="s">
        <v>31</v>
      </c>
      <c r="Q31" s="14" t="s">
        <v>25</v>
      </c>
      <c r="R31" s="14" t="s">
        <v>89</v>
      </c>
    </row>
    <row r="32" spans="1:18" s="14" customFormat="1" x14ac:dyDescent="0.25">
      <c r="A32" s="14" t="str">
        <f>"10001"</f>
        <v>10001</v>
      </c>
      <c r="B32" s="14" t="str">
        <f>"01270"</f>
        <v>01270</v>
      </c>
      <c r="C32" s="14" t="str">
        <f>"1100"</f>
        <v>1100</v>
      </c>
      <c r="D32" s="14" t="str">
        <f>"01270"</f>
        <v>01270</v>
      </c>
      <c r="E32" s="14" t="s">
        <v>20</v>
      </c>
      <c r="F32" s="14" t="s">
        <v>91</v>
      </c>
      <c r="G32" s="14" t="str">
        <f>""</f>
        <v/>
      </c>
      <c r="H32" s="14" t="str">
        <f>" 10"</f>
        <v xml:space="preserve"> 10</v>
      </c>
      <c r="I32" s="14">
        <v>0.01</v>
      </c>
      <c r="J32" s="14">
        <v>500</v>
      </c>
      <c r="K32" s="14" t="s">
        <v>88</v>
      </c>
      <c r="P32" s="14" t="s">
        <v>31</v>
      </c>
      <c r="Q32" s="14" t="s">
        <v>25</v>
      </c>
      <c r="R32" s="14" t="s">
        <v>89</v>
      </c>
    </row>
    <row r="33" spans="1:18" s="14" customFormat="1" x14ac:dyDescent="0.25">
      <c r="A33" s="14" t="str">
        <f>"10001"</f>
        <v>10001</v>
      </c>
      <c r="B33" s="14" t="str">
        <f>"01270"</f>
        <v>01270</v>
      </c>
      <c r="C33" s="14" t="str">
        <f>"1100"</f>
        <v>1100</v>
      </c>
      <c r="D33" s="14" t="str">
        <f>"01270"</f>
        <v>01270</v>
      </c>
      <c r="E33" s="14" t="s">
        <v>20</v>
      </c>
      <c r="F33" s="14" t="s">
        <v>91</v>
      </c>
      <c r="G33" s="14" t="str">
        <f>""</f>
        <v/>
      </c>
      <c r="H33" s="14" t="str">
        <f>" 20"</f>
        <v xml:space="preserve"> 20</v>
      </c>
      <c r="I33" s="14">
        <v>500.01</v>
      </c>
      <c r="J33" s="14">
        <v>9999999.9900000002</v>
      </c>
      <c r="K33" s="14" t="s">
        <v>90</v>
      </c>
      <c r="L33" s="14" t="s">
        <v>88</v>
      </c>
      <c r="P33" s="14" t="s">
        <v>31</v>
      </c>
      <c r="Q33" s="14" t="s">
        <v>25</v>
      </c>
      <c r="R33" s="14" t="s">
        <v>89</v>
      </c>
    </row>
    <row r="34" spans="1:18" s="14" customFormat="1" x14ac:dyDescent="0.25">
      <c r="A34" s="14" t="str">
        <f>"10001"</f>
        <v>10001</v>
      </c>
      <c r="B34" s="14" t="str">
        <f>"01285"</f>
        <v>01285</v>
      </c>
      <c r="C34" s="14" t="str">
        <f>"1700"</f>
        <v>1700</v>
      </c>
      <c r="D34" s="14" t="str">
        <f>"01285"</f>
        <v>01285</v>
      </c>
      <c r="E34" s="14" t="s">
        <v>20</v>
      </c>
      <c r="F34" s="14" t="s">
        <v>92</v>
      </c>
      <c r="G34" s="14" t="str">
        <f>""</f>
        <v/>
      </c>
      <c r="H34" s="14" t="str">
        <f>" 00"</f>
        <v xml:space="preserve"> 00</v>
      </c>
      <c r="I34" s="14">
        <v>0.01</v>
      </c>
      <c r="J34" s="14">
        <v>9999999.9900000002</v>
      </c>
      <c r="K34" s="14" t="s">
        <v>37</v>
      </c>
      <c r="L34" s="14" t="s">
        <v>93</v>
      </c>
      <c r="P34" s="14" t="s">
        <v>39</v>
      </c>
      <c r="Q34" s="14" t="s">
        <v>25</v>
      </c>
      <c r="R34" s="14" t="s">
        <v>94</v>
      </c>
    </row>
    <row r="35" spans="1:18" s="14" customFormat="1" x14ac:dyDescent="0.25">
      <c r="A35" s="14" t="str">
        <f>"10001"</f>
        <v>10001</v>
      </c>
      <c r="B35" s="14" t="str">
        <f>"01290"</f>
        <v>01290</v>
      </c>
      <c r="C35" s="14" t="str">
        <f>"1300"</f>
        <v>1300</v>
      </c>
      <c r="D35" s="14" t="str">
        <f>"01290"</f>
        <v>01290</v>
      </c>
      <c r="E35" s="14" t="s">
        <v>20</v>
      </c>
      <c r="F35" s="14" t="s">
        <v>95</v>
      </c>
      <c r="G35" s="14" t="str">
        <f>""</f>
        <v/>
      </c>
      <c r="H35" s="14" t="str">
        <f>" 00"</f>
        <v xml:space="preserve"> 00</v>
      </c>
      <c r="I35" s="14">
        <v>0.01</v>
      </c>
      <c r="J35" s="14">
        <v>9999999.9900000002</v>
      </c>
      <c r="K35" s="14" t="s">
        <v>83</v>
      </c>
      <c r="L35" s="14" t="s">
        <v>37</v>
      </c>
      <c r="M35" s="14" t="s">
        <v>38</v>
      </c>
      <c r="P35" s="14" t="s">
        <v>39</v>
      </c>
      <c r="Q35" s="14" t="s">
        <v>25</v>
      </c>
      <c r="R35" s="14" t="s">
        <v>38</v>
      </c>
    </row>
    <row r="36" spans="1:18" s="14" customFormat="1" x14ac:dyDescent="0.25">
      <c r="A36" s="14" t="str">
        <f>"10001"</f>
        <v>10001</v>
      </c>
      <c r="B36" s="14" t="str">
        <f>"01300"</f>
        <v>01300</v>
      </c>
      <c r="C36" s="14" t="str">
        <f>"1300"</f>
        <v>1300</v>
      </c>
      <c r="D36" s="14" t="str">
        <f>"01300"</f>
        <v>01300</v>
      </c>
      <c r="E36" s="14" t="s">
        <v>20</v>
      </c>
      <c r="F36" s="14" t="s">
        <v>96</v>
      </c>
      <c r="G36" s="14" t="str">
        <f>""</f>
        <v/>
      </c>
      <c r="H36" s="14" t="str">
        <f>" 00"</f>
        <v xml:space="preserve"> 00</v>
      </c>
      <c r="I36" s="14">
        <v>0.01</v>
      </c>
      <c r="J36" s="14">
        <v>9999999.9900000002</v>
      </c>
      <c r="K36" s="14" t="s">
        <v>48</v>
      </c>
      <c r="L36" s="14" t="s">
        <v>97</v>
      </c>
      <c r="M36" s="14" t="s">
        <v>98</v>
      </c>
      <c r="P36" s="14" t="s">
        <v>39</v>
      </c>
      <c r="Q36" s="14" t="s">
        <v>25</v>
      </c>
      <c r="R36" s="14" t="s">
        <v>49</v>
      </c>
    </row>
    <row r="37" spans="1:18" s="14" customFormat="1" x14ac:dyDescent="0.25">
      <c r="A37" s="14" t="str">
        <f>"10001"</f>
        <v>10001</v>
      </c>
      <c r="B37" s="14" t="str">
        <f>"01305"</f>
        <v>01305</v>
      </c>
      <c r="C37" s="14" t="str">
        <f>"1300"</f>
        <v>1300</v>
      </c>
      <c r="D37" s="14" t="str">
        <f>"01305"</f>
        <v>01305</v>
      </c>
      <c r="E37" s="14" t="s">
        <v>20</v>
      </c>
      <c r="F37" s="14" t="s">
        <v>99</v>
      </c>
      <c r="G37" s="14" t="str">
        <f>""</f>
        <v/>
      </c>
      <c r="H37" s="14" t="str">
        <f>" 10"</f>
        <v xml:space="preserve"> 10</v>
      </c>
      <c r="I37" s="14">
        <v>0.01</v>
      </c>
      <c r="J37" s="14">
        <v>500</v>
      </c>
      <c r="K37" s="14" t="s">
        <v>100</v>
      </c>
      <c r="P37" s="14" t="s">
        <v>31</v>
      </c>
      <c r="Q37" s="14" t="s">
        <v>25</v>
      </c>
      <c r="R37" s="14" t="s">
        <v>90</v>
      </c>
    </row>
    <row r="38" spans="1:18" s="14" customFormat="1" x14ac:dyDescent="0.25">
      <c r="A38" s="14" t="str">
        <f>"10001"</f>
        <v>10001</v>
      </c>
      <c r="B38" s="14" t="str">
        <f>"01305"</f>
        <v>01305</v>
      </c>
      <c r="C38" s="14" t="str">
        <f>"1300"</f>
        <v>1300</v>
      </c>
      <c r="D38" s="14" t="str">
        <f>"01305"</f>
        <v>01305</v>
      </c>
      <c r="E38" s="14" t="s">
        <v>20</v>
      </c>
      <c r="F38" s="14" t="s">
        <v>99</v>
      </c>
      <c r="G38" s="14" t="str">
        <f>""</f>
        <v/>
      </c>
      <c r="H38" s="14" t="str">
        <f>" 20"</f>
        <v xml:space="preserve"> 20</v>
      </c>
      <c r="I38" s="14">
        <v>500.01</v>
      </c>
      <c r="J38" s="14">
        <v>9999999.9900000002</v>
      </c>
      <c r="K38" s="14" t="s">
        <v>90</v>
      </c>
      <c r="L38" s="14" t="s">
        <v>100</v>
      </c>
      <c r="P38" s="14" t="s">
        <v>31</v>
      </c>
      <c r="Q38" s="14" t="s">
        <v>25</v>
      </c>
      <c r="R38" s="14" t="s">
        <v>90</v>
      </c>
    </row>
    <row r="39" spans="1:18" s="14" customFormat="1" x14ac:dyDescent="0.25">
      <c r="A39" s="14" t="str">
        <f>"10001"</f>
        <v>10001</v>
      </c>
      <c r="B39" s="14" t="str">
        <f>"01310"</f>
        <v>01310</v>
      </c>
      <c r="C39" s="14" t="str">
        <f>"1100"</f>
        <v>1100</v>
      </c>
      <c r="D39" s="14" t="str">
        <f>"01310"</f>
        <v>01310</v>
      </c>
      <c r="E39" s="14" t="s">
        <v>20</v>
      </c>
      <c r="F39" s="14" t="s">
        <v>101</v>
      </c>
      <c r="G39" s="14" t="str">
        <f>""</f>
        <v/>
      </c>
      <c r="H39" s="14" t="str">
        <f>" 00"</f>
        <v xml:space="preserve"> 00</v>
      </c>
      <c r="I39" s="14">
        <v>0.01</v>
      </c>
      <c r="J39" s="14">
        <v>9999999.9900000002</v>
      </c>
      <c r="K39" s="14" t="s">
        <v>102</v>
      </c>
      <c r="L39" s="14" t="s">
        <v>48</v>
      </c>
      <c r="M39" s="14" t="s">
        <v>97</v>
      </c>
      <c r="N39" s="14" t="s">
        <v>98</v>
      </c>
      <c r="P39" s="14" t="s">
        <v>39</v>
      </c>
      <c r="Q39" s="14" t="s">
        <v>25</v>
      </c>
      <c r="R39" s="14" t="s">
        <v>49</v>
      </c>
    </row>
    <row r="40" spans="1:18" s="14" customFormat="1" x14ac:dyDescent="0.25">
      <c r="A40" s="14" t="str">
        <f>"10001"</f>
        <v>10001</v>
      </c>
      <c r="B40" s="14" t="str">
        <f>"01320"</f>
        <v>01320</v>
      </c>
      <c r="C40" s="14" t="str">
        <f>"1100"</f>
        <v>1100</v>
      </c>
      <c r="D40" s="14" t="str">
        <f>"01320"</f>
        <v>01320</v>
      </c>
      <c r="E40" s="14" t="s">
        <v>20</v>
      </c>
      <c r="F40" s="14" t="s">
        <v>103</v>
      </c>
      <c r="G40" s="14" t="str">
        <f>""</f>
        <v/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48</v>
      </c>
      <c r="L40" s="14" t="s">
        <v>97</v>
      </c>
      <c r="M40" s="14" t="s">
        <v>98</v>
      </c>
      <c r="P40" s="14" t="s">
        <v>39</v>
      </c>
      <c r="Q40" s="14" t="s">
        <v>25</v>
      </c>
      <c r="R40" s="14" t="s">
        <v>49</v>
      </c>
    </row>
    <row r="41" spans="1:18" s="14" customFormat="1" x14ac:dyDescent="0.25">
      <c r="A41" s="14" t="str">
        <f>"10001"</f>
        <v>10001</v>
      </c>
      <c r="B41" s="14" t="str">
        <f>"01325"</f>
        <v>01325</v>
      </c>
      <c r="C41" s="14" t="str">
        <f>"1100"</f>
        <v>1100</v>
      </c>
      <c r="D41" s="14" t="str">
        <f>"01325"</f>
        <v>01325</v>
      </c>
      <c r="E41" s="14" t="s">
        <v>20</v>
      </c>
      <c r="F41" s="14" t="s">
        <v>104</v>
      </c>
      <c r="G41" s="14" t="str">
        <f>""</f>
        <v/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48</v>
      </c>
      <c r="L41" s="14" t="s">
        <v>97</v>
      </c>
      <c r="M41" s="14" t="s">
        <v>98</v>
      </c>
      <c r="P41" s="14" t="s">
        <v>39</v>
      </c>
      <c r="Q41" s="14" t="s">
        <v>25</v>
      </c>
      <c r="R41" s="14" t="s">
        <v>49</v>
      </c>
    </row>
    <row r="42" spans="1:18" s="14" customFormat="1" x14ac:dyDescent="0.25">
      <c r="A42" s="14" t="str">
        <f>"10001"</f>
        <v>10001</v>
      </c>
      <c r="B42" s="14" t="str">
        <f>"01330"</f>
        <v>01330</v>
      </c>
      <c r="C42" s="14" t="str">
        <f>"1100"</f>
        <v>1100</v>
      </c>
      <c r="D42" s="14" t="str">
        <f>"01330"</f>
        <v>01330</v>
      </c>
      <c r="E42" s="14" t="s">
        <v>20</v>
      </c>
      <c r="F42" s="14" t="s">
        <v>105</v>
      </c>
      <c r="G42" s="14" t="str">
        <f>""</f>
        <v/>
      </c>
      <c r="H42" s="14" t="str">
        <f>" 00"</f>
        <v xml:space="preserve"> 00</v>
      </c>
      <c r="I42" s="14">
        <v>0.01</v>
      </c>
      <c r="J42" s="14">
        <v>9999999.9900000002</v>
      </c>
      <c r="K42" s="14" t="s">
        <v>106</v>
      </c>
      <c r="L42" s="14" t="s">
        <v>48</v>
      </c>
      <c r="M42" s="14" t="s">
        <v>97</v>
      </c>
      <c r="N42" s="14" t="s">
        <v>98</v>
      </c>
      <c r="P42" s="14" t="s">
        <v>39</v>
      </c>
      <c r="Q42" s="14" t="s">
        <v>25</v>
      </c>
      <c r="R42" s="14" t="s">
        <v>49</v>
      </c>
    </row>
    <row r="43" spans="1:18" s="14" customFormat="1" x14ac:dyDescent="0.25">
      <c r="A43" s="14" t="str">
        <f>"10001"</f>
        <v>10001</v>
      </c>
      <c r="B43" s="14" t="str">
        <f>"01341"</f>
        <v>01341</v>
      </c>
      <c r="C43" s="14" t="str">
        <f>"1100"</f>
        <v>1100</v>
      </c>
      <c r="D43" s="14" t="str">
        <f>"01341"</f>
        <v>01341</v>
      </c>
      <c r="E43" s="14" t="s">
        <v>20</v>
      </c>
      <c r="F43" s="14" t="s">
        <v>107</v>
      </c>
      <c r="G43" s="14" t="str">
        <f>""</f>
        <v/>
      </c>
      <c r="H43" s="14" t="str">
        <f>" 00"</f>
        <v xml:space="preserve"> 00</v>
      </c>
      <c r="I43" s="14">
        <v>0.01</v>
      </c>
      <c r="J43" s="14">
        <v>9999999.9900000002</v>
      </c>
      <c r="K43" s="14" t="s">
        <v>48</v>
      </c>
      <c r="L43" s="14" t="s">
        <v>97</v>
      </c>
      <c r="M43" s="14" t="s">
        <v>98</v>
      </c>
      <c r="P43" s="14" t="s">
        <v>39</v>
      </c>
      <c r="Q43" s="14" t="s">
        <v>25</v>
      </c>
      <c r="R43" s="14" t="s">
        <v>49</v>
      </c>
    </row>
    <row r="44" spans="1:18" s="14" customFormat="1" x14ac:dyDescent="0.25">
      <c r="A44" s="14" t="str">
        <f>"10001"</f>
        <v>10001</v>
      </c>
      <c r="B44" s="14" t="str">
        <f>"01370"</f>
        <v>01370</v>
      </c>
      <c r="C44" s="14" t="str">
        <f>"1100"</f>
        <v>1100</v>
      </c>
      <c r="D44" s="14" t="str">
        <f>"01370"</f>
        <v>01370</v>
      </c>
      <c r="E44" s="14" t="s">
        <v>20</v>
      </c>
      <c r="F44" s="14" t="s">
        <v>108</v>
      </c>
      <c r="G44" s="14" t="str">
        <f>""</f>
        <v/>
      </c>
      <c r="H44" s="14" t="str">
        <f>" 00"</f>
        <v xml:space="preserve"> 00</v>
      </c>
      <c r="I44" s="14">
        <v>0.01</v>
      </c>
      <c r="J44" s="14">
        <v>9999999.9900000002</v>
      </c>
      <c r="K44" s="14" t="s">
        <v>69</v>
      </c>
      <c r="L44" s="14" t="s">
        <v>109</v>
      </c>
      <c r="M44" s="14" t="s">
        <v>70</v>
      </c>
      <c r="N44" s="14" t="s">
        <v>71</v>
      </c>
      <c r="P44" s="14" t="s">
        <v>31</v>
      </c>
      <c r="Q44" s="14" t="s">
        <v>25</v>
      </c>
      <c r="R44" s="14" t="s">
        <v>109</v>
      </c>
    </row>
    <row r="45" spans="1:18" s="14" customFormat="1" x14ac:dyDescent="0.25">
      <c r="A45" s="14" t="str">
        <f>"10001"</f>
        <v>10001</v>
      </c>
      <c r="B45" s="14" t="str">
        <f>"01380"</f>
        <v>01380</v>
      </c>
      <c r="C45" s="14" t="str">
        <f>"1100"</f>
        <v>1100</v>
      </c>
      <c r="D45" s="14" t="str">
        <f>"01380"</f>
        <v>01380</v>
      </c>
      <c r="E45" s="14" t="s">
        <v>20</v>
      </c>
      <c r="F45" s="14" t="s">
        <v>110</v>
      </c>
      <c r="G45" s="14" t="str">
        <f>""</f>
        <v/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111</v>
      </c>
      <c r="L45" s="14" t="s">
        <v>112</v>
      </c>
      <c r="M45" s="14" t="s">
        <v>113</v>
      </c>
      <c r="N45" s="14" t="s">
        <v>114</v>
      </c>
      <c r="P45" s="14" t="s">
        <v>31</v>
      </c>
      <c r="Q45" s="14" t="s">
        <v>25</v>
      </c>
      <c r="R45" s="14" t="s">
        <v>115</v>
      </c>
    </row>
    <row r="46" spans="1:18" s="14" customFormat="1" x14ac:dyDescent="0.25">
      <c r="A46" s="14" t="str">
        <f>"10001"</f>
        <v>10001</v>
      </c>
      <c r="B46" s="14" t="str">
        <f>"01390"</f>
        <v>01390</v>
      </c>
      <c r="C46" s="14" t="str">
        <f>"1100"</f>
        <v>1100</v>
      </c>
      <c r="D46" s="14" t="str">
        <f>"01390"</f>
        <v>01390</v>
      </c>
      <c r="E46" s="14" t="s">
        <v>20</v>
      </c>
      <c r="F46" s="14" t="s">
        <v>116</v>
      </c>
      <c r="G46" s="14" t="str">
        <f>""</f>
        <v/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112</v>
      </c>
      <c r="L46" s="14" t="s">
        <v>113</v>
      </c>
      <c r="M46" s="14" t="s">
        <v>114</v>
      </c>
      <c r="P46" s="14" t="s">
        <v>31</v>
      </c>
      <c r="Q46" s="14" t="s">
        <v>25</v>
      </c>
      <c r="R46" s="14" t="s">
        <v>115</v>
      </c>
    </row>
    <row r="47" spans="1:18" s="14" customFormat="1" x14ac:dyDescent="0.25">
      <c r="A47" s="14" t="str">
        <f>"10001"</f>
        <v>10001</v>
      </c>
      <c r="B47" s="14" t="str">
        <f>"01400"</f>
        <v>01400</v>
      </c>
      <c r="C47" s="14" t="str">
        <f>"1300"</f>
        <v>1300</v>
      </c>
      <c r="D47" s="14" t="str">
        <f>"01400"</f>
        <v>01400</v>
      </c>
      <c r="E47" s="14" t="s">
        <v>20</v>
      </c>
      <c r="F47" s="14" t="s">
        <v>117</v>
      </c>
      <c r="G47" s="14" t="str">
        <f>""</f>
        <v/>
      </c>
      <c r="H47" s="14" t="str">
        <f>" 00"</f>
        <v xml:space="preserve"> 00</v>
      </c>
      <c r="I47" s="14">
        <v>0.01</v>
      </c>
      <c r="J47" s="14">
        <v>9999999.9900000002</v>
      </c>
      <c r="K47" s="14" t="s">
        <v>69</v>
      </c>
      <c r="L47" s="14" t="s">
        <v>70</v>
      </c>
      <c r="M47" s="14" t="s">
        <v>71</v>
      </c>
      <c r="P47" s="14" t="s">
        <v>31</v>
      </c>
      <c r="Q47" s="14" t="s">
        <v>25</v>
      </c>
      <c r="R47" s="14" t="s">
        <v>72</v>
      </c>
    </row>
    <row r="48" spans="1:18" s="14" customFormat="1" x14ac:dyDescent="0.25">
      <c r="A48" s="14" t="str">
        <f>"10001"</f>
        <v>10001</v>
      </c>
      <c r="B48" s="14" t="str">
        <f>"01405"</f>
        <v>01405</v>
      </c>
      <c r="C48" s="14" t="str">
        <f>"1300"</f>
        <v>1300</v>
      </c>
      <c r="D48" s="14" t="str">
        <f>"01405"</f>
        <v>01405</v>
      </c>
      <c r="E48" s="14" t="s">
        <v>20</v>
      </c>
      <c r="F48" s="14" t="s">
        <v>118</v>
      </c>
      <c r="G48" s="14" t="str">
        <f>""</f>
        <v/>
      </c>
      <c r="H48" s="14" t="str">
        <f>" 10"</f>
        <v xml:space="preserve"> 10</v>
      </c>
      <c r="I48" s="14">
        <v>0.01</v>
      </c>
      <c r="J48" s="14">
        <v>500</v>
      </c>
      <c r="K48" s="14" t="s">
        <v>119</v>
      </c>
      <c r="P48" s="14" t="s">
        <v>31</v>
      </c>
      <c r="Q48" s="14" t="s">
        <v>25</v>
      </c>
      <c r="R48" s="14" t="s">
        <v>119</v>
      </c>
    </row>
    <row r="49" spans="1:18" s="14" customFormat="1" x14ac:dyDescent="0.25">
      <c r="A49" s="14" t="str">
        <f>"10001"</f>
        <v>10001</v>
      </c>
      <c r="B49" s="14" t="str">
        <f>"01405"</f>
        <v>01405</v>
      </c>
      <c r="C49" s="14" t="str">
        <f>"1300"</f>
        <v>1300</v>
      </c>
      <c r="D49" s="14" t="str">
        <f>"01405"</f>
        <v>01405</v>
      </c>
      <c r="E49" s="14" t="s">
        <v>20</v>
      </c>
      <c r="F49" s="14" t="s">
        <v>118</v>
      </c>
      <c r="G49" s="14" t="str">
        <f>""</f>
        <v/>
      </c>
      <c r="H49" s="14" t="str">
        <f>" 20"</f>
        <v xml:space="preserve"> 20</v>
      </c>
      <c r="I49" s="14">
        <v>500.01</v>
      </c>
      <c r="J49" s="14">
        <v>9999999.9900000002</v>
      </c>
      <c r="K49" s="14" t="s">
        <v>90</v>
      </c>
      <c r="L49" s="14" t="s">
        <v>119</v>
      </c>
      <c r="P49" s="14" t="s">
        <v>31</v>
      </c>
      <c r="Q49" s="14" t="s">
        <v>25</v>
      </c>
      <c r="R49" s="14" t="s">
        <v>119</v>
      </c>
    </row>
    <row r="50" spans="1:18" s="14" customFormat="1" x14ac:dyDescent="0.25">
      <c r="A50" s="14" t="str">
        <f>"10001"</f>
        <v>10001</v>
      </c>
      <c r="B50" s="14" t="str">
        <f>"01410"</f>
        <v>01410</v>
      </c>
      <c r="C50" s="14" t="str">
        <f>"1300"</f>
        <v>1300</v>
      </c>
      <c r="D50" s="14" t="str">
        <f>"01410"</f>
        <v>01410</v>
      </c>
      <c r="E50" s="14" t="s">
        <v>20</v>
      </c>
      <c r="F50" s="14" t="s">
        <v>120</v>
      </c>
      <c r="G50" s="14" t="str">
        <f>""</f>
        <v/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69</v>
      </c>
      <c r="L50" s="14" t="s">
        <v>70</v>
      </c>
      <c r="M50" s="14" t="s">
        <v>71</v>
      </c>
      <c r="P50" s="14" t="s">
        <v>31</v>
      </c>
      <c r="Q50" s="14" t="s">
        <v>25</v>
      </c>
      <c r="R50" s="14" t="s">
        <v>72</v>
      </c>
    </row>
    <row r="51" spans="1:18" s="14" customFormat="1" x14ac:dyDescent="0.25">
      <c r="A51" s="14" t="str">
        <f>"10001"</f>
        <v>10001</v>
      </c>
      <c r="B51" s="14" t="str">
        <f>"01420"</f>
        <v>01420</v>
      </c>
      <c r="C51" s="14" t="str">
        <f>"1300"</f>
        <v>1300</v>
      </c>
      <c r="D51" s="14" t="str">
        <f>"01420"</f>
        <v>01420</v>
      </c>
      <c r="E51" s="14" t="s">
        <v>20</v>
      </c>
      <c r="F51" s="14" t="s">
        <v>121</v>
      </c>
      <c r="G51" s="14" t="str">
        <f>""</f>
        <v/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69</v>
      </c>
      <c r="L51" s="14" t="s">
        <v>70</v>
      </c>
      <c r="M51" s="14" t="s">
        <v>71</v>
      </c>
      <c r="P51" s="14" t="s">
        <v>31</v>
      </c>
      <c r="Q51" s="14" t="s">
        <v>25</v>
      </c>
      <c r="R51" s="14" t="s">
        <v>72</v>
      </c>
    </row>
    <row r="52" spans="1:18" s="14" customFormat="1" x14ac:dyDescent="0.25">
      <c r="A52" s="14" t="str">
        <f>"10001"</f>
        <v>10001</v>
      </c>
      <c r="B52" s="14" t="str">
        <f>"01430"</f>
        <v>01430</v>
      </c>
      <c r="C52" s="14" t="str">
        <f>"1300"</f>
        <v>1300</v>
      </c>
      <c r="D52" s="14" t="str">
        <f>"01430"</f>
        <v>01430</v>
      </c>
      <c r="E52" s="14" t="s">
        <v>20</v>
      </c>
      <c r="F52" s="14" t="s">
        <v>122</v>
      </c>
      <c r="G52" s="14" t="str">
        <f>""</f>
        <v/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69</v>
      </c>
      <c r="L52" s="14" t="s">
        <v>70</v>
      </c>
      <c r="M52" s="14" t="s">
        <v>71</v>
      </c>
      <c r="P52" s="14" t="s">
        <v>31</v>
      </c>
      <c r="Q52" s="14" t="s">
        <v>25</v>
      </c>
      <c r="R52" s="14" t="s">
        <v>72</v>
      </c>
    </row>
    <row r="53" spans="1:18" s="14" customFormat="1" x14ac:dyDescent="0.25">
      <c r="A53" s="14" t="str">
        <f>"10001"</f>
        <v>10001</v>
      </c>
      <c r="B53" s="14" t="str">
        <f>"01440"</f>
        <v>01440</v>
      </c>
      <c r="C53" s="14" t="str">
        <f>"1300"</f>
        <v>1300</v>
      </c>
      <c r="D53" s="14" t="str">
        <f>"01440"</f>
        <v>01440</v>
      </c>
      <c r="E53" s="14" t="s">
        <v>20</v>
      </c>
      <c r="F53" s="14" t="s">
        <v>123</v>
      </c>
      <c r="G53" s="14" t="str">
        <f>""</f>
        <v/>
      </c>
      <c r="H53" s="14" t="str">
        <f>" 00"</f>
        <v xml:space="preserve"> 00</v>
      </c>
      <c r="I53" s="14">
        <v>0.01</v>
      </c>
      <c r="J53" s="14">
        <v>9999999.9900000002</v>
      </c>
      <c r="K53" s="14" t="s">
        <v>124</v>
      </c>
      <c r="L53" s="14" t="s">
        <v>69</v>
      </c>
      <c r="M53" s="14" t="s">
        <v>70</v>
      </c>
      <c r="N53" s="14" t="s">
        <v>71</v>
      </c>
      <c r="P53" s="14" t="s">
        <v>31</v>
      </c>
      <c r="Q53" s="14" t="s">
        <v>25</v>
      </c>
      <c r="R53" s="14" t="s">
        <v>72</v>
      </c>
    </row>
    <row r="54" spans="1:18" s="14" customFormat="1" x14ac:dyDescent="0.25">
      <c r="A54" s="14" t="str">
        <f>"10001"</f>
        <v>10001</v>
      </c>
      <c r="B54" s="14" t="str">
        <f>"01441"</f>
        <v>01441</v>
      </c>
      <c r="C54" s="14" t="str">
        <f>"1300"</f>
        <v>1300</v>
      </c>
      <c r="D54" s="14" t="str">
        <f>"01441"</f>
        <v>01441</v>
      </c>
      <c r="E54" s="14" t="s">
        <v>20</v>
      </c>
      <c r="F54" s="14" t="s">
        <v>125</v>
      </c>
      <c r="G54" s="14" t="str">
        <f>""</f>
        <v/>
      </c>
      <c r="H54" s="14" t="str">
        <f>" 00"</f>
        <v xml:space="preserve"> 00</v>
      </c>
      <c r="I54" s="14">
        <v>0.01</v>
      </c>
      <c r="J54" s="14">
        <v>9999999.9900000002</v>
      </c>
      <c r="K54" s="14" t="s">
        <v>124</v>
      </c>
      <c r="L54" s="14" t="s">
        <v>69</v>
      </c>
      <c r="M54" s="14" t="s">
        <v>70</v>
      </c>
      <c r="N54" s="14" t="s">
        <v>71</v>
      </c>
      <c r="P54" s="14" t="s">
        <v>31</v>
      </c>
      <c r="Q54" s="14" t="s">
        <v>25</v>
      </c>
      <c r="R54" s="14" t="s">
        <v>72</v>
      </c>
    </row>
    <row r="55" spans="1:18" s="14" customFormat="1" x14ac:dyDescent="0.25">
      <c r="A55" s="14" t="str">
        <f>"10001"</f>
        <v>10001</v>
      </c>
      <c r="B55" s="14" t="str">
        <f>"01450"</f>
        <v>01450</v>
      </c>
      <c r="C55" s="14" t="str">
        <f>"1300"</f>
        <v>1300</v>
      </c>
      <c r="D55" s="14" t="str">
        <f>"01450"</f>
        <v>01450</v>
      </c>
      <c r="E55" s="14" t="s">
        <v>20</v>
      </c>
      <c r="F55" s="14" t="s">
        <v>126</v>
      </c>
      <c r="G55" s="14" t="str">
        <f>""</f>
        <v/>
      </c>
      <c r="H55" s="14" t="str">
        <f>" 00"</f>
        <v xml:space="preserve"> 00</v>
      </c>
      <c r="I55" s="14">
        <v>0.01</v>
      </c>
      <c r="J55" s="14">
        <v>9999999.9900000002</v>
      </c>
      <c r="K55" s="14" t="s">
        <v>69</v>
      </c>
      <c r="L55" s="14" t="s">
        <v>70</v>
      </c>
      <c r="M55" s="14" t="s">
        <v>71</v>
      </c>
      <c r="P55" s="14" t="s">
        <v>31</v>
      </c>
      <c r="Q55" s="14" t="s">
        <v>25</v>
      </c>
      <c r="R55" s="14" t="s">
        <v>72</v>
      </c>
    </row>
    <row r="56" spans="1:18" s="14" customFormat="1" x14ac:dyDescent="0.25">
      <c r="A56" s="14" t="str">
        <f>"10001"</f>
        <v>10001</v>
      </c>
      <c r="B56" s="14" t="str">
        <f>"01460"</f>
        <v>01460</v>
      </c>
      <c r="C56" s="14" t="str">
        <f>"1300"</f>
        <v>1300</v>
      </c>
      <c r="D56" s="14" t="str">
        <f>"01460"</f>
        <v>01460</v>
      </c>
      <c r="E56" s="14" t="s">
        <v>20</v>
      </c>
      <c r="F56" s="14" t="s">
        <v>127</v>
      </c>
      <c r="G56" s="14" t="str">
        <f>""</f>
        <v/>
      </c>
      <c r="H56" s="14" t="str">
        <f>" 00"</f>
        <v xml:space="preserve"> 00</v>
      </c>
      <c r="I56" s="14">
        <v>0.01</v>
      </c>
      <c r="J56" s="14">
        <v>9999999.9900000002</v>
      </c>
      <c r="K56" s="14" t="s">
        <v>69</v>
      </c>
      <c r="L56" s="14" t="s">
        <v>70</v>
      </c>
      <c r="M56" s="14" t="s">
        <v>71</v>
      </c>
      <c r="P56" s="14" t="s">
        <v>31</v>
      </c>
      <c r="Q56" s="14" t="s">
        <v>25</v>
      </c>
      <c r="R56" s="14" t="s">
        <v>72</v>
      </c>
    </row>
    <row r="57" spans="1:18" s="14" customFormat="1" x14ac:dyDescent="0.25">
      <c r="A57" s="14" t="str">
        <f>"10001"</f>
        <v>10001</v>
      </c>
      <c r="B57" s="14" t="str">
        <f>"01480"</f>
        <v>01480</v>
      </c>
      <c r="C57" s="14" t="str">
        <f>"1300"</f>
        <v>1300</v>
      </c>
      <c r="D57" s="14" t="str">
        <f>"01480"</f>
        <v>01480</v>
      </c>
      <c r="E57" s="14" t="s">
        <v>20</v>
      </c>
      <c r="F57" s="14" t="s">
        <v>128</v>
      </c>
      <c r="G57" s="14" t="str">
        <f>""</f>
        <v/>
      </c>
      <c r="H57" s="14" t="str">
        <f>" 00"</f>
        <v xml:space="preserve"> 00</v>
      </c>
      <c r="I57" s="14">
        <v>0.01</v>
      </c>
      <c r="J57" s="14">
        <v>9999999.9900000002</v>
      </c>
      <c r="K57" s="14" t="s">
        <v>129</v>
      </c>
      <c r="L57" s="14" t="s">
        <v>69</v>
      </c>
      <c r="M57" s="14" t="s">
        <v>70</v>
      </c>
      <c r="N57" s="14" t="s">
        <v>71</v>
      </c>
      <c r="P57" s="14" t="s">
        <v>31</v>
      </c>
      <c r="Q57" s="14" t="s">
        <v>25</v>
      </c>
      <c r="R57" s="14" t="s">
        <v>129</v>
      </c>
    </row>
    <row r="58" spans="1:18" s="14" customFormat="1" x14ac:dyDescent="0.25">
      <c r="A58" s="14" t="str">
        <f>"10001"</f>
        <v>10001</v>
      </c>
      <c r="B58" s="14" t="str">
        <f>"01500"</f>
        <v>01500</v>
      </c>
      <c r="C58" s="14" t="str">
        <f>"1100"</f>
        <v>1100</v>
      </c>
      <c r="D58" s="14" t="str">
        <f>"01500"</f>
        <v>01500</v>
      </c>
      <c r="E58" s="14" t="s">
        <v>20</v>
      </c>
      <c r="F58" s="14" t="s">
        <v>130</v>
      </c>
      <c r="G58" s="14" t="str">
        <f>""</f>
        <v/>
      </c>
      <c r="H58" s="14" t="str">
        <f>" 00"</f>
        <v xml:space="preserve"> 00</v>
      </c>
      <c r="I58" s="14">
        <v>0.01</v>
      </c>
      <c r="J58" s="14">
        <v>9999999.9900000002</v>
      </c>
      <c r="K58" s="14" t="s">
        <v>69</v>
      </c>
      <c r="L58" s="14" t="s">
        <v>70</v>
      </c>
      <c r="M58" s="14" t="s">
        <v>71</v>
      </c>
      <c r="P58" s="14" t="s">
        <v>31</v>
      </c>
      <c r="Q58" s="14" t="s">
        <v>25</v>
      </c>
      <c r="R58" s="14" t="s">
        <v>72</v>
      </c>
    </row>
    <row r="59" spans="1:18" s="14" customFormat="1" x14ac:dyDescent="0.25">
      <c r="A59" s="14" t="str">
        <f>"10001"</f>
        <v>10001</v>
      </c>
      <c r="B59" s="14" t="str">
        <f>"01505"</f>
        <v>01505</v>
      </c>
      <c r="C59" s="14" t="str">
        <f>"1300"</f>
        <v>1300</v>
      </c>
      <c r="D59" s="14" t="str">
        <f>"01505"</f>
        <v>01505</v>
      </c>
      <c r="E59" s="14" t="s">
        <v>20</v>
      </c>
      <c r="F59" s="14" t="s">
        <v>131</v>
      </c>
      <c r="G59" s="14" t="str">
        <f>""</f>
        <v/>
      </c>
      <c r="H59" s="14" t="str">
        <f>" 00"</f>
        <v xml:space="preserve"> 00</v>
      </c>
      <c r="I59" s="14">
        <v>0.01</v>
      </c>
      <c r="J59" s="14">
        <v>9999999.9900000002</v>
      </c>
      <c r="K59" s="14" t="s">
        <v>69</v>
      </c>
      <c r="L59" s="14" t="s">
        <v>70</v>
      </c>
      <c r="M59" s="14" t="s">
        <v>71</v>
      </c>
      <c r="P59" s="14" t="s">
        <v>31</v>
      </c>
      <c r="Q59" s="14" t="s">
        <v>25</v>
      </c>
      <c r="R59" s="14" t="s">
        <v>72</v>
      </c>
    </row>
    <row r="60" spans="1:18" s="14" customFormat="1" x14ac:dyDescent="0.25">
      <c r="A60" s="14" t="str">
        <f>"10001"</f>
        <v>10001</v>
      </c>
      <c r="B60" s="14" t="str">
        <f>"01520"</f>
        <v>01520</v>
      </c>
      <c r="C60" s="14" t="str">
        <f>"1100"</f>
        <v>1100</v>
      </c>
      <c r="D60" s="14" t="str">
        <f>"01520"</f>
        <v>01520</v>
      </c>
      <c r="E60" s="14" t="s">
        <v>20</v>
      </c>
      <c r="F60" s="14" t="s">
        <v>132</v>
      </c>
      <c r="G60" s="14" t="str">
        <f>""</f>
        <v/>
      </c>
      <c r="H60" s="14" t="str">
        <f>" 00"</f>
        <v xml:space="preserve"> 00</v>
      </c>
      <c r="I60" s="14">
        <v>0.01</v>
      </c>
      <c r="J60" s="14">
        <v>9999999.9900000002</v>
      </c>
      <c r="K60" s="14" t="s">
        <v>124</v>
      </c>
      <c r="L60" s="14" t="s">
        <v>69</v>
      </c>
      <c r="M60" s="14" t="s">
        <v>70</v>
      </c>
      <c r="N60" s="14" t="s">
        <v>71</v>
      </c>
      <c r="P60" s="14" t="s">
        <v>31</v>
      </c>
      <c r="Q60" s="14" t="s">
        <v>25</v>
      </c>
      <c r="R60" s="14" t="s">
        <v>72</v>
      </c>
    </row>
    <row r="61" spans="1:18" s="14" customFormat="1" x14ac:dyDescent="0.25">
      <c r="A61" s="14" t="str">
        <f>"10001"</f>
        <v>10001</v>
      </c>
      <c r="B61" s="14" t="str">
        <f>"01545"</f>
        <v>01545</v>
      </c>
      <c r="C61" s="14" t="str">
        <f>"1100"</f>
        <v>1100</v>
      </c>
      <c r="D61" s="14" t="str">
        <f>"01545"</f>
        <v>01545</v>
      </c>
      <c r="E61" s="14" t="s">
        <v>20</v>
      </c>
      <c r="F61" s="14" t="s">
        <v>133</v>
      </c>
      <c r="G61" s="14" t="str">
        <f>""</f>
        <v/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69</v>
      </c>
      <c r="L61" s="14" t="s">
        <v>70</v>
      </c>
      <c r="M61" s="14" t="s">
        <v>71</v>
      </c>
      <c r="P61" s="14" t="s">
        <v>31</v>
      </c>
      <c r="Q61" s="14" t="s">
        <v>25</v>
      </c>
      <c r="R61" s="14" t="s">
        <v>72</v>
      </c>
    </row>
    <row r="62" spans="1:18" s="14" customFormat="1" x14ac:dyDescent="0.25">
      <c r="A62" s="14" t="str">
        <f>"10001"</f>
        <v>10001</v>
      </c>
      <c r="B62" s="14" t="str">
        <f>"01550"</f>
        <v>01550</v>
      </c>
      <c r="C62" s="14" t="str">
        <f>"1100"</f>
        <v>1100</v>
      </c>
      <c r="D62" s="14" t="str">
        <f>"01550"</f>
        <v>01550</v>
      </c>
      <c r="E62" s="14" t="s">
        <v>20</v>
      </c>
      <c r="F62" s="14" t="s">
        <v>134</v>
      </c>
      <c r="G62" s="14" t="str">
        <f>""</f>
        <v/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69</v>
      </c>
      <c r="L62" s="14" t="s">
        <v>70</v>
      </c>
      <c r="M62" s="14" t="s">
        <v>71</v>
      </c>
      <c r="P62" s="14" t="s">
        <v>31</v>
      </c>
      <c r="Q62" s="14" t="s">
        <v>25</v>
      </c>
      <c r="R62" s="14" t="s">
        <v>72</v>
      </c>
    </row>
    <row r="63" spans="1:18" s="14" customFormat="1" x14ac:dyDescent="0.25">
      <c r="A63" s="14" t="str">
        <f>"10001"</f>
        <v>10001</v>
      </c>
      <c r="B63" s="14" t="str">
        <f>"01560"</f>
        <v>01560</v>
      </c>
      <c r="C63" s="14" t="str">
        <f>"1100"</f>
        <v>1100</v>
      </c>
      <c r="D63" s="14" t="str">
        <f>"01560"</f>
        <v>01560</v>
      </c>
      <c r="E63" s="14" t="s">
        <v>20</v>
      </c>
      <c r="F63" s="14" t="s">
        <v>135</v>
      </c>
      <c r="G63" s="14" t="str">
        <f>""</f>
        <v/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69</v>
      </c>
      <c r="L63" s="14" t="s">
        <v>70</v>
      </c>
      <c r="M63" s="14" t="s">
        <v>71</v>
      </c>
      <c r="P63" s="14" t="s">
        <v>31</v>
      </c>
      <c r="Q63" s="14" t="s">
        <v>25</v>
      </c>
      <c r="R63" s="14" t="s">
        <v>72</v>
      </c>
    </row>
    <row r="64" spans="1:18" s="14" customFormat="1" x14ac:dyDescent="0.25">
      <c r="A64" s="14" t="str">
        <f>"10001"</f>
        <v>10001</v>
      </c>
      <c r="B64" s="14" t="str">
        <f>"01570"</f>
        <v>01570</v>
      </c>
      <c r="C64" s="14" t="str">
        <f>"1100"</f>
        <v>1100</v>
      </c>
      <c r="D64" s="14" t="str">
        <f>"01570"</f>
        <v>01570</v>
      </c>
      <c r="E64" s="14" t="s">
        <v>20</v>
      </c>
      <c r="F64" s="14" t="s">
        <v>136</v>
      </c>
      <c r="G64" s="14" t="str">
        <f>""</f>
        <v/>
      </c>
      <c r="H64" s="14" t="str">
        <f>" 00"</f>
        <v xml:space="preserve"> 00</v>
      </c>
      <c r="I64" s="14">
        <v>0.01</v>
      </c>
      <c r="J64" s="14">
        <v>9999999.9900000002</v>
      </c>
      <c r="K64" s="14" t="s">
        <v>69</v>
      </c>
      <c r="L64" s="14" t="s">
        <v>70</v>
      </c>
      <c r="M64" s="14" t="s">
        <v>71</v>
      </c>
      <c r="P64" s="14" t="s">
        <v>31</v>
      </c>
      <c r="Q64" s="14" t="s">
        <v>25</v>
      </c>
      <c r="R64" s="14" t="s">
        <v>72</v>
      </c>
    </row>
    <row r="65" spans="1:18" s="14" customFormat="1" x14ac:dyDescent="0.25">
      <c r="A65" s="14" t="str">
        <f>"10001"</f>
        <v>10001</v>
      </c>
      <c r="B65" s="14" t="str">
        <f>"01580"</f>
        <v>01580</v>
      </c>
      <c r="C65" s="14" t="str">
        <f>"1100"</f>
        <v>1100</v>
      </c>
      <c r="D65" s="14" t="str">
        <f>"01580"</f>
        <v>01580</v>
      </c>
      <c r="E65" s="14" t="s">
        <v>20</v>
      </c>
      <c r="F65" s="14" t="s">
        <v>137</v>
      </c>
      <c r="G65" s="14" t="str">
        <f>""</f>
        <v/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69</v>
      </c>
      <c r="L65" s="14" t="s">
        <v>70</v>
      </c>
      <c r="M65" s="14" t="s">
        <v>71</v>
      </c>
      <c r="P65" s="14" t="s">
        <v>31</v>
      </c>
      <c r="Q65" s="14" t="s">
        <v>25</v>
      </c>
      <c r="R65" s="14" t="s">
        <v>72</v>
      </c>
    </row>
    <row r="66" spans="1:18" s="14" customFormat="1" x14ac:dyDescent="0.25">
      <c r="A66" s="14" t="str">
        <f>"10001"</f>
        <v>10001</v>
      </c>
      <c r="B66" s="14" t="str">
        <f>"01600"</f>
        <v>01600</v>
      </c>
      <c r="C66" s="14" t="str">
        <f>"1100"</f>
        <v>1100</v>
      </c>
      <c r="D66" s="14" t="str">
        <f>"01600"</f>
        <v>01600</v>
      </c>
      <c r="E66" s="14" t="s">
        <v>20</v>
      </c>
      <c r="F66" s="14" t="s">
        <v>138</v>
      </c>
      <c r="G66" s="14" t="str">
        <f>""</f>
        <v/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69</v>
      </c>
      <c r="L66" s="14" t="s">
        <v>70</v>
      </c>
      <c r="M66" s="14" t="s">
        <v>71</v>
      </c>
      <c r="P66" s="14" t="s">
        <v>31</v>
      </c>
      <c r="Q66" s="14" t="s">
        <v>25</v>
      </c>
      <c r="R66" s="14" t="s">
        <v>72</v>
      </c>
    </row>
    <row r="67" spans="1:18" s="14" customFormat="1" x14ac:dyDescent="0.25">
      <c r="A67" s="14" t="str">
        <f>"10001"</f>
        <v>10001</v>
      </c>
      <c r="B67" s="14" t="str">
        <f>"01610"</f>
        <v>01610</v>
      </c>
      <c r="C67" s="14" t="str">
        <f>"1100"</f>
        <v>1100</v>
      </c>
      <c r="D67" s="14" t="str">
        <f>"01610"</f>
        <v>01610</v>
      </c>
      <c r="E67" s="14" t="s">
        <v>20</v>
      </c>
      <c r="F67" s="14" t="s">
        <v>139</v>
      </c>
      <c r="G67" s="14" t="str">
        <f>""</f>
        <v/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69</v>
      </c>
      <c r="L67" s="14" t="s">
        <v>70</v>
      </c>
      <c r="M67" s="14" t="s">
        <v>71</v>
      </c>
      <c r="P67" s="14" t="s">
        <v>31</v>
      </c>
      <c r="Q67" s="14" t="s">
        <v>25</v>
      </c>
      <c r="R67" s="14" t="s">
        <v>72</v>
      </c>
    </row>
    <row r="68" spans="1:18" s="14" customFormat="1" x14ac:dyDescent="0.25">
      <c r="A68" s="14" t="str">
        <f>"10001"</f>
        <v>10001</v>
      </c>
      <c r="B68" s="14" t="str">
        <f>"01620"</f>
        <v>01620</v>
      </c>
      <c r="C68" s="14" t="str">
        <f>"1100"</f>
        <v>1100</v>
      </c>
      <c r="D68" s="14" t="str">
        <f>"01620"</f>
        <v>01620</v>
      </c>
      <c r="E68" s="14" t="s">
        <v>20</v>
      </c>
      <c r="F68" s="14" t="s">
        <v>140</v>
      </c>
      <c r="G68" s="14" t="str">
        <f>""</f>
        <v/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69</v>
      </c>
      <c r="L68" s="14" t="s">
        <v>70</v>
      </c>
      <c r="M68" s="14" t="s">
        <v>71</v>
      </c>
      <c r="P68" s="14" t="s">
        <v>31</v>
      </c>
      <c r="Q68" s="14" t="s">
        <v>25</v>
      </c>
      <c r="R68" s="14" t="s">
        <v>141</v>
      </c>
    </row>
    <row r="69" spans="1:18" s="14" customFormat="1" x14ac:dyDescent="0.25">
      <c r="A69" s="14" t="str">
        <f>"10001"</f>
        <v>10001</v>
      </c>
      <c r="B69" s="14" t="str">
        <f>"01630"</f>
        <v>01630</v>
      </c>
      <c r="C69" s="14" t="str">
        <f>"1100"</f>
        <v>1100</v>
      </c>
      <c r="D69" s="14" t="str">
        <f>"01630"</f>
        <v>01630</v>
      </c>
      <c r="E69" s="14" t="s">
        <v>20</v>
      </c>
      <c r="F69" s="14" t="s">
        <v>142</v>
      </c>
      <c r="G69" s="14" t="str">
        <f>""</f>
        <v/>
      </c>
      <c r="H69" s="14" t="str">
        <f>" 00"</f>
        <v xml:space="preserve"> 00</v>
      </c>
      <c r="I69" s="14">
        <v>0.01</v>
      </c>
      <c r="J69" s="14">
        <v>9999999.9900000002</v>
      </c>
      <c r="K69" s="14" t="s">
        <v>69</v>
      </c>
      <c r="L69" s="14" t="s">
        <v>70</v>
      </c>
      <c r="M69" s="14" t="s">
        <v>71</v>
      </c>
      <c r="P69" s="14" t="s">
        <v>31</v>
      </c>
      <c r="Q69" s="14" t="s">
        <v>25</v>
      </c>
      <c r="R69" s="14" t="s">
        <v>72</v>
      </c>
    </row>
    <row r="70" spans="1:18" s="14" customFormat="1" x14ac:dyDescent="0.25">
      <c r="A70" s="14" t="str">
        <f>"10001"</f>
        <v>10001</v>
      </c>
      <c r="B70" s="14" t="str">
        <f>"01640"</f>
        <v>01640</v>
      </c>
      <c r="C70" s="14" t="str">
        <f>"1100"</f>
        <v>1100</v>
      </c>
      <c r="D70" s="14" t="str">
        <f>"01640"</f>
        <v>01640</v>
      </c>
      <c r="E70" s="14" t="s">
        <v>20</v>
      </c>
      <c r="F70" s="14" t="s">
        <v>143</v>
      </c>
      <c r="G70" s="14" t="str">
        <f>""</f>
        <v/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69</v>
      </c>
      <c r="L70" s="14" t="s">
        <v>70</v>
      </c>
      <c r="M70" s="14" t="s">
        <v>71</v>
      </c>
      <c r="P70" s="14" t="s">
        <v>31</v>
      </c>
      <c r="Q70" s="14" t="s">
        <v>25</v>
      </c>
      <c r="R70" s="14" t="s">
        <v>72</v>
      </c>
    </row>
    <row r="71" spans="1:18" s="14" customFormat="1" x14ac:dyDescent="0.25">
      <c r="A71" s="14" t="str">
        <f>"10001"</f>
        <v>10001</v>
      </c>
      <c r="B71" s="14" t="str">
        <f>"01645"</f>
        <v>01645</v>
      </c>
      <c r="C71" s="14" t="str">
        <f>"1100"</f>
        <v>1100</v>
      </c>
      <c r="D71" s="14" t="str">
        <f>"01645"</f>
        <v>01645</v>
      </c>
      <c r="E71" s="14" t="s">
        <v>20</v>
      </c>
      <c r="F71" s="14" t="s">
        <v>144</v>
      </c>
      <c r="G71" s="14" t="str">
        <f>""</f>
        <v/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69</v>
      </c>
      <c r="L71" s="14" t="s">
        <v>70</v>
      </c>
      <c r="M71" s="14" t="s">
        <v>71</v>
      </c>
      <c r="P71" s="14" t="s">
        <v>31</v>
      </c>
      <c r="Q71" s="14" t="s">
        <v>25</v>
      </c>
      <c r="R71" s="14" t="s">
        <v>72</v>
      </c>
    </row>
    <row r="72" spans="1:18" s="14" customFormat="1" x14ac:dyDescent="0.25">
      <c r="A72" s="14" t="str">
        <f>"10001"</f>
        <v>10001</v>
      </c>
      <c r="B72" s="14" t="str">
        <f>"01660"</f>
        <v>01660</v>
      </c>
      <c r="C72" s="14" t="str">
        <f>"1300"</f>
        <v>1300</v>
      </c>
      <c r="D72" s="14" t="str">
        <f>"01660"</f>
        <v>01660</v>
      </c>
      <c r="E72" s="14" t="s">
        <v>20</v>
      </c>
      <c r="F72" s="14" t="s">
        <v>145</v>
      </c>
      <c r="G72" s="14" t="str">
        <f>""</f>
        <v/>
      </c>
      <c r="H72" s="14" t="str">
        <f>" 10"</f>
        <v xml:space="preserve"> 10</v>
      </c>
      <c r="I72" s="14">
        <v>0.01</v>
      </c>
      <c r="J72" s="14">
        <v>500</v>
      </c>
      <c r="K72" s="14" t="s">
        <v>146</v>
      </c>
      <c r="L72" s="14" t="s">
        <v>147</v>
      </c>
      <c r="P72" s="14" t="s">
        <v>39</v>
      </c>
      <c r="Q72" s="14" t="s">
        <v>25</v>
      </c>
      <c r="R72" s="14" t="s">
        <v>146</v>
      </c>
    </row>
    <row r="73" spans="1:18" s="14" customFormat="1" x14ac:dyDescent="0.25">
      <c r="A73" s="14" t="str">
        <f>"10001"</f>
        <v>10001</v>
      </c>
      <c r="B73" s="14" t="str">
        <f>"01660"</f>
        <v>01660</v>
      </c>
      <c r="C73" s="14" t="str">
        <f>"1300"</f>
        <v>1300</v>
      </c>
      <c r="D73" s="14" t="str">
        <f>"01660"</f>
        <v>01660</v>
      </c>
      <c r="E73" s="14" t="s">
        <v>20</v>
      </c>
      <c r="F73" s="14" t="s">
        <v>145</v>
      </c>
      <c r="G73" s="14" t="str">
        <f>""</f>
        <v/>
      </c>
      <c r="H73" s="14" t="str">
        <f>" 20"</f>
        <v xml:space="preserve"> 20</v>
      </c>
      <c r="I73" s="14">
        <v>500.01</v>
      </c>
      <c r="J73" s="14">
        <v>9999999.9900000002</v>
      </c>
      <c r="K73" s="14" t="s">
        <v>147</v>
      </c>
      <c r="L73" s="14" t="s">
        <v>148</v>
      </c>
      <c r="P73" s="14" t="s">
        <v>39</v>
      </c>
      <c r="Q73" s="14" t="s">
        <v>25</v>
      </c>
      <c r="R73" s="14" t="s">
        <v>146</v>
      </c>
    </row>
    <row r="74" spans="1:18" s="14" customFormat="1" x14ac:dyDescent="0.25">
      <c r="A74" s="14" t="str">
        <f>"10001"</f>
        <v>10001</v>
      </c>
      <c r="B74" s="14" t="str">
        <f>"01661"</f>
        <v>01661</v>
      </c>
      <c r="C74" s="14" t="str">
        <f>"1300"</f>
        <v>1300</v>
      </c>
      <c r="D74" s="14" t="str">
        <f>"01661"</f>
        <v>01661</v>
      </c>
      <c r="E74" s="14" t="s">
        <v>20</v>
      </c>
      <c r="F74" s="14" t="s">
        <v>149</v>
      </c>
      <c r="G74" s="14" t="str">
        <f>""</f>
        <v/>
      </c>
      <c r="H74" s="14" t="str">
        <f>" 10"</f>
        <v xml:space="preserve"> 10</v>
      </c>
      <c r="I74" s="14">
        <v>0.01</v>
      </c>
      <c r="J74" s="14">
        <v>500</v>
      </c>
      <c r="K74" s="14" t="s">
        <v>150</v>
      </c>
      <c r="P74" s="14" t="s">
        <v>31</v>
      </c>
      <c r="Q74" s="14" t="s">
        <v>25</v>
      </c>
      <c r="R74" s="14" t="s">
        <v>150</v>
      </c>
    </row>
    <row r="75" spans="1:18" s="14" customFormat="1" x14ac:dyDescent="0.25">
      <c r="A75" s="14" t="str">
        <f>"10001"</f>
        <v>10001</v>
      </c>
      <c r="B75" s="14" t="str">
        <f>"01661"</f>
        <v>01661</v>
      </c>
      <c r="C75" s="14" t="str">
        <f>"1300"</f>
        <v>1300</v>
      </c>
      <c r="D75" s="14" t="str">
        <f>"01661"</f>
        <v>01661</v>
      </c>
      <c r="E75" s="14" t="s">
        <v>20</v>
      </c>
      <c r="F75" s="14" t="s">
        <v>149</v>
      </c>
      <c r="G75" s="14" t="str">
        <f>""</f>
        <v/>
      </c>
      <c r="H75" s="14" t="str">
        <f>" 20"</f>
        <v xml:space="preserve"> 20</v>
      </c>
      <c r="I75" s="14">
        <v>500.01</v>
      </c>
      <c r="J75" s="14">
        <v>9999999.9900000002</v>
      </c>
      <c r="K75" s="14" t="s">
        <v>90</v>
      </c>
      <c r="L75" s="14" t="s">
        <v>150</v>
      </c>
      <c r="P75" s="14" t="s">
        <v>31</v>
      </c>
      <c r="Q75" s="14" t="s">
        <v>25</v>
      </c>
      <c r="R75" s="14" t="s">
        <v>150</v>
      </c>
    </row>
    <row r="76" spans="1:18" s="14" customFormat="1" x14ac:dyDescent="0.25">
      <c r="A76" s="14" t="str">
        <f>"10001"</f>
        <v>10001</v>
      </c>
      <c r="B76" s="14" t="str">
        <f>"01670"</f>
        <v>01670</v>
      </c>
      <c r="C76" s="14" t="str">
        <f>"1100"</f>
        <v>1100</v>
      </c>
      <c r="D76" s="14" t="str">
        <f>"01670"</f>
        <v>01670</v>
      </c>
      <c r="E76" s="14" t="s">
        <v>20</v>
      </c>
      <c r="F76" s="14" t="s">
        <v>151</v>
      </c>
      <c r="G76" s="14" t="str">
        <f>""</f>
        <v/>
      </c>
      <c r="H76" s="14" t="str">
        <f>" 10"</f>
        <v xml:space="preserve"> 10</v>
      </c>
      <c r="I76" s="14">
        <v>0.01</v>
      </c>
      <c r="J76" s="14">
        <v>500</v>
      </c>
      <c r="K76" s="14" t="s">
        <v>146</v>
      </c>
      <c r="L76" s="14" t="s">
        <v>147</v>
      </c>
      <c r="P76" s="14" t="s">
        <v>39</v>
      </c>
      <c r="Q76" s="14" t="s">
        <v>25</v>
      </c>
      <c r="R76" s="14" t="s">
        <v>146</v>
      </c>
    </row>
    <row r="77" spans="1:18" s="14" customFormat="1" x14ac:dyDescent="0.25">
      <c r="A77" s="14" t="str">
        <f>"10001"</f>
        <v>10001</v>
      </c>
      <c r="B77" s="14" t="str">
        <f>"01670"</f>
        <v>01670</v>
      </c>
      <c r="C77" s="14" t="str">
        <f>"1100"</f>
        <v>1100</v>
      </c>
      <c r="D77" s="14" t="str">
        <f>"01670"</f>
        <v>01670</v>
      </c>
      <c r="E77" s="14" t="s">
        <v>20</v>
      </c>
      <c r="F77" s="14" t="s">
        <v>151</v>
      </c>
      <c r="G77" s="14" t="str">
        <f>""</f>
        <v/>
      </c>
      <c r="H77" s="14" t="str">
        <f>" 20"</f>
        <v xml:space="preserve"> 20</v>
      </c>
      <c r="I77" s="14">
        <v>500.01</v>
      </c>
      <c r="J77" s="14">
        <v>9999999.9900000002</v>
      </c>
      <c r="K77" s="14" t="s">
        <v>147</v>
      </c>
      <c r="L77" s="14" t="s">
        <v>148</v>
      </c>
      <c r="P77" s="14" t="s">
        <v>39</v>
      </c>
      <c r="Q77" s="14" t="s">
        <v>25</v>
      </c>
      <c r="R77" s="14" t="s">
        <v>146</v>
      </c>
    </row>
    <row r="78" spans="1:18" s="14" customFormat="1" x14ac:dyDescent="0.25">
      <c r="A78" s="14" t="str">
        <f>"10001"</f>
        <v>10001</v>
      </c>
      <c r="B78" s="14" t="str">
        <f>"01690"</f>
        <v>01690</v>
      </c>
      <c r="C78" s="14" t="str">
        <f>"1100"</f>
        <v>1100</v>
      </c>
      <c r="D78" s="14" t="str">
        <f>"01690"</f>
        <v>01690</v>
      </c>
      <c r="E78" s="14" t="s">
        <v>20</v>
      </c>
      <c r="F78" s="14" t="s">
        <v>152</v>
      </c>
      <c r="G78" s="14" t="str">
        <f>""</f>
        <v/>
      </c>
      <c r="H78" s="14" t="str">
        <f>" 10"</f>
        <v xml:space="preserve"> 10</v>
      </c>
      <c r="I78" s="14">
        <v>0.01</v>
      </c>
      <c r="J78" s="14">
        <v>500</v>
      </c>
      <c r="K78" s="14" t="s">
        <v>146</v>
      </c>
      <c r="L78" s="14" t="s">
        <v>147</v>
      </c>
      <c r="P78" s="14" t="s">
        <v>39</v>
      </c>
      <c r="Q78" s="14" t="s">
        <v>25</v>
      </c>
      <c r="R78" s="14" t="s">
        <v>146</v>
      </c>
    </row>
    <row r="79" spans="1:18" s="14" customFormat="1" x14ac:dyDescent="0.25">
      <c r="A79" s="14" t="str">
        <f>"10001"</f>
        <v>10001</v>
      </c>
      <c r="B79" s="14" t="str">
        <f>"01690"</f>
        <v>01690</v>
      </c>
      <c r="C79" s="14" t="str">
        <f>"1100"</f>
        <v>1100</v>
      </c>
      <c r="D79" s="14" t="str">
        <f>"01690"</f>
        <v>01690</v>
      </c>
      <c r="E79" s="14" t="s">
        <v>20</v>
      </c>
      <c r="F79" s="14" t="s">
        <v>152</v>
      </c>
      <c r="G79" s="14" t="str">
        <f>""</f>
        <v/>
      </c>
      <c r="H79" s="14" t="str">
        <f>" 20"</f>
        <v xml:space="preserve"> 20</v>
      </c>
      <c r="I79" s="14">
        <v>500.01</v>
      </c>
      <c r="J79" s="14">
        <v>9999999.9900000002</v>
      </c>
      <c r="K79" s="14" t="s">
        <v>153</v>
      </c>
      <c r="L79" s="14" t="s">
        <v>147</v>
      </c>
      <c r="M79" s="14" t="s">
        <v>154</v>
      </c>
      <c r="P79" s="14" t="s">
        <v>39</v>
      </c>
      <c r="Q79" s="14" t="s">
        <v>25</v>
      </c>
      <c r="R79" s="14" t="s">
        <v>146</v>
      </c>
    </row>
    <row r="80" spans="1:18" s="14" customFormat="1" x14ac:dyDescent="0.25">
      <c r="A80" s="14" t="str">
        <f>"10001"</f>
        <v>10001</v>
      </c>
      <c r="B80" s="14" t="str">
        <f>"01695"</f>
        <v>01695</v>
      </c>
      <c r="C80" s="14" t="str">
        <f>"1100"</f>
        <v>1100</v>
      </c>
      <c r="D80" s="14" t="str">
        <f>"01695"</f>
        <v>01695</v>
      </c>
      <c r="E80" s="14" t="s">
        <v>20</v>
      </c>
      <c r="F80" s="14" t="s">
        <v>155</v>
      </c>
      <c r="G80" s="14" t="str">
        <f>""</f>
        <v/>
      </c>
      <c r="H80" s="14" t="str">
        <f>" 10"</f>
        <v xml:space="preserve"> 10</v>
      </c>
      <c r="I80" s="14">
        <v>0.01</v>
      </c>
      <c r="J80" s="14">
        <v>500</v>
      </c>
      <c r="K80" s="14" t="s">
        <v>146</v>
      </c>
      <c r="L80" s="14" t="s">
        <v>147</v>
      </c>
      <c r="M80" s="14" t="s">
        <v>156</v>
      </c>
      <c r="P80" s="14" t="s">
        <v>39</v>
      </c>
      <c r="Q80" s="14" t="s">
        <v>25</v>
      </c>
      <c r="R80" s="14" t="s">
        <v>146</v>
      </c>
    </row>
    <row r="81" spans="1:18" s="14" customFormat="1" x14ac:dyDescent="0.25">
      <c r="A81" s="14" t="str">
        <f>"10001"</f>
        <v>10001</v>
      </c>
      <c r="B81" s="14" t="str">
        <f>"01695"</f>
        <v>01695</v>
      </c>
      <c r="C81" s="14" t="str">
        <f>"1100"</f>
        <v>1100</v>
      </c>
      <c r="D81" s="14" t="str">
        <f>"01695"</f>
        <v>01695</v>
      </c>
      <c r="E81" s="14" t="s">
        <v>20</v>
      </c>
      <c r="F81" s="14" t="s">
        <v>155</v>
      </c>
      <c r="G81" s="14" t="str">
        <f>""</f>
        <v/>
      </c>
      <c r="H81" s="14" t="str">
        <f>" 20"</f>
        <v xml:space="preserve"> 20</v>
      </c>
      <c r="I81" s="14">
        <v>500.01</v>
      </c>
      <c r="J81" s="14">
        <v>9999999.9900000002</v>
      </c>
      <c r="K81" s="14" t="s">
        <v>156</v>
      </c>
      <c r="L81" s="14" t="s">
        <v>147</v>
      </c>
      <c r="M81" s="14" t="s">
        <v>154</v>
      </c>
      <c r="P81" s="14" t="s">
        <v>39</v>
      </c>
      <c r="Q81" s="14" t="s">
        <v>25</v>
      </c>
      <c r="R81" s="14" t="s">
        <v>146</v>
      </c>
    </row>
    <row r="82" spans="1:18" s="14" customFormat="1" x14ac:dyDescent="0.25">
      <c r="A82" s="14" t="str">
        <f>"10001"</f>
        <v>10001</v>
      </c>
      <c r="B82" s="14" t="str">
        <f>"01700"</f>
        <v>01700</v>
      </c>
      <c r="C82" s="14" t="str">
        <f>"1100"</f>
        <v>1100</v>
      </c>
      <c r="D82" s="14" t="str">
        <f>"01700"</f>
        <v>01700</v>
      </c>
      <c r="E82" s="14" t="s">
        <v>20</v>
      </c>
      <c r="F82" s="14" t="s">
        <v>157</v>
      </c>
      <c r="G82" s="14" t="str">
        <f>""</f>
        <v/>
      </c>
      <c r="H82" s="14" t="str">
        <f>" 10"</f>
        <v xml:space="preserve"> 10</v>
      </c>
      <c r="I82" s="14">
        <v>0.01</v>
      </c>
      <c r="J82" s="14">
        <v>500</v>
      </c>
      <c r="K82" s="14" t="s">
        <v>146</v>
      </c>
      <c r="L82" s="14" t="s">
        <v>147</v>
      </c>
      <c r="P82" s="14" t="s">
        <v>39</v>
      </c>
      <c r="Q82" s="14" t="s">
        <v>25</v>
      </c>
      <c r="R82" s="14" t="s">
        <v>146</v>
      </c>
    </row>
    <row r="83" spans="1:18" s="14" customFormat="1" x14ac:dyDescent="0.25">
      <c r="A83" s="14" t="str">
        <f>"10001"</f>
        <v>10001</v>
      </c>
      <c r="B83" s="14" t="str">
        <f>"01700"</f>
        <v>01700</v>
      </c>
      <c r="C83" s="14" t="str">
        <f>"1100"</f>
        <v>1100</v>
      </c>
      <c r="D83" s="14" t="str">
        <f>"01700"</f>
        <v>01700</v>
      </c>
      <c r="E83" s="14" t="s">
        <v>20</v>
      </c>
      <c r="F83" s="14" t="s">
        <v>157</v>
      </c>
      <c r="G83" s="14" t="str">
        <f>""</f>
        <v/>
      </c>
      <c r="H83" s="14" t="str">
        <f>" 20"</f>
        <v xml:space="preserve"> 20</v>
      </c>
      <c r="I83" s="14">
        <v>500.01</v>
      </c>
      <c r="J83" s="14">
        <v>9999999.9900000002</v>
      </c>
      <c r="K83" s="14" t="s">
        <v>158</v>
      </c>
      <c r="L83" s="14" t="s">
        <v>147</v>
      </c>
      <c r="M83" s="14" t="s">
        <v>154</v>
      </c>
      <c r="P83" s="14" t="s">
        <v>39</v>
      </c>
      <c r="Q83" s="14" t="s">
        <v>25</v>
      </c>
      <c r="R83" s="14" t="s">
        <v>146</v>
      </c>
    </row>
    <row r="84" spans="1:18" s="14" customFormat="1" x14ac:dyDescent="0.25">
      <c r="A84" s="14" t="str">
        <f>"10001"</f>
        <v>10001</v>
      </c>
      <c r="B84" s="14" t="str">
        <f>"01705"</f>
        <v>01705</v>
      </c>
      <c r="C84" s="14" t="str">
        <f>"1100"</f>
        <v>1100</v>
      </c>
      <c r="D84" s="14" t="str">
        <f>"01705"</f>
        <v>01705</v>
      </c>
      <c r="E84" s="14" t="s">
        <v>20</v>
      </c>
      <c r="F84" s="14" t="s">
        <v>159</v>
      </c>
      <c r="G84" s="14" t="str">
        <f>""</f>
        <v/>
      </c>
      <c r="H84" s="14" t="str">
        <f>" 10"</f>
        <v xml:space="preserve"> 10</v>
      </c>
      <c r="I84" s="14">
        <v>0.01</v>
      </c>
      <c r="J84" s="14">
        <v>500</v>
      </c>
      <c r="K84" s="14" t="s">
        <v>146</v>
      </c>
      <c r="L84" s="14" t="s">
        <v>147</v>
      </c>
      <c r="P84" s="14" t="s">
        <v>39</v>
      </c>
      <c r="Q84" s="14" t="s">
        <v>25</v>
      </c>
      <c r="R84" s="14" t="s">
        <v>146</v>
      </c>
    </row>
    <row r="85" spans="1:18" s="14" customFormat="1" x14ac:dyDescent="0.25">
      <c r="A85" s="14" t="str">
        <f>"10001"</f>
        <v>10001</v>
      </c>
      <c r="B85" s="14" t="str">
        <f>"01705"</f>
        <v>01705</v>
      </c>
      <c r="C85" s="14" t="str">
        <f>"1100"</f>
        <v>1100</v>
      </c>
      <c r="D85" s="14" t="str">
        <f>"01705"</f>
        <v>01705</v>
      </c>
      <c r="E85" s="14" t="s">
        <v>20</v>
      </c>
      <c r="F85" s="14" t="s">
        <v>159</v>
      </c>
      <c r="G85" s="14" t="str">
        <f>""</f>
        <v/>
      </c>
      <c r="H85" s="14" t="str">
        <f>" 20"</f>
        <v xml:space="preserve"> 20</v>
      </c>
      <c r="I85" s="14">
        <v>500.01</v>
      </c>
      <c r="J85" s="14">
        <v>9999999.9900000002</v>
      </c>
      <c r="K85" s="14" t="s">
        <v>147</v>
      </c>
      <c r="L85" s="14" t="s">
        <v>154</v>
      </c>
      <c r="M85" s="14" t="s">
        <v>160</v>
      </c>
      <c r="P85" s="14" t="s">
        <v>39</v>
      </c>
      <c r="Q85" s="14" t="s">
        <v>25</v>
      </c>
      <c r="R85" s="14" t="s">
        <v>146</v>
      </c>
    </row>
    <row r="86" spans="1:18" s="14" customFormat="1" x14ac:dyDescent="0.25">
      <c r="A86" s="14" t="str">
        <f>"10001"</f>
        <v>10001</v>
      </c>
      <c r="B86" s="14" t="str">
        <f>"01710"</f>
        <v>01710</v>
      </c>
      <c r="C86" s="14" t="str">
        <f>"1100"</f>
        <v>1100</v>
      </c>
      <c r="D86" s="14" t="str">
        <f>"01710"</f>
        <v>01710</v>
      </c>
      <c r="E86" s="14" t="s">
        <v>20</v>
      </c>
      <c r="F86" s="14" t="s">
        <v>161</v>
      </c>
      <c r="G86" s="14" t="str">
        <f>""</f>
        <v/>
      </c>
      <c r="H86" s="14" t="str">
        <f>" 10"</f>
        <v xml:space="preserve"> 10</v>
      </c>
      <c r="I86" s="14">
        <v>0.01</v>
      </c>
      <c r="J86" s="14">
        <v>500</v>
      </c>
      <c r="K86" s="14" t="s">
        <v>146</v>
      </c>
      <c r="L86" s="14" t="s">
        <v>162</v>
      </c>
      <c r="P86" s="14" t="s">
        <v>39</v>
      </c>
      <c r="Q86" s="14" t="s">
        <v>25</v>
      </c>
      <c r="R86" s="14" t="s">
        <v>146</v>
      </c>
    </row>
    <row r="87" spans="1:18" s="14" customFormat="1" x14ac:dyDescent="0.25">
      <c r="A87" s="14" t="str">
        <f>"10001"</f>
        <v>10001</v>
      </c>
      <c r="B87" s="14" t="str">
        <f>"01710"</f>
        <v>01710</v>
      </c>
      <c r="C87" s="14" t="str">
        <f>"1100"</f>
        <v>1100</v>
      </c>
      <c r="D87" s="14" t="str">
        <f>"01710"</f>
        <v>01710</v>
      </c>
      <c r="E87" s="14" t="s">
        <v>20</v>
      </c>
      <c r="F87" s="14" t="s">
        <v>161</v>
      </c>
      <c r="G87" s="14" t="str">
        <f>""</f>
        <v/>
      </c>
      <c r="H87" s="14" t="str">
        <f>" 20"</f>
        <v xml:space="preserve"> 20</v>
      </c>
      <c r="I87" s="14">
        <v>500.01</v>
      </c>
      <c r="J87" s="14">
        <v>9999999.9900000002</v>
      </c>
      <c r="K87" s="14" t="s">
        <v>162</v>
      </c>
      <c r="L87" s="14" t="s">
        <v>147</v>
      </c>
      <c r="M87" s="14" t="s">
        <v>154</v>
      </c>
      <c r="P87" s="14" t="s">
        <v>39</v>
      </c>
      <c r="Q87" s="14" t="s">
        <v>25</v>
      </c>
      <c r="R87" s="14" t="s">
        <v>146</v>
      </c>
    </row>
    <row r="88" spans="1:18" s="14" customFormat="1" x14ac:dyDescent="0.25">
      <c r="A88" s="14" t="str">
        <f>"10001"</f>
        <v>10001</v>
      </c>
      <c r="B88" s="14" t="str">
        <f>"01720"</f>
        <v>01720</v>
      </c>
      <c r="C88" s="14" t="str">
        <f>"1100"</f>
        <v>1100</v>
      </c>
      <c r="D88" s="14" t="str">
        <f>"01720"</f>
        <v>01720</v>
      </c>
      <c r="E88" s="14" t="s">
        <v>20</v>
      </c>
      <c r="F88" s="14" t="s">
        <v>163</v>
      </c>
      <c r="G88" s="14" t="str">
        <f>""</f>
        <v/>
      </c>
      <c r="H88" s="14" t="str">
        <f>" 10"</f>
        <v xml:space="preserve"> 10</v>
      </c>
      <c r="I88" s="14">
        <v>0.01</v>
      </c>
      <c r="J88" s="14">
        <v>500</v>
      </c>
      <c r="K88" s="14" t="s">
        <v>146</v>
      </c>
      <c r="L88" s="14" t="s">
        <v>147</v>
      </c>
      <c r="P88" s="14" t="s">
        <v>39</v>
      </c>
      <c r="Q88" s="14" t="s">
        <v>25</v>
      </c>
      <c r="R88" s="14" t="s">
        <v>146</v>
      </c>
    </row>
    <row r="89" spans="1:18" s="14" customFormat="1" x14ac:dyDescent="0.25">
      <c r="A89" s="14" t="str">
        <f>"10001"</f>
        <v>10001</v>
      </c>
      <c r="B89" s="14" t="str">
        <f>"01720"</f>
        <v>01720</v>
      </c>
      <c r="C89" s="14" t="str">
        <f>"1100"</f>
        <v>1100</v>
      </c>
      <c r="D89" s="14" t="str">
        <f>"01720"</f>
        <v>01720</v>
      </c>
      <c r="E89" s="14" t="s">
        <v>20</v>
      </c>
      <c r="F89" s="14" t="s">
        <v>163</v>
      </c>
      <c r="G89" s="14" t="str">
        <f>""</f>
        <v/>
      </c>
      <c r="H89" s="14" t="str">
        <f>" 20"</f>
        <v xml:space="preserve"> 20</v>
      </c>
      <c r="I89" s="14">
        <v>500.01</v>
      </c>
      <c r="J89" s="14">
        <v>9999999.9900000002</v>
      </c>
      <c r="K89" s="14" t="s">
        <v>164</v>
      </c>
      <c r="L89" s="14" t="s">
        <v>147</v>
      </c>
      <c r="M89" s="14" t="s">
        <v>154</v>
      </c>
      <c r="P89" s="14" t="s">
        <v>39</v>
      </c>
      <c r="Q89" s="14" t="s">
        <v>25</v>
      </c>
      <c r="R89" s="14" t="s">
        <v>146</v>
      </c>
    </row>
    <row r="90" spans="1:18" s="14" customFormat="1" x14ac:dyDescent="0.25">
      <c r="A90" s="14" t="str">
        <f>"10001"</f>
        <v>10001</v>
      </c>
      <c r="B90" s="14" t="str">
        <f>"01730"</f>
        <v>01730</v>
      </c>
      <c r="C90" s="14" t="str">
        <f>"1100"</f>
        <v>1100</v>
      </c>
      <c r="D90" s="14" t="str">
        <f>"01730"</f>
        <v>01730</v>
      </c>
      <c r="E90" s="14" t="s">
        <v>20</v>
      </c>
      <c r="F90" s="14" t="s">
        <v>165</v>
      </c>
      <c r="G90" s="14" t="str">
        <f>""</f>
        <v/>
      </c>
      <c r="H90" s="14" t="str">
        <f>" 10"</f>
        <v xml:space="preserve"> 10</v>
      </c>
      <c r="I90" s="14">
        <v>0.01</v>
      </c>
      <c r="J90" s="14">
        <v>500</v>
      </c>
      <c r="K90" s="14" t="s">
        <v>147</v>
      </c>
      <c r="L90" s="14" t="s">
        <v>146</v>
      </c>
      <c r="P90" s="14" t="s">
        <v>39</v>
      </c>
      <c r="Q90" s="14" t="s">
        <v>25</v>
      </c>
      <c r="R90" s="14" t="s">
        <v>146</v>
      </c>
    </row>
    <row r="91" spans="1:18" s="14" customFormat="1" x14ac:dyDescent="0.25">
      <c r="A91" s="14" t="str">
        <f>"10001"</f>
        <v>10001</v>
      </c>
      <c r="B91" s="14" t="str">
        <f>"01730"</f>
        <v>01730</v>
      </c>
      <c r="C91" s="14" t="str">
        <f>"1100"</f>
        <v>1100</v>
      </c>
      <c r="D91" s="14" t="str">
        <f>"01730"</f>
        <v>01730</v>
      </c>
      <c r="E91" s="14" t="s">
        <v>20</v>
      </c>
      <c r="F91" s="14" t="s">
        <v>165</v>
      </c>
      <c r="G91" s="14" t="str">
        <f>""</f>
        <v/>
      </c>
      <c r="H91" s="14" t="str">
        <f>" 20"</f>
        <v xml:space="preserve"> 20</v>
      </c>
      <c r="I91" s="14">
        <v>500.01</v>
      </c>
      <c r="J91" s="14">
        <v>9999999.9900000002</v>
      </c>
      <c r="K91" s="14" t="s">
        <v>154</v>
      </c>
      <c r="L91" s="14" t="s">
        <v>147</v>
      </c>
      <c r="M91" s="14" t="s">
        <v>166</v>
      </c>
      <c r="P91" s="14" t="s">
        <v>39</v>
      </c>
      <c r="Q91" s="14" t="s">
        <v>25</v>
      </c>
      <c r="R91" s="14" t="s">
        <v>146</v>
      </c>
    </row>
    <row r="92" spans="1:18" s="14" customFormat="1" x14ac:dyDescent="0.25">
      <c r="A92" s="14" t="str">
        <f>"10001"</f>
        <v>10001</v>
      </c>
      <c r="B92" s="14" t="str">
        <f>"01750"</f>
        <v>01750</v>
      </c>
      <c r="C92" s="14" t="str">
        <f>"1100"</f>
        <v>1100</v>
      </c>
      <c r="D92" s="14" t="str">
        <f>"01750"</f>
        <v>01750</v>
      </c>
      <c r="E92" s="14" t="s">
        <v>20</v>
      </c>
      <c r="F92" s="14" t="s">
        <v>167</v>
      </c>
      <c r="G92" s="14" t="str">
        <f>""</f>
        <v/>
      </c>
      <c r="H92" s="14" t="str">
        <f>" 10"</f>
        <v xml:space="preserve"> 10</v>
      </c>
      <c r="I92" s="14">
        <v>0.01</v>
      </c>
      <c r="J92" s="14">
        <v>500</v>
      </c>
      <c r="K92" s="14" t="s">
        <v>147</v>
      </c>
      <c r="L92" s="14" t="s">
        <v>146</v>
      </c>
      <c r="P92" s="14" t="s">
        <v>39</v>
      </c>
      <c r="Q92" s="14" t="s">
        <v>25</v>
      </c>
      <c r="R92" s="14" t="s">
        <v>146</v>
      </c>
    </row>
    <row r="93" spans="1:18" s="14" customFormat="1" x14ac:dyDescent="0.25">
      <c r="A93" s="14" t="str">
        <f>"10001"</f>
        <v>10001</v>
      </c>
      <c r="B93" s="14" t="str">
        <f>"01750"</f>
        <v>01750</v>
      </c>
      <c r="C93" s="14" t="str">
        <f>"1100"</f>
        <v>1100</v>
      </c>
      <c r="D93" s="14" t="str">
        <f>"01750"</f>
        <v>01750</v>
      </c>
      <c r="E93" s="14" t="s">
        <v>20</v>
      </c>
      <c r="F93" s="14" t="s">
        <v>167</v>
      </c>
      <c r="G93" s="14" t="str">
        <f>""</f>
        <v/>
      </c>
      <c r="H93" s="14" t="str">
        <f>" 20"</f>
        <v xml:space="preserve"> 20</v>
      </c>
      <c r="I93" s="14">
        <v>500.01</v>
      </c>
      <c r="J93" s="14">
        <v>9999999.9900000002</v>
      </c>
      <c r="K93" s="14" t="s">
        <v>154</v>
      </c>
      <c r="L93" s="14" t="s">
        <v>147</v>
      </c>
      <c r="M93" s="14" t="s">
        <v>166</v>
      </c>
      <c r="P93" s="14" t="s">
        <v>39</v>
      </c>
      <c r="Q93" s="14" t="s">
        <v>25</v>
      </c>
      <c r="R93" s="14" t="s">
        <v>146</v>
      </c>
    </row>
    <row r="94" spans="1:18" s="14" customFormat="1" x14ac:dyDescent="0.25">
      <c r="A94" s="14" t="str">
        <f>"10001"</f>
        <v>10001</v>
      </c>
      <c r="B94" s="14" t="str">
        <f>"01760"</f>
        <v>01760</v>
      </c>
      <c r="C94" s="14" t="str">
        <f>"1100"</f>
        <v>1100</v>
      </c>
      <c r="D94" s="14" t="str">
        <f>"01760"</f>
        <v>01760</v>
      </c>
      <c r="E94" s="14" t="s">
        <v>20</v>
      </c>
      <c r="F94" s="14" t="s">
        <v>168</v>
      </c>
      <c r="G94" s="14" t="str">
        <f>""</f>
        <v/>
      </c>
      <c r="H94" s="14" t="str">
        <f>" 10"</f>
        <v xml:space="preserve"> 10</v>
      </c>
      <c r="I94" s="14">
        <v>0.01</v>
      </c>
      <c r="J94" s="14">
        <v>500</v>
      </c>
      <c r="K94" s="14" t="s">
        <v>146</v>
      </c>
      <c r="L94" s="14" t="s">
        <v>147</v>
      </c>
      <c r="P94" s="14" t="s">
        <v>39</v>
      </c>
      <c r="Q94" s="14" t="s">
        <v>25</v>
      </c>
      <c r="R94" s="14" t="s">
        <v>146</v>
      </c>
    </row>
    <row r="95" spans="1:18" s="14" customFormat="1" x14ac:dyDescent="0.25">
      <c r="A95" s="14" t="str">
        <f>"10001"</f>
        <v>10001</v>
      </c>
      <c r="B95" s="14" t="str">
        <f>"01760"</f>
        <v>01760</v>
      </c>
      <c r="C95" s="14" t="str">
        <f>"1100"</f>
        <v>1100</v>
      </c>
      <c r="D95" s="14" t="str">
        <f>"01760"</f>
        <v>01760</v>
      </c>
      <c r="E95" s="14" t="s">
        <v>20</v>
      </c>
      <c r="F95" s="14" t="s">
        <v>168</v>
      </c>
      <c r="G95" s="14" t="str">
        <f>""</f>
        <v/>
      </c>
      <c r="H95" s="14" t="str">
        <f>" 20"</f>
        <v xml:space="preserve"> 20</v>
      </c>
      <c r="I95" s="14">
        <v>500.01</v>
      </c>
      <c r="J95" s="14">
        <v>9999999.9900000002</v>
      </c>
      <c r="K95" s="14" t="s">
        <v>169</v>
      </c>
      <c r="L95" s="14" t="s">
        <v>147</v>
      </c>
      <c r="M95" s="14" t="s">
        <v>154</v>
      </c>
      <c r="P95" s="14" t="s">
        <v>39</v>
      </c>
      <c r="Q95" s="14" t="s">
        <v>25</v>
      </c>
      <c r="R95" s="14" t="s">
        <v>146</v>
      </c>
    </row>
    <row r="96" spans="1:18" s="14" customFormat="1" x14ac:dyDescent="0.25">
      <c r="A96" s="14" t="str">
        <f>"10001"</f>
        <v>10001</v>
      </c>
      <c r="B96" s="14" t="str">
        <f>"01765"</f>
        <v>01765</v>
      </c>
      <c r="C96" s="14" t="str">
        <f>"1100"</f>
        <v>1100</v>
      </c>
      <c r="D96" s="14" t="str">
        <f>"01765"</f>
        <v>01765</v>
      </c>
      <c r="E96" s="14" t="s">
        <v>20</v>
      </c>
      <c r="F96" s="14" t="s">
        <v>170</v>
      </c>
      <c r="G96" s="14" t="str">
        <f>""</f>
        <v/>
      </c>
      <c r="H96" s="14" t="str">
        <f>" 10"</f>
        <v xml:space="preserve"> 10</v>
      </c>
      <c r="I96" s="14">
        <v>0.01</v>
      </c>
      <c r="J96" s="14">
        <v>500</v>
      </c>
      <c r="K96" s="14" t="s">
        <v>146</v>
      </c>
      <c r="L96" s="14" t="s">
        <v>147</v>
      </c>
      <c r="P96" s="14" t="s">
        <v>39</v>
      </c>
      <c r="Q96" s="14" t="s">
        <v>25</v>
      </c>
      <c r="R96" s="14" t="s">
        <v>146</v>
      </c>
    </row>
    <row r="97" spans="1:18" s="14" customFormat="1" x14ac:dyDescent="0.25">
      <c r="A97" s="14" t="str">
        <f>"10001"</f>
        <v>10001</v>
      </c>
      <c r="B97" s="14" t="str">
        <f>"01765"</f>
        <v>01765</v>
      </c>
      <c r="C97" s="14" t="str">
        <f>"1100"</f>
        <v>1100</v>
      </c>
      <c r="D97" s="14" t="str">
        <f>"01765"</f>
        <v>01765</v>
      </c>
      <c r="E97" s="14" t="s">
        <v>20</v>
      </c>
      <c r="F97" s="14" t="s">
        <v>170</v>
      </c>
      <c r="G97" s="14" t="str">
        <f>""</f>
        <v/>
      </c>
      <c r="H97" s="14" t="str">
        <f>" 20"</f>
        <v xml:space="preserve"> 20</v>
      </c>
      <c r="I97" s="14">
        <v>500.01</v>
      </c>
      <c r="J97" s="14">
        <v>9999999.9900000002</v>
      </c>
      <c r="K97" s="14" t="s">
        <v>171</v>
      </c>
      <c r="L97" s="14" t="s">
        <v>147</v>
      </c>
      <c r="M97" s="14" t="s">
        <v>154</v>
      </c>
      <c r="P97" s="14" t="s">
        <v>39</v>
      </c>
      <c r="Q97" s="14" t="s">
        <v>25</v>
      </c>
      <c r="R97" s="14" t="s">
        <v>146</v>
      </c>
    </row>
    <row r="98" spans="1:18" s="14" customFormat="1" x14ac:dyDescent="0.25">
      <c r="A98" s="14" t="str">
        <f>"10001"</f>
        <v>10001</v>
      </c>
      <c r="B98" s="14" t="str">
        <f>"01770"</f>
        <v>01770</v>
      </c>
      <c r="C98" s="14" t="str">
        <f>"1100"</f>
        <v>1100</v>
      </c>
      <c r="D98" s="14" t="str">
        <f>"01770"</f>
        <v>01770</v>
      </c>
      <c r="E98" s="14" t="s">
        <v>20</v>
      </c>
      <c r="F98" s="14" t="s">
        <v>172</v>
      </c>
      <c r="G98" s="14" t="str">
        <f>""</f>
        <v/>
      </c>
      <c r="H98" s="14" t="str">
        <f>" 10"</f>
        <v xml:space="preserve"> 10</v>
      </c>
      <c r="I98" s="14">
        <v>0.01</v>
      </c>
      <c r="J98" s="14">
        <v>500</v>
      </c>
      <c r="K98" s="14" t="s">
        <v>146</v>
      </c>
      <c r="L98" s="14" t="s">
        <v>147</v>
      </c>
      <c r="P98" s="14" t="s">
        <v>39</v>
      </c>
      <c r="Q98" s="14" t="s">
        <v>25</v>
      </c>
      <c r="R98" s="14" t="s">
        <v>146</v>
      </c>
    </row>
    <row r="99" spans="1:18" s="14" customFormat="1" x14ac:dyDescent="0.25">
      <c r="A99" s="14" t="str">
        <f>"10001"</f>
        <v>10001</v>
      </c>
      <c r="B99" s="14" t="str">
        <f>"01770"</f>
        <v>01770</v>
      </c>
      <c r="C99" s="14" t="str">
        <f>"1100"</f>
        <v>1100</v>
      </c>
      <c r="D99" s="14" t="str">
        <f>"01770"</f>
        <v>01770</v>
      </c>
      <c r="E99" s="14" t="s">
        <v>20</v>
      </c>
      <c r="F99" s="14" t="s">
        <v>172</v>
      </c>
      <c r="G99" s="14" t="str">
        <f>""</f>
        <v/>
      </c>
      <c r="H99" s="14" t="str">
        <f>" 20"</f>
        <v xml:space="preserve"> 20</v>
      </c>
      <c r="I99" s="14">
        <v>500.01</v>
      </c>
      <c r="J99" s="14">
        <v>9999999.9900000002</v>
      </c>
      <c r="K99" s="14" t="s">
        <v>173</v>
      </c>
      <c r="L99" s="14" t="s">
        <v>147</v>
      </c>
      <c r="M99" s="14" t="s">
        <v>154</v>
      </c>
      <c r="P99" s="14" t="s">
        <v>39</v>
      </c>
      <c r="Q99" s="14" t="s">
        <v>25</v>
      </c>
      <c r="R99" s="14" t="s">
        <v>146</v>
      </c>
    </row>
    <row r="100" spans="1:18" s="14" customFormat="1" x14ac:dyDescent="0.25">
      <c r="A100" s="14" t="str">
        <f>"10001"</f>
        <v>10001</v>
      </c>
      <c r="B100" s="14" t="str">
        <f>"01775"</f>
        <v>01775</v>
      </c>
      <c r="C100" s="14" t="str">
        <f>"1100"</f>
        <v>1100</v>
      </c>
      <c r="D100" s="14" t="str">
        <f>"01775"</f>
        <v>01775</v>
      </c>
      <c r="E100" s="14" t="s">
        <v>20</v>
      </c>
      <c r="F100" s="14" t="s">
        <v>174</v>
      </c>
      <c r="G100" s="14" t="str">
        <f>""</f>
        <v/>
      </c>
      <c r="H100" s="14" t="str">
        <f>" 10"</f>
        <v xml:space="preserve"> 10</v>
      </c>
      <c r="I100" s="14">
        <v>0.01</v>
      </c>
      <c r="J100" s="14">
        <v>500</v>
      </c>
      <c r="K100" s="14" t="s">
        <v>146</v>
      </c>
      <c r="L100" s="14" t="s">
        <v>147</v>
      </c>
      <c r="P100" s="14" t="s">
        <v>39</v>
      </c>
      <c r="Q100" s="14" t="s">
        <v>25</v>
      </c>
      <c r="R100" s="14" t="s">
        <v>146</v>
      </c>
    </row>
    <row r="101" spans="1:18" s="14" customFormat="1" x14ac:dyDescent="0.25">
      <c r="A101" s="14" t="str">
        <f>"10001"</f>
        <v>10001</v>
      </c>
      <c r="B101" s="14" t="str">
        <f>"01775"</f>
        <v>01775</v>
      </c>
      <c r="C101" s="14" t="str">
        <f>"1100"</f>
        <v>1100</v>
      </c>
      <c r="D101" s="14" t="str">
        <f>"01775"</f>
        <v>01775</v>
      </c>
      <c r="E101" s="14" t="s">
        <v>20</v>
      </c>
      <c r="F101" s="14" t="s">
        <v>174</v>
      </c>
      <c r="G101" s="14" t="str">
        <f>""</f>
        <v/>
      </c>
      <c r="H101" s="14" t="str">
        <f>" 20"</f>
        <v xml:space="preserve"> 20</v>
      </c>
      <c r="I101" s="14">
        <v>500.01</v>
      </c>
      <c r="J101" s="14">
        <v>9999999.9900000002</v>
      </c>
      <c r="K101" s="14" t="s">
        <v>147</v>
      </c>
      <c r="L101" s="14" t="s">
        <v>154</v>
      </c>
      <c r="P101" s="14" t="s">
        <v>39</v>
      </c>
      <c r="Q101" s="14" t="s">
        <v>25</v>
      </c>
      <c r="R101" s="14" t="s">
        <v>146</v>
      </c>
    </row>
    <row r="102" spans="1:18" s="14" customFormat="1" x14ac:dyDescent="0.25">
      <c r="A102" s="14" t="str">
        <f>"10001"</f>
        <v>10001</v>
      </c>
      <c r="B102" s="14" t="str">
        <f>"01780"</f>
        <v>01780</v>
      </c>
      <c r="C102" s="14" t="str">
        <f>"1300"</f>
        <v>1300</v>
      </c>
      <c r="D102" s="14" t="str">
        <f>"01780"</f>
        <v>01780</v>
      </c>
      <c r="E102" s="14" t="s">
        <v>20</v>
      </c>
      <c r="F102" s="14" t="s">
        <v>175</v>
      </c>
      <c r="G102" s="14" t="str">
        <f>""</f>
        <v/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112</v>
      </c>
      <c r="L102" s="14" t="s">
        <v>113</v>
      </c>
      <c r="M102" s="14" t="s">
        <v>114</v>
      </c>
      <c r="P102" s="14" t="s">
        <v>31</v>
      </c>
      <c r="Q102" s="14" t="s">
        <v>25</v>
      </c>
      <c r="R102" s="14" t="s">
        <v>115</v>
      </c>
    </row>
    <row r="103" spans="1:18" s="14" customFormat="1" x14ac:dyDescent="0.25">
      <c r="A103" s="14" t="str">
        <f>"10001"</f>
        <v>10001</v>
      </c>
      <c r="B103" s="14" t="str">
        <f>"01785"</f>
        <v>01785</v>
      </c>
      <c r="C103" s="14" t="str">
        <f>"1300"</f>
        <v>1300</v>
      </c>
      <c r="D103" s="14" t="str">
        <f>"01785"</f>
        <v>01785</v>
      </c>
      <c r="E103" s="14" t="s">
        <v>20</v>
      </c>
      <c r="F103" s="14" t="s">
        <v>176</v>
      </c>
      <c r="G103" s="14" t="str">
        <f>""</f>
        <v/>
      </c>
      <c r="H103" s="14" t="str">
        <f>" 10"</f>
        <v xml:space="preserve"> 10</v>
      </c>
      <c r="I103" s="14">
        <v>0.01</v>
      </c>
      <c r="J103" s="14">
        <v>500</v>
      </c>
      <c r="K103" s="14" t="s">
        <v>177</v>
      </c>
      <c r="P103" s="14" t="s">
        <v>31</v>
      </c>
      <c r="Q103" s="14" t="s">
        <v>25</v>
      </c>
      <c r="R103" s="14" t="s">
        <v>90</v>
      </c>
    </row>
    <row r="104" spans="1:18" s="14" customFormat="1" x14ac:dyDescent="0.25">
      <c r="A104" s="14" t="str">
        <f>"10001"</f>
        <v>10001</v>
      </c>
      <c r="B104" s="14" t="str">
        <f>"01785"</f>
        <v>01785</v>
      </c>
      <c r="C104" s="14" t="str">
        <f>"1300"</f>
        <v>1300</v>
      </c>
      <c r="D104" s="14" t="str">
        <f>"01785"</f>
        <v>01785</v>
      </c>
      <c r="E104" s="14" t="s">
        <v>20</v>
      </c>
      <c r="F104" s="14" t="s">
        <v>176</v>
      </c>
      <c r="G104" s="14" t="str">
        <f>""</f>
        <v/>
      </c>
      <c r="H104" s="14" t="str">
        <f>" 20"</f>
        <v xml:space="preserve"> 20</v>
      </c>
      <c r="I104" s="14">
        <v>500.01</v>
      </c>
      <c r="J104" s="14">
        <v>9999999.9900000002</v>
      </c>
      <c r="K104" s="14" t="s">
        <v>90</v>
      </c>
      <c r="L104" s="14" t="s">
        <v>177</v>
      </c>
      <c r="P104" s="14" t="s">
        <v>31</v>
      </c>
      <c r="Q104" s="14" t="s">
        <v>25</v>
      </c>
      <c r="R104" s="14" t="s">
        <v>90</v>
      </c>
    </row>
    <row r="105" spans="1:18" s="14" customFormat="1" x14ac:dyDescent="0.25">
      <c r="A105" s="14" t="str">
        <f>"10001"</f>
        <v>10001</v>
      </c>
      <c r="B105" s="14" t="str">
        <f>"01790"</f>
        <v>01790</v>
      </c>
      <c r="C105" s="14" t="str">
        <f>"1100"</f>
        <v>1100</v>
      </c>
      <c r="D105" s="14" t="str">
        <f>"01790"</f>
        <v>01790</v>
      </c>
      <c r="E105" s="14" t="s">
        <v>20</v>
      </c>
      <c r="F105" s="14" t="s">
        <v>178</v>
      </c>
      <c r="G105" s="14" t="str">
        <f>""</f>
        <v/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179</v>
      </c>
      <c r="L105" s="14" t="s">
        <v>112</v>
      </c>
      <c r="M105" s="14" t="s">
        <v>113</v>
      </c>
      <c r="N105" s="14" t="s">
        <v>114</v>
      </c>
      <c r="P105" s="14" t="s">
        <v>31</v>
      </c>
      <c r="Q105" s="14" t="s">
        <v>25</v>
      </c>
      <c r="R105" s="14" t="s">
        <v>115</v>
      </c>
    </row>
    <row r="106" spans="1:18" s="14" customFormat="1" x14ac:dyDescent="0.25">
      <c r="A106" s="14" t="str">
        <f>"10001"</f>
        <v>10001</v>
      </c>
      <c r="B106" s="14" t="str">
        <f>"01800"</f>
        <v>01800</v>
      </c>
      <c r="C106" s="14" t="str">
        <f>"1100"</f>
        <v>1100</v>
      </c>
      <c r="D106" s="14" t="str">
        <f>"01800"</f>
        <v>01800</v>
      </c>
      <c r="E106" s="14" t="s">
        <v>20</v>
      </c>
      <c r="F106" s="14" t="s">
        <v>180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181</v>
      </c>
      <c r="L106" s="14" t="s">
        <v>112</v>
      </c>
      <c r="M106" s="14" t="s">
        <v>113</v>
      </c>
      <c r="N106" s="14" t="s">
        <v>114</v>
      </c>
      <c r="P106" s="14" t="s">
        <v>31</v>
      </c>
      <c r="Q106" s="14" t="s">
        <v>25</v>
      </c>
      <c r="R106" s="14" t="s">
        <v>115</v>
      </c>
    </row>
    <row r="107" spans="1:18" s="14" customFormat="1" x14ac:dyDescent="0.25">
      <c r="A107" s="14" t="str">
        <f>"10001"</f>
        <v>10001</v>
      </c>
      <c r="B107" s="14" t="str">
        <f>"01805"</f>
        <v>01805</v>
      </c>
      <c r="C107" s="14" t="str">
        <f>"1100"</f>
        <v>1100</v>
      </c>
      <c r="D107" s="14" t="str">
        <f>"01805"</f>
        <v>01805</v>
      </c>
      <c r="E107" s="14" t="s">
        <v>20</v>
      </c>
      <c r="F107" s="14" t="s">
        <v>182</v>
      </c>
      <c r="G107" s="14" t="str">
        <f>""</f>
        <v/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181</v>
      </c>
      <c r="L107" s="14" t="s">
        <v>112</v>
      </c>
      <c r="M107" s="14" t="s">
        <v>113</v>
      </c>
      <c r="N107" s="14" t="s">
        <v>114</v>
      </c>
      <c r="P107" s="14" t="s">
        <v>31</v>
      </c>
      <c r="Q107" s="14" t="s">
        <v>25</v>
      </c>
      <c r="R107" s="14" t="s">
        <v>115</v>
      </c>
    </row>
    <row r="108" spans="1:18" s="14" customFormat="1" x14ac:dyDescent="0.25">
      <c r="A108" s="14" t="str">
        <f>"10001"</f>
        <v>10001</v>
      </c>
      <c r="B108" s="14" t="str">
        <f>"01810"</f>
        <v>01810</v>
      </c>
      <c r="C108" s="14" t="str">
        <f>"1100"</f>
        <v>1100</v>
      </c>
      <c r="D108" s="14" t="str">
        <f>"01810"</f>
        <v>01810</v>
      </c>
      <c r="E108" s="14" t="s">
        <v>20</v>
      </c>
      <c r="F108" s="14" t="s">
        <v>183</v>
      </c>
      <c r="G108" s="14" t="str">
        <f>""</f>
        <v/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184</v>
      </c>
      <c r="L108" s="14" t="s">
        <v>112</v>
      </c>
      <c r="M108" s="14" t="s">
        <v>113</v>
      </c>
      <c r="N108" s="14" t="s">
        <v>114</v>
      </c>
      <c r="P108" s="14" t="s">
        <v>31</v>
      </c>
      <c r="Q108" s="14" t="s">
        <v>25</v>
      </c>
      <c r="R108" s="14" t="s">
        <v>115</v>
      </c>
    </row>
    <row r="109" spans="1:18" s="14" customFormat="1" x14ac:dyDescent="0.25">
      <c r="A109" s="14" t="str">
        <f>"10001"</f>
        <v>10001</v>
      </c>
      <c r="B109" s="14" t="str">
        <f>"01820"</f>
        <v>01820</v>
      </c>
      <c r="C109" s="14" t="str">
        <f>"1100"</f>
        <v>1100</v>
      </c>
      <c r="D109" s="14" t="str">
        <f>"01820"</f>
        <v>01820</v>
      </c>
      <c r="E109" s="14" t="s">
        <v>20</v>
      </c>
      <c r="F109" s="14" t="s">
        <v>185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186</v>
      </c>
      <c r="L109" s="14" t="s">
        <v>112</v>
      </c>
      <c r="M109" s="14" t="s">
        <v>113</v>
      </c>
      <c r="N109" s="14" t="s">
        <v>114</v>
      </c>
      <c r="P109" s="14" t="s">
        <v>31</v>
      </c>
      <c r="Q109" s="14" t="s">
        <v>25</v>
      </c>
      <c r="R109" s="14" t="s">
        <v>115</v>
      </c>
    </row>
    <row r="110" spans="1:18" s="14" customFormat="1" x14ac:dyDescent="0.25">
      <c r="A110" s="14" t="str">
        <f>"10001"</f>
        <v>10001</v>
      </c>
      <c r="B110" s="14" t="str">
        <f>"01830"</f>
        <v>01830</v>
      </c>
      <c r="C110" s="14" t="str">
        <f>"1100"</f>
        <v>1100</v>
      </c>
      <c r="D110" s="14" t="str">
        <f>"01830"</f>
        <v>01830</v>
      </c>
      <c r="E110" s="14" t="s">
        <v>20</v>
      </c>
      <c r="F110" s="14" t="s">
        <v>187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188</v>
      </c>
      <c r="L110" s="14" t="s">
        <v>112</v>
      </c>
      <c r="M110" s="14" t="s">
        <v>113</v>
      </c>
      <c r="N110" s="14" t="s">
        <v>114</v>
      </c>
      <c r="P110" s="14" t="s">
        <v>31</v>
      </c>
      <c r="Q110" s="14" t="s">
        <v>25</v>
      </c>
      <c r="R110" s="14" t="s">
        <v>115</v>
      </c>
    </row>
    <row r="111" spans="1:18" s="14" customFormat="1" x14ac:dyDescent="0.25">
      <c r="A111" s="14" t="str">
        <f>"10001"</f>
        <v>10001</v>
      </c>
      <c r="B111" s="14" t="str">
        <f>"02000"</f>
        <v>02000</v>
      </c>
      <c r="C111" s="14" t="str">
        <f>"1400"</f>
        <v>1400</v>
      </c>
      <c r="D111" s="14" t="str">
        <f>"02000"</f>
        <v>02000</v>
      </c>
      <c r="E111" s="14" t="s">
        <v>20</v>
      </c>
      <c r="F111" s="14" t="s">
        <v>189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28</v>
      </c>
      <c r="L111" s="14" t="s">
        <v>190</v>
      </c>
      <c r="P111" s="14" t="s">
        <v>31</v>
      </c>
      <c r="Q111" s="14" t="s">
        <v>25</v>
      </c>
      <c r="R111" s="14" t="s">
        <v>32</v>
      </c>
    </row>
    <row r="112" spans="1:18" s="14" customFormat="1" x14ac:dyDescent="0.25">
      <c r="A112" s="14" t="str">
        <f>"10001"</f>
        <v>10001</v>
      </c>
      <c r="B112" s="14" t="str">
        <f>"02010"</f>
        <v>02010</v>
      </c>
      <c r="C112" s="14" t="str">
        <f>"1400"</f>
        <v>1400</v>
      </c>
      <c r="D112" s="14" t="str">
        <f>"02010"</f>
        <v>02010</v>
      </c>
      <c r="E112" s="14" t="s">
        <v>20</v>
      </c>
      <c r="F112" s="14" t="s">
        <v>191</v>
      </c>
      <c r="G112" s="14" t="str">
        <f>""</f>
        <v/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192</v>
      </c>
      <c r="L112" s="14" t="s">
        <v>193</v>
      </c>
      <c r="M112" s="14" t="s">
        <v>194</v>
      </c>
      <c r="P112" s="14" t="s">
        <v>31</v>
      </c>
      <c r="Q112" s="14" t="s">
        <v>25</v>
      </c>
      <c r="R112" s="14" t="s">
        <v>192</v>
      </c>
    </row>
    <row r="113" spans="1:18" s="14" customFormat="1" x14ac:dyDescent="0.25">
      <c r="A113" s="14" t="str">
        <f>"10001"</f>
        <v>10001</v>
      </c>
      <c r="B113" s="14" t="str">
        <f>"02040"</f>
        <v>02040</v>
      </c>
      <c r="C113" s="14" t="str">
        <f>"1400"</f>
        <v>1400</v>
      </c>
      <c r="D113" s="14" t="str">
        <f>"02040"</f>
        <v>02040</v>
      </c>
      <c r="E113" s="14" t="s">
        <v>20</v>
      </c>
      <c r="F113" s="14" t="s">
        <v>195</v>
      </c>
      <c r="G113" s="14" t="str">
        <f>""</f>
        <v/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193</v>
      </c>
      <c r="L113" s="14" t="s">
        <v>196</v>
      </c>
      <c r="M113" s="14" t="s">
        <v>192</v>
      </c>
      <c r="P113" s="14" t="s">
        <v>31</v>
      </c>
      <c r="Q113" s="14" t="s">
        <v>25</v>
      </c>
      <c r="R113" s="14" t="s">
        <v>193</v>
      </c>
    </row>
    <row r="114" spans="1:18" s="14" customFormat="1" x14ac:dyDescent="0.25">
      <c r="A114" s="14" t="str">
        <f>"10001"</f>
        <v>10001</v>
      </c>
      <c r="B114" s="14" t="str">
        <f>"02050"</f>
        <v>02050</v>
      </c>
      <c r="C114" s="14" t="str">
        <f>"1400"</f>
        <v>1400</v>
      </c>
      <c r="D114" s="14" t="str">
        <f>"02050"</f>
        <v>02050</v>
      </c>
      <c r="E114" s="14" t="s">
        <v>20</v>
      </c>
      <c r="F114" s="14" t="s">
        <v>197</v>
      </c>
      <c r="G114" s="14" t="str">
        <f>""</f>
        <v/>
      </c>
      <c r="H114" s="14" t="str">
        <f>" 10"</f>
        <v xml:space="preserve"> 10</v>
      </c>
      <c r="I114" s="14">
        <v>0.01</v>
      </c>
      <c r="J114" s="14">
        <v>500</v>
      </c>
      <c r="K114" s="14" t="s">
        <v>198</v>
      </c>
      <c r="L114" s="14" t="s">
        <v>199</v>
      </c>
      <c r="P114" s="14" t="s">
        <v>31</v>
      </c>
      <c r="Q114" s="14" t="s">
        <v>25</v>
      </c>
      <c r="R114" s="14" t="s">
        <v>32</v>
      </c>
    </row>
    <row r="115" spans="1:18" s="14" customFormat="1" x14ac:dyDescent="0.25">
      <c r="A115" s="14" t="str">
        <f>"10001"</f>
        <v>10001</v>
      </c>
      <c r="B115" s="14" t="str">
        <f>"02050"</f>
        <v>02050</v>
      </c>
      <c r="C115" s="14" t="str">
        <f>"1400"</f>
        <v>1400</v>
      </c>
      <c r="D115" s="14" t="str">
        <f>"02050"</f>
        <v>02050</v>
      </c>
      <c r="E115" s="14" t="s">
        <v>20</v>
      </c>
      <c r="F115" s="14" t="s">
        <v>197</v>
      </c>
      <c r="G115" s="14" t="str">
        <f>""</f>
        <v/>
      </c>
      <c r="H115" s="14" t="str">
        <f>" 20"</f>
        <v xml:space="preserve"> 20</v>
      </c>
      <c r="I115" s="14">
        <v>500.01</v>
      </c>
      <c r="J115" s="14">
        <v>9999999.9900000002</v>
      </c>
      <c r="K115" s="14" t="s">
        <v>198</v>
      </c>
      <c r="L115" s="14" t="s">
        <v>200</v>
      </c>
      <c r="P115" s="14" t="s">
        <v>31</v>
      </c>
      <c r="Q115" s="14" t="s">
        <v>25</v>
      </c>
      <c r="R115" s="14" t="s">
        <v>32</v>
      </c>
    </row>
    <row r="116" spans="1:18" s="14" customFormat="1" x14ac:dyDescent="0.25">
      <c r="A116" s="14" t="str">
        <f>"10001"</f>
        <v>10001</v>
      </c>
      <c r="B116" s="14" t="str">
        <f>"02070"</f>
        <v>02070</v>
      </c>
      <c r="C116" s="14" t="str">
        <f>"1400"</f>
        <v>1400</v>
      </c>
      <c r="D116" s="14" t="str">
        <f>"02070"</f>
        <v>02070</v>
      </c>
      <c r="E116" s="14" t="s">
        <v>20</v>
      </c>
      <c r="F116" s="14" t="s">
        <v>201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199</v>
      </c>
      <c r="L116" s="14" t="s">
        <v>198</v>
      </c>
      <c r="P116" s="14" t="s">
        <v>31</v>
      </c>
      <c r="Q116" s="14" t="s">
        <v>25</v>
      </c>
      <c r="R116" s="14" t="s">
        <v>202</v>
      </c>
    </row>
    <row r="117" spans="1:18" s="14" customFormat="1" x14ac:dyDescent="0.25">
      <c r="A117" s="14" t="str">
        <f>"10001"</f>
        <v>10001</v>
      </c>
      <c r="B117" s="14" t="str">
        <f>"02080"</f>
        <v>02080</v>
      </c>
      <c r="C117" s="14" t="str">
        <f>"1400"</f>
        <v>1400</v>
      </c>
      <c r="D117" s="14" t="str">
        <f>"02080"</f>
        <v>02080</v>
      </c>
      <c r="E117" s="14" t="s">
        <v>20</v>
      </c>
      <c r="F117" s="14" t="s">
        <v>203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204</v>
      </c>
      <c r="L117" s="14" t="s">
        <v>205</v>
      </c>
      <c r="P117" s="14" t="s">
        <v>31</v>
      </c>
      <c r="Q117" s="14" t="s">
        <v>25</v>
      </c>
      <c r="R117" s="14" t="s">
        <v>206</v>
      </c>
    </row>
    <row r="118" spans="1:18" s="14" customFormat="1" x14ac:dyDescent="0.25">
      <c r="A118" s="14" t="str">
        <f>"10001"</f>
        <v>10001</v>
      </c>
      <c r="B118" s="14" t="str">
        <f>"02085"</f>
        <v>02085</v>
      </c>
      <c r="C118" s="14" t="str">
        <f>"1400"</f>
        <v>1400</v>
      </c>
      <c r="D118" s="14" t="str">
        <f>"02085"</f>
        <v>02085</v>
      </c>
      <c r="E118" s="14" t="s">
        <v>20</v>
      </c>
      <c r="F118" s="14" t="s">
        <v>207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204</v>
      </c>
      <c r="L118" s="14" t="s">
        <v>208</v>
      </c>
      <c r="P118" s="14" t="s">
        <v>31</v>
      </c>
      <c r="Q118" s="14" t="s">
        <v>25</v>
      </c>
      <c r="R118" s="14" t="s">
        <v>208</v>
      </c>
    </row>
    <row r="119" spans="1:18" s="14" customFormat="1" x14ac:dyDescent="0.25">
      <c r="A119" s="14" t="str">
        <f>"10001"</f>
        <v>10001</v>
      </c>
      <c r="B119" s="14" t="str">
        <f>"02120"</f>
        <v>02120</v>
      </c>
      <c r="C119" s="14" t="str">
        <f>"1400"</f>
        <v>1400</v>
      </c>
      <c r="D119" s="14" t="str">
        <f>"02120A"</f>
        <v>02120A</v>
      </c>
      <c r="E119" s="14" t="s">
        <v>20</v>
      </c>
      <c r="F119" s="14" t="s">
        <v>209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29</v>
      </c>
      <c r="L119" s="14" t="s">
        <v>210</v>
      </c>
      <c r="P119" s="14" t="s">
        <v>31</v>
      </c>
      <c r="Q119" s="14" t="s">
        <v>25</v>
      </c>
      <c r="R119" s="14" t="s">
        <v>210</v>
      </c>
    </row>
    <row r="120" spans="1:18" s="14" customFormat="1" x14ac:dyDescent="0.25">
      <c r="A120" s="14" t="str">
        <f>"10001"</f>
        <v>10001</v>
      </c>
      <c r="B120" s="14" t="str">
        <f>"02121"</f>
        <v>02121</v>
      </c>
      <c r="C120" s="14" t="str">
        <f>"1400"</f>
        <v>1400</v>
      </c>
      <c r="D120" s="14" t="str">
        <f>"02121"</f>
        <v>02121</v>
      </c>
      <c r="E120" s="14" t="s">
        <v>20</v>
      </c>
      <c r="F120" s="14" t="s">
        <v>211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29</v>
      </c>
      <c r="L120" s="14" t="s">
        <v>210</v>
      </c>
      <c r="P120" s="14" t="s">
        <v>31</v>
      </c>
      <c r="Q120" s="14" t="s">
        <v>25</v>
      </c>
      <c r="R120" s="14" t="s">
        <v>210</v>
      </c>
    </row>
    <row r="121" spans="1:18" s="14" customFormat="1" x14ac:dyDescent="0.25">
      <c r="A121" s="14" t="str">
        <f>"10001"</f>
        <v>10001</v>
      </c>
      <c r="B121" s="14" t="str">
        <f>"02130"</f>
        <v>02130</v>
      </c>
      <c r="C121" s="14" t="str">
        <f>"1400"</f>
        <v>1400</v>
      </c>
      <c r="D121" s="14" t="str">
        <f>"02130"</f>
        <v>02130</v>
      </c>
      <c r="E121" s="14" t="s">
        <v>20</v>
      </c>
      <c r="F121" s="14" t="s">
        <v>212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193</v>
      </c>
      <c r="L121" s="14" t="s">
        <v>196</v>
      </c>
      <c r="M121" s="14" t="s">
        <v>213</v>
      </c>
      <c r="P121" s="14" t="s">
        <v>31</v>
      </c>
      <c r="Q121" s="14" t="s">
        <v>25</v>
      </c>
      <c r="R121" s="14" t="s">
        <v>214</v>
      </c>
    </row>
    <row r="122" spans="1:18" s="14" customFormat="1" x14ac:dyDescent="0.25">
      <c r="A122" s="14" t="str">
        <f>"10001"</f>
        <v>10001</v>
      </c>
      <c r="B122" s="14" t="str">
        <f>"02150"</f>
        <v>02150</v>
      </c>
      <c r="C122" s="14" t="str">
        <f>"1400"</f>
        <v>1400</v>
      </c>
      <c r="D122" s="14" t="str">
        <f>"02150"</f>
        <v>02150</v>
      </c>
      <c r="E122" s="14" t="s">
        <v>20</v>
      </c>
      <c r="F122" s="14" t="s">
        <v>215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28</v>
      </c>
      <c r="L122" s="14" t="s">
        <v>190</v>
      </c>
      <c r="M122" s="14" t="s">
        <v>216</v>
      </c>
      <c r="P122" s="14" t="s">
        <v>31</v>
      </c>
      <c r="Q122" s="14" t="s">
        <v>25</v>
      </c>
      <c r="R122" s="14" t="s">
        <v>190</v>
      </c>
    </row>
    <row r="123" spans="1:18" s="14" customFormat="1" x14ac:dyDescent="0.25">
      <c r="A123" s="14" t="str">
        <f>"10001"</f>
        <v>10001</v>
      </c>
      <c r="B123" s="14" t="str">
        <f>"03000"</f>
        <v>03000</v>
      </c>
      <c r="C123" s="14" t="str">
        <f>"1400"</f>
        <v>1400</v>
      </c>
      <c r="D123" s="14" t="str">
        <f>"03000A"</f>
        <v>03000A</v>
      </c>
      <c r="E123" s="14" t="s">
        <v>20</v>
      </c>
      <c r="F123" s="14" t="s">
        <v>217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34</v>
      </c>
      <c r="L123" s="14" t="s">
        <v>25</v>
      </c>
      <c r="P123" s="14" t="s">
        <v>31</v>
      </c>
      <c r="Q123" s="14" t="s">
        <v>25</v>
      </c>
      <c r="R123" s="14" t="s">
        <v>35</v>
      </c>
    </row>
    <row r="124" spans="1:18" s="14" customFormat="1" x14ac:dyDescent="0.25">
      <c r="A124" s="14" t="str">
        <f>"10001"</f>
        <v>10001</v>
      </c>
      <c r="B124" s="14" t="str">
        <f>"03010"</f>
        <v>03010</v>
      </c>
      <c r="C124" s="14" t="str">
        <f>"1400"</f>
        <v>1400</v>
      </c>
      <c r="D124" s="14" t="str">
        <f>"03010"</f>
        <v>03010</v>
      </c>
      <c r="E124" s="14" t="s">
        <v>20</v>
      </c>
      <c r="F124" s="14" t="s">
        <v>218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34</v>
      </c>
      <c r="L124" s="14" t="s">
        <v>25</v>
      </c>
      <c r="P124" s="14" t="s">
        <v>31</v>
      </c>
      <c r="Q124" s="14" t="s">
        <v>25</v>
      </c>
      <c r="R124" s="14" t="s">
        <v>190</v>
      </c>
    </row>
    <row r="125" spans="1:18" s="14" customFormat="1" x14ac:dyDescent="0.25">
      <c r="A125" s="14" t="str">
        <f>"10001"</f>
        <v>10001</v>
      </c>
      <c r="B125" s="14" t="str">
        <f>"03018"</f>
        <v>03018</v>
      </c>
      <c r="C125" s="14" t="str">
        <f>"1100"</f>
        <v>1100</v>
      </c>
      <c r="D125" s="14" t="str">
        <f>"03018"</f>
        <v>03018</v>
      </c>
      <c r="E125" s="14" t="s">
        <v>20</v>
      </c>
      <c r="F125" s="14" t="s">
        <v>219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34</v>
      </c>
      <c r="L125" s="14" t="s">
        <v>25</v>
      </c>
      <c r="P125" s="14" t="s">
        <v>31</v>
      </c>
      <c r="Q125" s="14" t="s">
        <v>25</v>
      </c>
      <c r="R125" s="14" t="s">
        <v>35</v>
      </c>
    </row>
    <row r="126" spans="1:18" s="14" customFormat="1" x14ac:dyDescent="0.25">
      <c r="A126" s="14" t="str">
        <f>"10001"</f>
        <v>10001</v>
      </c>
      <c r="B126" s="14" t="str">
        <f>"03020"</f>
        <v>03020</v>
      </c>
      <c r="C126" s="14" t="str">
        <f>"1400"</f>
        <v>1400</v>
      </c>
      <c r="D126" s="14" t="str">
        <f>"03020"</f>
        <v>03020</v>
      </c>
      <c r="E126" s="14" t="s">
        <v>20</v>
      </c>
      <c r="F126" s="14" t="s">
        <v>220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34</v>
      </c>
      <c r="L126" s="14" t="s">
        <v>25</v>
      </c>
      <c r="P126" s="14" t="s">
        <v>31</v>
      </c>
      <c r="Q126" s="14" t="s">
        <v>25</v>
      </c>
      <c r="R126" s="14" t="s">
        <v>35</v>
      </c>
    </row>
    <row r="127" spans="1:18" s="14" customFormat="1" x14ac:dyDescent="0.25">
      <c r="A127" s="14" t="str">
        <f>"10001"</f>
        <v>10001</v>
      </c>
      <c r="B127" s="14" t="str">
        <f>"03022"</f>
        <v>03022</v>
      </c>
      <c r="C127" s="14" t="str">
        <f>"1300"</f>
        <v>1300</v>
      </c>
      <c r="D127" s="14" t="str">
        <f>"03022"</f>
        <v>03022</v>
      </c>
      <c r="E127" s="14" t="s">
        <v>20</v>
      </c>
      <c r="F127" s="14" t="s">
        <v>221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34</v>
      </c>
      <c r="L127" s="14" t="s">
        <v>25</v>
      </c>
      <c r="P127" s="14" t="s">
        <v>31</v>
      </c>
      <c r="Q127" s="14" t="s">
        <v>25</v>
      </c>
      <c r="R127" s="14" t="s">
        <v>35</v>
      </c>
    </row>
    <row r="128" spans="1:18" s="14" customFormat="1" x14ac:dyDescent="0.25">
      <c r="A128" s="14" t="str">
        <f>"10001"</f>
        <v>10001</v>
      </c>
      <c r="B128" s="14" t="str">
        <f>"03024"</f>
        <v>03024</v>
      </c>
      <c r="C128" s="14" t="str">
        <f>"1700"</f>
        <v>1700</v>
      </c>
      <c r="D128" s="14" t="str">
        <f>"03024"</f>
        <v>03024</v>
      </c>
      <c r="E128" s="14" t="s">
        <v>20</v>
      </c>
      <c r="F128" s="14" t="s">
        <v>222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34</v>
      </c>
      <c r="L128" s="14" t="s">
        <v>25</v>
      </c>
      <c r="P128" s="14" t="s">
        <v>31</v>
      </c>
      <c r="Q128" s="14" t="s">
        <v>25</v>
      </c>
      <c r="R128" s="14" t="s">
        <v>35</v>
      </c>
    </row>
    <row r="129" spans="1:18" s="14" customFormat="1" x14ac:dyDescent="0.25">
      <c r="A129" s="14" t="str">
        <f>"10001"</f>
        <v>10001</v>
      </c>
      <c r="B129" s="14" t="str">
        <f>"03026"</f>
        <v>03026</v>
      </c>
      <c r="C129" s="14" t="str">
        <f>"1400"</f>
        <v>1400</v>
      </c>
      <c r="D129" s="14" t="str">
        <f>"03026"</f>
        <v>03026</v>
      </c>
      <c r="E129" s="14" t="s">
        <v>20</v>
      </c>
      <c r="F129" s="14" t="s">
        <v>223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34</v>
      </c>
      <c r="L129" s="14" t="s">
        <v>25</v>
      </c>
      <c r="P129" s="14" t="s">
        <v>31</v>
      </c>
      <c r="Q129" s="14" t="s">
        <v>25</v>
      </c>
      <c r="R129" s="14" t="s">
        <v>35</v>
      </c>
    </row>
    <row r="130" spans="1:18" s="14" customFormat="1" x14ac:dyDescent="0.25">
      <c r="A130" s="14" t="str">
        <f>"10001"</f>
        <v>10001</v>
      </c>
      <c r="B130" s="14" t="str">
        <f>"03030"</f>
        <v>03030</v>
      </c>
      <c r="C130" s="14" t="str">
        <f>"1500"</f>
        <v>1500</v>
      </c>
      <c r="D130" s="14" t="str">
        <f>"03030"</f>
        <v>03030</v>
      </c>
      <c r="E130" s="14" t="s">
        <v>20</v>
      </c>
      <c r="F130" s="14" t="s">
        <v>224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34</v>
      </c>
      <c r="L130" s="14" t="s">
        <v>25</v>
      </c>
      <c r="P130" s="14" t="s">
        <v>31</v>
      </c>
      <c r="Q130" s="14" t="s">
        <v>25</v>
      </c>
      <c r="R130" s="14" t="s">
        <v>35</v>
      </c>
    </row>
    <row r="131" spans="1:18" s="14" customFormat="1" x14ac:dyDescent="0.25">
      <c r="A131" s="14" t="str">
        <f>"10001"</f>
        <v>10001</v>
      </c>
      <c r="B131" s="14" t="str">
        <f>"03050"</f>
        <v>03050</v>
      </c>
      <c r="C131" s="14" t="str">
        <f>"1400"</f>
        <v>1400</v>
      </c>
      <c r="D131" s="14" t="str">
        <f>"03050"</f>
        <v>03050</v>
      </c>
      <c r="E131" s="14" t="s">
        <v>20</v>
      </c>
      <c r="F131" s="14" t="s">
        <v>225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226</v>
      </c>
      <c r="L131" s="14" t="s">
        <v>227</v>
      </c>
      <c r="M131" s="14" t="s">
        <v>228</v>
      </c>
      <c r="P131" s="14" t="s">
        <v>31</v>
      </c>
      <c r="Q131" s="14" t="s">
        <v>25</v>
      </c>
      <c r="R131" s="14" t="s">
        <v>229</v>
      </c>
    </row>
    <row r="132" spans="1:18" s="14" customFormat="1" x14ac:dyDescent="0.25">
      <c r="A132" s="14" t="str">
        <f>"10001"</f>
        <v>10001</v>
      </c>
      <c r="B132" s="14" t="str">
        <f>"03090"</f>
        <v>03090</v>
      </c>
      <c r="C132" s="14" t="str">
        <f>"1400"</f>
        <v>1400</v>
      </c>
      <c r="D132" s="14" t="str">
        <f>"03090"</f>
        <v>03090</v>
      </c>
      <c r="E132" s="14" t="s">
        <v>20</v>
      </c>
      <c r="F132" s="14" t="s">
        <v>230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231</v>
      </c>
      <c r="L132" s="14" t="s">
        <v>232</v>
      </c>
      <c r="M132" s="14" t="s">
        <v>233</v>
      </c>
      <c r="P132" s="14" t="s">
        <v>31</v>
      </c>
      <c r="Q132" s="14" t="s">
        <v>25</v>
      </c>
      <c r="R132" s="14" t="s">
        <v>234</v>
      </c>
    </row>
    <row r="133" spans="1:18" s="14" customFormat="1" x14ac:dyDescent="0.25">
      <c r="A133" s="14" t="str">
        <f>"10001"</f>
        <v>10001</v>
      </c>
      <c r="B133" s="14" t="str">
        <f>"03092"</f>
        <v>03092</v>
      </c>
      <c r="C133" s="14" t="str">
        <f>"1500"</f>
        <v>1500</v>
      </c>
      <c r="D133" s="14" t="str">
        <f>"03092"</f>
        <v>03092</v>
      </c>
      <c r="E133" s="14" t="s">
        <v>20</v>
      </c>
      <c r="F133" s="14" t="s">
        <v>235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236</v>
      </c>
      <c r="L133" s="14" t="s">
        <v>237</v>
      </c>
      <c r="M133" s="14" t="s">
        <v>238</v>
      </c>
      <c r="P133" s="14" t="s">
        <v>239</v>
      </c>
      <c r="Q133" s="14" t="s">
        <v>25</v>
      </c>
      <c r="R133" s="14" t="s">
        <v>1930</v>
      </c>
    </row>
    <row r="134" spans="1:18" s="14" customFormat="1" x14ac:dyDescent="0.25">
      <c r="A134" s="14" t="str">
        <f>"10001"</f>
        <v>10001</v>
      </c>
      <c r="B134" s="14" t="str">
        <f>"03094"</f>
        <v>03094</v>
      </c>
      <c r="C134" s="14" t="str">
        <f>"1400"</f>
        <v>1400</v>
      </c>
      <c r="D134" s="14" t="str">
        <f>"03094"</f>
        <v>03094</v>
      </c>
      <c r="E134" s="14" t="s">
        <v>20</v>
      </c>
      <c r="F134" s="14" t="s">
        <v>240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241</v>
      </c>
      <c r="L134" s="14" t="s">
        <v>231</v>
      </c>
      <c r="P134" s="14" t="s">
        <v>31</v>
      </c>
      <c r="Q134" s="14" t="s">
        <v>25</v>
      </c>
      <c r="R134" s="14" t="s">
        <v>242</v>
      </c>
    </row>
    <row r="135" spans="1:18" s="14" customFormat="1" x14ac:dyDescent="0.25">
      <c r="A135" s="14" t="str">
        <f>"10001"</f>
        <v>10001</v>
      </c>
      <c r="B135" s="14" t="str">
        <f>"03120"</f>
        <v>03120</v>
      </c>
      <c r="C135" s="14" t="str">
        <f>"1500"</f>
        <v>1500</v>
      </c>
      <c r="D135" s="14" t="str">
        <f>"03120"</f>
        <v>03120</v>
      </c>
      <c r="E135" s="14" t="s">
        <v>20</v>
      </c>
      <c r="F135" s="14" t="s">
        <v>243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244</v>
      </c>
      <c r="P135" s="14" t="s">
        <v>31</v>
      </c>
      <c r="Q135" s="14" t="s">
        <v>25</v>
      </c>
      <c r="R135" s="14" t="s">
        <v>245</v>
      </c>
    </row>
    <row r="136" spans="1:18" s="14" customFormat="1" x14ac:dyDescent="0.25">
      <c r="A136" s="14" t="str">
        <f>"10001"</f>
        <v>10001</v>
      </c>
      <c r="B136" s="14" t="str">
        <f>"03130"</f>
        <v>03130</v>
      </c>
      <c r="C136" s="14" t="str">
        <f>"1500"</f>
        <v>1500</v>
      </c>
      <c r="D136" s="14" t="str">
        <f>"03130"</f>
        <v>03130</v>
      </c>
      <c r="E136" s="14" t="s">
        <v>20</v>
      </c>
      <c r="F136" s="14" t="s">
        <v>246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244</v>
      </c>
      <c r="P136" s="14" t="s">
        <v>31</v>
      </c>
      <c r="Q136" s="14" t="s">
        <v>25</v>
      </c>
      <c r="R136" s="14" t="s">
        <v>245</v>
      </c>
    </row>
    <row r="137" spans="1:18" s="14" customFormat="1" x14ac:dyDescent="0.25">
      <c r="A137" s="14" t="str">
        <f>"10001"</f>
        <v>10001</v>
      </c>
      <c r="B137" s="14" t="str">
        <f>"03140"</f>
        <v>03140</v>
      </c>
      <c r="C137" s="14" t="str">
        <f>"1500"</f>
        <v>1500</v>
      </c>
      <c r="D137" s="14" t="str">
        <f>"03140A"</f>
        <v>03140A</v>
      </c>
      <c r="E137" s="14" t="s">
        <v>20</v>
      </c>
      <c r="F137" s="14" t="s">
        <v>247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236</v>
      </c>
      <c r="L137" s="14" t="s">
        <v>237</v>
      </c>
      <c r="M137" s="14" t="s">
        <v>238</v>
      </c>
      <c r="P137" s="14" t="s">
        <v>239</v>
      </c>
      <c r="Q137" s="14" t="s">
        <v>25</v>
      </c>
      <c r="R137" s="14" t="s">
        <v>1930</v>
      </c>
    </row>
    <row r="138" spans="1:18" s="14" customFormat="1" x14ac:dyDescent="0.25">
      <c r="A138" s="14" t="str">
        <f>"10001"</f>
        <v>10001</v>
      </c>
      <c r="B138" s="14" t="str">
        <f>"03145"</f>
        <v>03145</v>
      </c>
      <c r="C138" s="14" t="str">
        <f>"1500"</f>
        <v>1500</v>
      </c>
      <c r="D138" s="14" t="str">
        <f>"03145"</f>
        <v>03145</v>
      </c>
      <c r="E138" s="14" t="s">
        <v>20</v>
      </c>
      <c r="F138" s="14" t="s">
        <v>248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236</v>
      </c>
      <c r="L138" s="14" t="s">
        <v>237</v>
      </c>
      <c r="M138" s="14" t="s">
        <v>238</v>
      </c>
      <c r="P138" s="14" t="s">
        <v>239</v>
      </c>
      <c r="Q138" s="14" t="s">
        <v>25</v>
      </c>
      <c r="R138" s="14" t="s">
        <v>1930</v>
      </c>
    </row>
    <row r="139" spans="1:18" s="14" customFormat="1" x14ac:dyDescent="0.25">
      <c r="A139" s="14" t="str">
        <f>"10001"</f>
        <v>10001</v>
      </c>
      <c r="B139" s="14" t="str">
        <f>"03150"</f>
        <v>03150</v>
      </c>
      <c r="C139" s="14" t="str">
        <f>"1500"</f>
        <v>1500</v>
      </c>
      <c r="D139" s="14" t="str">
        <f>"03150"</f>
        <v>03150</v>
      </c>
      <c r="E139" s="14" t="s">
        <v>20</v>
      </c>
      <c r="F139" s="14" t="s">
        <v>249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236</v>
      </c>
      <c r="L139" s="14" t="s">
        <v>237</v>
      </c>
      <c r="M139" s="14" t="s">
        <v>238</v>
      </c>
      <c r="P139" s="14" t="s">
        <v>239</v>
      </c>
      <c r="Q139" s="14" t="s">
        <v>25</v>
      </c>
      <c r="R139" s="14" t="s">
        <v>250</v>
      </c>
    </row>
    <row r="140" spans="1:18" s="14" customFormat="1" x14ac:dyDescent="0.25">
      <c r="A140" s="14" t="str">
        <f>"10001"</f>
        <v>10001</v>
      </c>
      <c r="B140" s="14" t="str">
        <f>"03170"</f>
        <v>03170</v>
      </c>
      <c r="C140" s="14" t="str">
        <f>"1400"</f>
        <v>1400</v>
      </c>
      <c r="D140" s="14" t="str">
        <f>"03170"</f>
        <v>03170</v>
      </c>
      <c r="E140" s="14" t="s">
        <v>20</v>
      </c>
      <c r="F140" s="14" t="s">
        <v>251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252</v>
      </c>
      <c r="L140" s="14" t="s">
        <v>253</v>
      </c>
      <c r="P140" s="14" t="s">
        <v>31</v>
      </c>
      <c r="Q140" s="14" t="s">
        <v>25</v>
      </c>
      <c r="R140" s="14" t="s">
        <v>254</v>
      </c>
    </row>
    <row r="141" spans="1:18" s="14" customFormat="1" x14ac:dyDescent="0.25">
      <c r="A141" s="14" t="str">
        <f>"10001"</f>
        <v>10001</v>
      </c>
      <c r="B141" s="14" t="str">
        <f>"03180"</f>
        <v>03180</v>
      </c>
      <c r="C141" s="14" t="str">
        <f>"1300"</f>
        <v>1300</v>
      </c>
      <c r="D141" s="14" t="str">
        <f>"03180"</f>
        <v>03180</v>
      </c>
      <c r="E141" s="14" t="s">
        <v>20</v>
      </c>
      <c r="F141" s="14" t="s">
        <v>255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252</v>
      </c>
      <c r="L141" s="14" t="s">
        <v>253</v>
      </c>
      <c r="M141" s="14" t="s">
        <v>256</v>
      </c>
      <c r="P141" s="14" t="s">
        <v>31</v>
      </c>
      <c r="Q141" s="14" t="s">
        <v>25</v>
      </c>
      <c r="R141" s="14" t="s">
        <v>254</v>
      </c>
    </row>
    <row r="142" spans="1:18" s="14" customFormat="1" x14ac:dyDescent="0.25">
      <c r="A142" s="14" t="str">
        <f>"10001"</f>
        <v>10001</v>
      </c>
      <c r="B142" s="14" t="str">
        <f>"03210"</f>
        <v>03210</v>
      </c>
      <c r="C142" s="14" t="str">
        <f>"1400"</f>
        <v>1400</v>
      </c>
      <c r="D142" s="14" t="str">
        <f>"03210"</f>
        <v>03210</v>
      </c>
      <c r="E142" s="14" t="s">
        <v>20</v>
      </c>
      <c r="F142" s="14" t="s">
        <v>257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258</v>
      </c>
      <c r="L142" s="14" t="s">
        <v>28</v>
      </c>
      <c r="P142" s="14" t="s">
        <v>31</v>
      </c>
      <c r="Q142" s="14" t="s">
        <v>25</v>
      </c>
      <c r="R142" s="14" t="s">
        <v>32</v>
      </c>
    </row>
    <row r="143" spans="1:18" s="14" customFormat="1" x14ac:dyDescent="0.25">
      <c r="A143" s="14" t="str">
        <f>"10001"</f>
        <v>10001</v>
      </c>
      <c r="B143" s="14" t="str">
        <f>"03510"</f>
        <v>03510</v>
      </c>
      <c r="C143" s="14" t="str">
        <f>"1000"</f>
        <v>1000</v>
      </c>
      <c r="D143" s="14" t="str">
        <f>""</f>
        <v/>
      </c>
      <c r="E143" s="14" t="s">
        <v>20</v>
      </c>
      <c r="F143" s="14" t="s">
        <v>259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34</v>
      </c>
      <c r="P143" s="14" t="s">
        <v>260</v>
      </c>
      <c r="Q143" s="14" t="s">
        <v>25</v>
      </c>
      <c r="R143" s="14" t="s">
        <v>35</v>
      </c>
    </row>
    <row r="144" spans="1:18" s="14" customFormat="1" x14ac:dyDescent="0.25">
      <c r="A144" s="14" t="str">
        <f>"10001"</f>
        <v>10001</v>
      </c>
      <c r="B144" s="14" t="str">
        <f>"03520"</f>
        <v>03520</v>
      </c>
      <c r="C144" s="14" t="str">
        <f>"1000"</f>
        <v>1000</v>
      </c>
      <c r="D144" s="14" t="str">
        <f>""</f>
        <v/>
      </c>
      <c r="E144" s="14" t="s">
        <v>20</v>
      </c>
      <c r="F144" s="14" t="s">
        <v>261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34</v>
      </c>
      <c r="P144" s="14" t="s">
        <v>260</v>
      </c>
      <c r="Q144" s="14" t="s">
        <v>25</v>
      </c>
      <c r="R144" s="14" t="s">
        <v>35</v>
      </c>
    </row>
    <row r="145" spans="1:18" s="14" customFormat="1" x14ac:dyDescent="0.25">
      <c r="A145" s="14" t="str">
        <f>"10001"</f>
        <v>10001</v>
      </c>
      <c r="B145" s="14" t="str">
        <f>"03530"</f>
        <v>03530</v>
      </c>
      <c r="C145" s="14" t="str">
        <f>"1000"</f>
        <v>1000</v>
      </c>
      <c r="D145" s="14" t="str">
        <f>""</f>
        <v/>
      </c>
      <c r="E145" s="14" t="s">
        <v>20</v>
      </c>
      <c r="F145" s="14" t="s">
        <v>262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34</v>
      </c>
      <c r="P145" s="14" t="s">
        <v>260</v>
      </c>
      <c r="Q145" s="14" t="s">
        <v>25</v>
      </c>
      <c r="R145" s="14" t="s">
        <v>35</v>
      </c>
    </row>
    <row r="146" spans="1:18" s="14" customFormat="1" x14ac:dyDescent="0.25">
      <c r="A146" s="14" t="str">
        <f>"10001"</f>
        <v>10001</v>
      </c>
      <c r="B146" s="14" t="str">
        <f>"03531"</f>
        <v>03531</v>
      </c>
      <c r="C146" s="14" t="str">
        <f>"1400"</f>
        <v>1400</v>
      </c>
      <c r="D146" s="14" t="str">
        <f>"03531"</f>
        <v>03531</v>
      </c>
      <c r="E146" s="14" t="s">
        <v>20</v>
      </c>
      <c r="F146" s="14" t="s">
        <v>263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34</v>
      </c>
      <c r="L146" s="14" t="s">
        <v>25</v>
      </c>
      <c r="P146" s="14" t="s">
        <v>260</v>
      </c>
      <c r="Q146" s="14" t="s">
        <v>25</v>
      </c>
      <c r="R146" s="14" t="s">
        <v>35</v>
      </c>
    </row>
    <row r="147" spans="1:18" s="14" customFormat="1" x14ac:dyDescent="0.25">
      <c r="A147" s="14" t="str">
        <f>"10001"</f>
        <v>10001</v>
      </c>
      <c r="B147" s="14" t="str">
        <f>"03532"</f>
        <v>03532</v>
      </c>
      <c r="C147" s="14" t="str">
        <f>"1000"</f>
        <v>1000</v>
      </c>
      <c r="D147" s="14" t="str">
        <f>""</f>
        <v/>
      </c>
      <c r="E147" s="14" t="s">
        <v>20</v>
      </c>
      <c r="F147" s="14" t="s">
        <v>264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226</v>
      </c>
      <c r="P147" s="14" t="s">
        <v>260</v>
      </c>
      <c r="Q147" s="14" t="s">
        <v>25</v>
      </c>
      <c r="R147" s="14" t="s">
        <v>229</v>
      </c>
    </row>
    <row r="148" spans="1:18" s="14" customFormat="1" x14ac:dyDescent="0.25">
      <c r="A148" s="14" t="str">
        <f>"10001"</f>
        <v>10001</v>
      </c>
      <c r="B148" s="14" t="str">
        <f>"03533"</f>
        <v>03533</v>
      </c>
      <c r="C148" s="14" t="str">
        <f>"1000"</f>
        <v>1000</v>
      </c>
      <c r="D148" s="14" t="str">
        <f>""</f>
        <v/>
      </c>
      <c r="E148" s="14" t="s">
        <v>20</v>
      </c>
      <c r="F148" s="14" t="s">
        <v>265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226</v>
      </c>
      <c r="P148" s="14" t="s">
        <v>260</v>
      </c>
      <c r="Q148" s="14" t="s">
        <v>25</v>
      </c>
      <c r="R148" s="14" t="s">
        <v>229</v>
      </c>
    </row>
    <row r="149" spans="1:18" s="14" customFormat="1" x14ac:dyDescent="0.25">
      <c r="A149" s="14" t="str">
        <f>"10001"</f>
        <v>10001</v>
      </c>
      <c r="B149" s="14" t="str">
        <f>"03534"</f>
        <v>03534</v>
      </c>
      <c r="C149" s="14" t="str">
        <f>"1000"</f>
        <v>1000</v>
      </c>
      <c r="D149" s="14" t="str">
        <f>""</f>
        <v/>
      </c>
      <c r="E149" s="14" t="s">
        <v>20</v>
      </c>
      <c r="F149" s="14" t="s">
        <v>266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226</v>
      </c>
      <c r="P149" s="14" t="s">
        <v>260</v>
      </c>
      <c r="Q149" s="14" t="s">
        <v>25</v>
      </c>
      <c r="R149" s="14" t="s">
        <v>229</v>
      </c>
    </row>
    <row r="150" spans="1:18" s="14" customFormat="1" x14ac:dyDescent="0.25">
      <c r="A150" s="14" t="str">
        <f>"10001"</f>
        <v>10001</v>
      </c>
      <c r="B150" s="14" t="str">
        <f>"03540"</f>
        <v>03540</v>
      </c>
      <c r="C150" s="14" t="str">
        <f>"1000"</f>
        <v>1000</v>
      </c>
      <c r="D150" s="14" t="str">
        <f>""</f>
        <v/>
      </c>
      <c r="E150" s="14" t="s">
        <v>20</v>
      </c>
      <c r="F150" s="14" t="s">
        <v>267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34</v>
      </c>
      <c r="P150" s="14" t="s">
        <v>260</v>
      </c>
      <c r="Q150" s="14" t="s">
        <v>25</v>
      </c>
      <c r="R150" s="14" t="s">
        <v>35</v>
      </c>
    </row>
    <row r="151" spans="1:18" s="14" customFormat="1" x14ac:dyDescent="0.25">
      <c r="A151" s="14" t="str">
        <f>"10001"</f>
        <v>10001</v>
      </c>
      <c r="B151" s="14" t="str">
        <f>"03541"</f>
        <v>03541</v>
      </c>
      <c r="C151" s="14" t="str">
        <f>"1400"</f>
        <v>1400</v>
      </c>
      <c r="D151" s="14" t="str">
        <f>"03541"</f>
        <v>03541</v>
      </c>
      <c r="E151" s="14" t="s">
        <v>20</v>
      </c>
      <c r="F151" s="14" t="s">
        <v>268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34</v>
      </c>
      <c r="L151" s="14" t="s">
        <v>25</v>
      </c>
      <c r="P151" s="14" t="s">
        <v>260</v>
      </c>
      <c r="Q151" s="14" t="s">
        <v>25</v>
      </c>
      <c r="R151" s="14" t="s">
        <v>35</v>
      </c>
    </row>
    <row r="152" spans="1:18" s="14" customFormat="1" x14ac:dyDescent="0.25">
      <c r="A152" s="14" t="str">
        <f>"10001"</f>
        <v>10001</v>
      </c>
      <c r="B152" s="14" t="str">
        <f>"03543"</f>
        <v>03543</v>
      </c>
      <c r="C152" s="14" t="str">
        <f>"1000"</f>
        <v>1000</v>
      </c>
      <c r="D152" s="14" t="str">
        <f>""</f>
        <v/>
      </c>
      <c r="E152" s="14" t="s">
        <v>20</v>
      </c>
      <c r="F152" s="14" t="s">
        <v>269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226</v>
      </c>
      <c r="P152" s="14" t="s">
        <v>260</v>
      </c>
      <c r="Q152" s="14" t="s">
        <v>25</v>
      </c>
      <c r="R152" s="14" t="s">
        <v>229</v>
      </c>
    </row>
    <row r="153" spans="1:18" s="14" customFormat="1" x14ac:dyDescent="0.25">
      <c r="A153" s="14" t="str">
        <f>"10001"</f>
        <v>10001</v>
      </c>
      <c r="B153" s="14" t="str">
        <f>"03544"</f>
        <v>03544</v>
      </c>
      <c r="C153" s="14" t="str">
        <f>"1400"</f>
        <v>1400</v>
      </c>
      <c r="D153" s="14" t="str">
        <f>""</f>
        <v/>
      </c>
      <c r="E153" s="14" t="s">
        <v>20</v>
      </c>
      <c r="F153" s="14" t="s">
        <v>270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34</v>
      </c>
      <c r="L153" s="14" t="s">
        <v>25</v>
      </c>
      <c r="P153" s="14" t="s">
        <v>260</v>
      </c>
      <c r="Q153" s="14" t="s">
        <v>25</v>
      </c>
      <c r="R153" s="14" t="s">
        <v>35</v>
      </c>
    </row>
    <row r="154" spans="1:18" s="14" customFormat="1" x14ac:dyDescent="0.25">
      <c r="A154" s="14" t="str">
        <f>"10001"</f>
        <v>10001</v>
      </c>
      <c r="B154" s="14" t="str">
        <f>"03545"</f>
        <v>03545</v>
      </c>
      <c r="C154" s="14" t="str">
        <f>"1400"</f>
        <v>1400</v>
      </c>
      <c r="D154" s="14" t="str">
        <f>""</f>
        <v/>
      </c>
      <c r="E154" s="14" t="s">
        <v>20</v>
      </c>
      <c r="F154" s="14" t="s">
        <v>271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34</v>
      </c>
      <c r="L154" s="14" t="s">
        <v>25</v>
      </c>
      <c r="P154" s="14" t="s">
        <v>260</v>
      </c>
      <c r="Q154" s="14" t="s">
        <v>25</v>
      </c>
      <c r="R154" s="14" t="s">
        <v>35</v>
      </c>
    </row>
    <row r="155" spans="1:18" s="14" customFormat="1" x14ac:dyDescent="0.25">
      <c r="A155" s="14" t="str">
        <f>"10001"</f>
        <v>10001</v>
      </c>
      <c r="B155" s="14" t="str">
        <f>"03546"</f>
        <v>03546</v>
      </c>
      <c r="C155" s="14" t="str">
        <f>"1400"</f>
        <v>1400</v>
      </c>
      <c r="D155" s="14" t="str">
        <f>""</f>
        <v/>
      </c>
      <c r="E155" s="14" t="s">
        <v>20</v>
      </c>
      <c r="F155" s="14" t="s">
        <v>272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34</v>
      </c>
      <c r="L155" s="14" t="s">
        <v>25</v>
      </c>
      <c r="P155" s="14" t="s">
        <v>260</v>
      </c>
      <c r="Q155" s="14" t="s">
        <v>25</v>
      </c>
      <c r="R155" s="14" t="s">
        <v>35</v>
      </c>
    </row>
    <row r="156" spans="1:18" s="14" customFormat="1" x14ac:dyDescent="0.25">
      <c r="A156" s="14" t="str">
        <f>"10001"</f>
        <v>10001</v>
      </c>
      <c r="B156" s="14" t="str">
        <f>"03560"</f>
        <v>03560</v>
      </c>
      <c r="C156" s="14" t="str">
        <f>"1000"</f>
        <v>1000</v>
      </c>
      <c r="D156" s="14" t="str">
        <f>""</f>
        <v/>
      </c>
      <c r="E156" s="14" t="s">
        <v>20</v>
      </c>
      <c r="F156" s="14" t="s">
        <v>273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34</v>
      </c>
      <c r="P156" s="14" t="s">
        <v>260</v>
      </c>
      <c r="Q156" s="14" t="s">
        <v>25</v>
      </c>
      <c r="R156" s="14" t="s">
        <v>35</v>
      </c>
    </row>
    <row r="157" spans="1:18" s="14" customFormat="1" x14ac:dyDescent="0.25">
      <c r="A157" s="14" t="str">
        <f>"10001"</f>
        <v>10001</v>
      </c>
      <c r="B157" s="14" t="str">
        <f>"03570"</f>
        <v>03570</v>
      </c>
      <c r="C157" s="14" t="str">
        <f>"1000"</f>
        <v>1000</v>
      </c>
      <c r="D157" s="14" t="str">
        <f>""</f>
        <v/>
      </c>
      <c r="E157" s="14" t="s">
        <v>20</v>
      </c>
      <c r="F157" s="14" t="s">
        <v>274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34</v>
      </c>
      <c r="P157" s="14" t="s">
        <v>260</v>
      </c>
      <c r="Q157" s="14" t="s">
        <v>25</v>
      </c>
      <c r="R157" s="14" t="s">
        <v>35</v>
      </c>
    </row>
    <row r="158" spans="1:18" s="14" customFormat="1" x14ac:dyDescent="0.25">
      <c r="A158" s="14" t="str">
        <f>"10001"</f>
        <v>10001</v>
      </c>
      <c r="B158" s="14" t="str">
        <f>"03575"</f>
        <v>03575</v>
      </c>
      <c r="C158" s="14" t="str">
        <f>"1000"</f>
        <v>1000</v>
      </c>
      <c r="D158" s="14" t="str">
        <f>""</f>
        <v/>
      </c>
      <c r="E158" s="14" t="s">
        <v>20</v>
      </c>
      <c r="F158" s="14" t="s">
        <v>275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34</v>
      </c>
      <c r="P158" s="14" t="s">
        <v>260</v>
      </c>
      <c r="Q158" s="14" t="s">
        <v>25</v>
      </c>
      <c r="R158" s="14" t="s">
        <v>35</v>
      </c>
    </row>
    <row r="159" spans="1:18" s="14" customFormat="1" x14ac:dyDescent="0.25">
      <c r="A159" s="14" t="str">
        <f>"10001"</f>
        <v>10001</v>
      </c>
      <c r="B159" s="14" t="str">
        <f>"03581"</f>
        <v>03581</v>
      </c>
      <c r="C159" s="14" t="str">
        <f>"1000"</f>
        <v>1000</v>
      </c>
      <c r="D159" s="14" t="str">
        <f>""</f>
        <v/>
      </c>
      <c r="E159" s="14" t="s">
        <v>20</v>
      </c>
      <c r="F159" s="14" t="s">
        <v>276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34</v>
      </c>
      <c r="P159" s="14" t="s">
        <v>260</v>
      </c>
      <c r="Q159" s="14" t="s">
        <v>25</v>
      </c>
      <c r="R159" s="14" t="s">
        <v>35</v>
      </c>
    </row>
    <row r="160" spans="1:18" s="14" customFormat="1" x14ac:dyDescent="0.25">
      <c r="A160" s="14" t="str">
        <f>"10001"</f>
        <v>10001</v>
      </c>
      <c r="B160" s="14" t="str">
        <f>"03585"</f>
        <v>03585</v>
      </c>
      <c r="C160" s="14" t="str">
        <f>"1000"</f>
        <v>1000</v>
      </c>
      <c r="D160" s="14" t="str">
        <f>""</f>
        <v/>
      </c>
      <c r="E160" s="14" t="s">
        <v>20</v>
      </c>
      <c r="F160" s="14" t="s">
        <v>277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34</v>
      </c>
      <c r="P160" s="14" t="s">
        <v>260</v>
      </c>
      <c r="Q160" s="14" t="s">
        <v>25</v>
      </c>
      <c r="R160" s="14" t="s">
        <v>35</v>
      </c>
    </row>
    <row r="161" spans="1:18" s="14" customFormat="1" x14ac:dyDescent="0.25">
      <c r="A161" s="14" t="str">
        <f>"10001"</f>
        <v>10001</v>
      </c>
      <c r="B161" s="14" t="str">
        <f>"03591"</f>
        <v>03591</v>
      </c>
      <c r="C161" s="14" t="str">
        <f>"1000"</f>
        <v>1000</v>
      </c>
      <c r="D161" s="14" t="str">
        <f>""</f>
        <v/>
      </c>
      <c r="E161" s="14" t="s">
        <v>20</v>
      </c>
      <c r="F161" s="14" t="s">
        <v>278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34</v>
      </c>
      <c r="P161" s="14" t="s">
        <v>260</v>
      </c>
      <c r="Q161" s="14" t="s">
        <v>25</v>
      </c>
      <c r="R161" s="14" t="s">
        <v>35</v>
      </c>
    </row>
    <row r="162" spans="1:18" s="14" customFormat="1" x14ac:dyDescent="0.25">
      <c r="A162" s="14" t="str">
        <f>"10001"</f>
        <v>10001</v>
      </c>
      <c r="B162" s="14" t="str">
        <f>"03600"</f>
        <v>03600</v>
      </c>
      <c r="C162" s="14" t="str">
        <f>"1000"</f>
        <v>1000</v>
      </c>
      <c r="D162" s="14" t="str">
        <f>""</f>
        <v/>
      </c>
      <c r="E162" s="14" t="s">
        <v>20</v>
      </c>
      <c r="F162" s="14" t="s">
        <v>279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34</v>
      </c>
      <c r="P162" s="14" t="s">
        <v>260</v>
      </c>
      <c r="Q162" s="14" t="s">
        <v>25</v>
      </c>
      <c r="R162" s="14" t="s">
        <v>35</v>
      </c>
    </row>
    <row r="163" spans="1:18" s="14" customFormat="1" x14ac:dyDescent="0.25">
      <c r="A163" s="14" t="str">
        <f>"10001"</f>
        <v>10001</v>
      </c>
      <c r="B163" s="14" t="str">
        <f>"03611"</f>
        <v>03611</v>
      </c>
      <c r="C163" s="14" t="str">
        <f>"1000"</f>
        <v>1000</v>
      </c>
      <c r="D163" s="14" t="str">
        <f>""</f>
        <v/>
      </c>
      <c r="E163" s="14" t="s">
        <v>20</v>
      </c>
      <c r="F163" s="14" t="s">
        <v>280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34</v>
      </c>
      <c r="P163" s="14" t="s">
        <v>260</v>
      </c>
      <c r="Q163" s="14" t="s">
        <v>25</v>
      </c>
      <c r="R163" s="14" t="s">
        <v>35</v>
      </c>
    </row>
    <row r="164" spans="1:18" s="14" customFormat="1" x14ac:dyDescent="0.25">
      <c r="A164" s="14" t="str">
        <f>"10001"</f>
        <v>10001</v>
      </c>
      <c r="B164" s="14" t="str">
        <f>"03612"</f>
        <v>03612</v>
      </c>
      <c r="C164" s="14" t="str">
        <f>"1000"</f>
        <v>1000</v>
      </c>
      <c r="D164" s="14" t="str">
        <f>""</f>
        <v/>
      </c>
      <c r="E164" s="14" t="s">
        <v>20</v>
      </c>
      <c r="F164" s="14" t="s">
        <v>281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34</v>
      </c>
      <c r="P164" s="14" t="s">
        <v>260</v>
      </c>
      <c r="Q164" s="14" t="s">
        <v>25</v>
      </c>
      <c r="R164" s="14" t="s">
        <v>35</v>
      </c>
    </row>
    <row r="165" spans="1:18" s="14" customFormat="1" x14ac:dyDescent="0.25">
      <c r="A165" s="14" t="str">
        <f>"10001"</f>
        <v>10001</v>
      </c>
      <c r="B165" s="14" t="str">
        <f>"03613"</f>
        <v>03613</v>
      </c>
      <c r="C165" s="14" t="str">
        <f>"1000"</f>
        <v>1000</v>
      </c>
      <c r="D165" s="14" t="str">
        <f>""</f>
        <v/>
      </c>
      <c r="E165" s="14" t="s">
        <v>20</v>
      </c>
      <c r="F165" s="14" t="s">
        <v>282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34</v>
      </c>
      <c r="P165" s="14" t="s">
        <v>260</v>
      </c>
      <c r="Q165" s="14" t="s">
        <v>25</v>
      </c>
      <c r="R165" s="14" t="s">
        <v>35</v>
      </c>
    </row>
    <row r="166" spans="1:18" s="14" customFormat="1" x14ac:dyDescent="0.25">
      <c r="A166" s="14" t="str">
        <f>"10001"</f>
        <v>10001</v>
      </c>
      <c r="B166" s="14" t="str">
        <f>"03614"</f>
        <v>03614</v>
      </c>
      <c r="C166" s="14" t="str">
        <f>"1000"</f>
        <v>1000</v>
      </c>
      <c r="D166" s="14" t="str">
        <f>""</f>
        <v/>
      </c>
      <c r="E166" s="14" t="s">
        <v>20</v>
      </c>
      <c r="F166" s="14" t="s">
        <v>283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34</v>
      </c>
      <c r="P166" s="14" t="s">
        <v>260</v>
      </c>
      <c r="Q166" s="14" t="s">
        <v>25</v>
      </c>
      <c r="R166" s="14" t="s">
        <v>35</v>
      </c>
    </row>
    <row r="167" spans="1:18" s="14" customFormat="1" x14ac:dyDescent="0.25">
      <c r="A167" s="14" t="str">
        <f>"10001"</f>
        <v>10001</v>
      </c>
      <c r="B167" s="14" t="str">
        <f>"03615"</f>
        <v>03615</v>
      </c>
      <c r="C167" s="14" t="str">
        <f>"1000"</f>
        <v>1000</v>
      </c>
      <c r="D167" s="14" t="str">
        <f>""</f>
        <v/>
      </c>
      <c r="E167" s="14" t="s">
        <v>20</v>
      </c>
      <c r="F167" s="14" t="s">
        <v>284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34</v>
      </c>
      <c r="P167" s="14" t="s">
        <v>260</v>
      </c>
      <c r="Q167" s="14" t="s">
        <v>25</v>
      </c>
      <c r="R167" s="14" t="s">
        <v>35</v>
      </c>
    </row>
    <row r="168" spans="1:18" s="14" customFormat="1" x14ac:dyDescent="0.25">
      <c r="A168" s="14" t="str">
        <f>"10001"</f>
        <v>10001</v>
      </c>
      <c r="B168" s="14" t="str">
        <f>"03616"</f>
        <v>03616</v>
      </c>
      <c r="C168" s="14" t="str">
        <f>"1000"</f>
        <v>1000</v>
      </c>
      <c r="D168" s="14" t="str">
        <f>""</f>
        <v/>
      </c>
      <c r="E168" s="14" t="s">
        <v>20</v>
      </c>
      <c r="F168" s="14" t="s">
        <v>285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34</v>
      </c>
      <c r="P168" s="14" t="s">
        <v>260</v>
      </c>
      <c r="Q168" s="14" t="s">
        <v>25</v>
      </c>
      <c r="R168" s="14" t="s">
        <v>35</v>
      </c>
    </row>
    <row r="169" spans="1:18" s="14" customFormat="1" x14ac:dyDescent="0.25">
      <c r="A169" s="14" t="str">
        <f>"10001"</f>
        <v>10001</v>
      </c>
      <c r="B169" s="14" t="str">
        <f>"03620"</f>
        <v>03620</v>
      </c>
      <c r="C169" s="14" t="str">
        <f>"1000"</f>
        <v>1000</v>
      </c>
      <c r="D169" s="14" t="str">
        <f>""</f>
        <v/>
      </c>
      <c r="E169" s="14" t="s">
        <v>20</v>
      </c>
      <c r="F169" s="14" t="s">
        <v>286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34</v>
      </c>
      <c r="P169" s="14" t="s">
        <v>260</v>
      </c>
      <c r="Q169" s="14" t="s">
        <v>25</v>
      </c>
      <c r="R169" s="14" t="s">
        <v>35</v>
      </c>
    </row>
    <row r="170" spans="1:18" s="14" customFormat="1" x14ac:dyDescent="0.25">
      <c r="A170" s="14" t="str">
        <f>"10001"</f>
        <v>10001</v>
      </c>
      <c r="B170" s="14" t="str">
        <f>"03630"</f>
        <v>03630</v>
      </c>
      <c r="C170" s="14" t="str">
        <f>"1000"</f>
        <v>1000</v>
      </c>
      <c r="D170" s="14" t="str">
        <f>""</f>
        <v/>
      </c>
      <c r="E170" s="14" t="s">
        <v>20</v>
      </c>
      <c r="F170" s="14" t="s">
        <v>287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34</v>
      </c>
      <c r="P170" s="14" t="s">
        <v>260</v>
      </c>
      <c r="Q170" s="14" t="s">
        <v>25</v>
      </c>
      <c r="R170" s="14" t="s">
        <v>35</v>
      </c>
    </row>
    <row r="171" spans="1:18" s="14" customFormat="1" x14ac:dyDescent="0.25">
      <c r="A171" s="14" t="str">
        <f>"10001"</f>
        <v>10001</v>
      </c>
      <c r="B171" s="14" t="str">
        <f>"03640"</f>
        <v>03640</v>
      </c>
      <c r="C171" s="14" t="str">
        <f>"1000"</f>
        <v>1000</v>
      </c>
      <c r="D171" s="14" t="str">
        <f>""</f>
        <v/>
      </c>
      <c r="E171" s="14" t="s">
        <v>20</v>
      </c>
      <c r="F171" s="14" t="s">
        <v>288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34</v>
      </c>
      <c r="P171" s="14" t="s">
        <v>260</v>
      </c>
      <c r="Q171" s="14" t="s">
        <v>25</v>
      </c>
      <c r="R171" s="14" t="s">
        <v>35</v>
      </c>
    </row>
    <row r="172" spans="1:18" s="14" customFormat="1" x14ac:dyDescent="0.25">
      <c r="A172" s="14" t="str">
        <f>"10001"</f>
        <v>10001</v>
      </c>
      <c r="B172" s="14" t="str">
        <f>"03650"</f>
        <v>03650</v>
      </c>
      <c r="C172" s="14" t="str">
        <f>"1000"</f>
        <v>1000</v>
      </c>
      <c r="D172" s="14" t="str">
        <f>""</f>
        <v/>
      </c>
      <c r="E172" s="14" t="s">
        <v>20</v>
      </c>
      <c r="F172" s="14" t="s">
        <v>289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34</v>
      </c>
      <c r="P172" s="14" t="s">
        <v>260</v>
      </c>
      <c r="Q172" s="14" t="s">
        <v>25</v>
      </c>
      <c r="R172" s="14" t="s">
        <v>35</v>
      </c>
    </row>
    <row r="173" spans="1:18" s="14" customFormat="1" x14ac:dyDescent="0.25">
      <c r="A173" s="14" t="str">
        <f>"10001"</f>
        <v>10001</v>
      </c>
      <c r="B173" s="14" t="str">
        <f>"03660"</f>
        <v>03660</v>
      </c>
      <c r="C173" s="14" t="str">
        <f>"1000"</f>
        <v>1000</v>
      </c>
      <c r="D173" s="14" t="str">
        <f>""</f>
        <v/>
      </c>
      <c r="E173" s="14" t="s">
        <v>20</v>
      </c>
      <c r="F173" s="14" t="s">
        <v>290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34</v>
      </c>
      <c r="P173" s="14" t="s">
        <v>260</v>
      </c>
      <c r="Q173" s="14" t="s">
        <v>25</v>
      </c>
      <c r="R173" s="14" t="s">
        <v>35</v>
      </c>
    </row>
    <row r="174" spans="1:18" s="14" customFormat="1" x14ac:dyDescent="0.25">
      <c r="A174" s="14" t="str">
        <f>"10001"</f>
        <v>10001</v>
      </c>
      <c r="B174" s="14" t="str">
        <f>"03680"</f>
        <v>03680</v>
      </c>
      <c r="C174" s="14" t="str">
        <f>"1000"</f>
        <v>1000</v>
      </c>
      <c r="D174" s="14" t="str">
        <f>""</f>
        <v/>
      </c>
      <c r="E174" s="14" t="s">
        <v>20</v>
      </c>
      <c r="F174" s="14" t="s">
        <v>291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34</v>
      </c>
      <c r="P174" s="14" t="s">
        <v>260</v>
      </c>
      <c r="Q174" s="14" t="s">
        <v>25</v>
      </c>
      <c r="R174" s="14" t="s">
        <v>35</v>
      </c>
    </row>
    <row r="175" spans="1:18" s="14" customFormat="1" x14ac:dyDescent="0.25">
      <c r="A175" s="14" t="str">
        <f>"10001"</f>
        <v>10001</v>
      </c>
      <c r="B175" s="14" t="str">
        <f>"03681"</f>
        <v>03681</v>
      </c>
      <c r="C175" s="14" t="str">
        <f>"1000"</f>
        <v>1000</v>
      </c>
      <c r="D175" s="14" t="str">
        <f>""</f>
        <v/>
      </c>
      <c r="E175" s="14" t="s">
        <v>20</v>
      </c>
      <c r="F175" s="14" t="s">
        <v>292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34</v>
      </c>
      <c r="P175" s="14" t="s">
        <v>260</v>
      </c>
      <c r="Q175" s="14" t="s">
        <v>25</v>
      </c>
      <c r="R175" s="14" t="s">
        <v>35</v>
      </c>
    </row>
    <row r="176" spans="1:18" s="14" customFormat="1" x14ac:dyDescent="0.25">
      <c r="A176" s="14" t="str">
        <f>"10001"</f>
        <v>10001</v>
      </c>
      <c r="B176" s="14" t="str">
        <f>"03682"</f>
        <v>03682</v>
      </c>
      <c r="C176" s="14" t="str">
        <f>"1000"</f>
        <v>1000</v>
      </c>
      <c r="D176" s="14" t="str">
        <f>""</f>
        <v/>
      </c>
      <c r="E176" s="14" t="s">
        <v>20</v>
      </c>
      <c r="F176" s="14" t="s">
        <v>293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34</v>
      </c>
      <c r="P176" s="14" t="s">
        <v>260</v>
      </c>
      <c r="Q176" s="14" t="s">
        <v>25</v>
      </c>
      <c r="R176" s="14" t="s">
        <v>35</v>
      </c>
    </row>
    <row r="177" spans="1:18" s="14" customFormat="1" x14ac:dyDescent="0.25">
      <c r="A177" s="14" t="str">
        <f>"10001"</f>
        <v>10001</v>
      </c>
      <c r="B177" s="14" t="str">
        <f>"03683"</f>
        <v>03683</v>
      </c>
      <c r="C177" s="14" t="str">
        <f>"1000"</f>
        <v>1000</v>
      </c>
      <c r="D177" s="14" t="str">
        <f>""</f>
        <v/>
      </c>
      <c r="E177" s="14" t="s">
        <v>20</v>
      </c>
      <c r="F177" s="14" t="s">
        <v>294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34</v>
      </c>
      <c r="P177" s="14" t="s">
        <v>260</v>
      </c>
      <c r="Q177" s="14" t="s">
        <v>25</v>
      </c>
      <c r="R177" s="14" t="s">
        <v>35</v>
      </c>
    </row>
    <row r="178" spans="1:18" s="14" customFormat="1" x14ac:dyDescent="0.25">
      <c r="A178" s="14" t="str">
        <f>"10001"</f>
        <v>10001</v>
      </c>
      <c r="B178" s="14" t="str">
        <f>"03684"</f>
        <v>03684</v>
      </c>
      <c r="C178" s="14" t="str">
        <f>"1000"</f>
        <v>1000</v>
      </c>
      <c r="D178" s="14" t="str">
        <f>""</f>
        <v/>
      </c>
      <c r="E178" s="14" t="s">
        <v>20</v>
      </c>
      <c r="F178" s="14" t="s">
        <v>295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34</v>
      </c>
      <c r="P178" s="14" t="s">
        <v>260</v>
      </c>
      <c r="Q178" s="14" t="s">
        <v>25</v>
      </c>
      <c r="R178" s="14" t="s">
        <v>35</v>
      </c>
    </row>
    <row r="179" spans="1:18" s="14" customFormat="1" x14ac:dyDescent="0.25">
      <c r="A179" s="14" t="str">
        <f>"10001"</f>
        <v>10001</v>
      </c>
      <c r="B179" s="14" t="str">
        <f>"03685"</f>
        <v>03685</v>
      </c>
      <c r="C179" s="14" t="str">
        <f>"1000"</f>
        <v>1000</v>
      </c>
      <c r="D179" s="14" t="str">
        <f>""</f>
        <v/>
      </c>
      <c r="E179" s="14" t="s">
        <v>20</v>
      </c>
      <c r="F179" s="14" t="s">
        <v>296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34</v>
      </c>
      <c r="P179" s="14" t="s">
        <v>260</v>
      </c>
      <c r="Q179" s="14" t="s">
        <v>25</v>
      </c>
      <c r="R179" s="14" t="s">
        <v>35</v>
      </c>
    </row>
    <row r="180" spans="1:18" s="14" customFormat="1" x14ac:dyDescent="0.25">
      <c r="A180" s="14" t="str">
        <f>"10001"</f>
        <v>10001</v>
      </c>
      <c r="B180" s="14" t="str">
        <f>"03686"</f>
        <v>03686</v>
      </c>
      <c r="C180" s="14" t="str">
        <f>"1000"</f>
        <v>1000</v>
      </c>
      <c r="D180" s="14" t="str">
        <f>""</f>
        <v/>
      </c>
      <c r="E180" s="14" t="s">
        <v>20</v>
      </c>
      <c r="F180" s="14" t="s">
        <v>297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34</v>
      </c>
      <c r="P180" s="14" t="s">
        <v>260</v>
      </c>
      <c r="Q180" s="14" t="s">
        <v>25</v>
      </c>
      <c r="R180" s="14" t="s">
        <v>35</v>
      </c>
    </row>
    <row r="181" spans="1:18" s="14" customFormat="1" x14ac:dyDescent="0.25">
      <c r="A181" s="14" t="str">
        <f>"10001"</f>
        <v>10001</v>
      </c>
      <c r="B181" s="14" t="str">
        <f>"03687"</f>
        <v>03687</v>
      </c>
      <c r="C181" s="14" t="str">
        <f>"1000"</f>
        <v>1000</v>
      </c>
      <c r="D181" s="14" t="str">
        <f>""</f>
        <v/>
      </c>
      <c r="E181" s="14" t="s">
        <v>20</v>
      </c>
      <c r="F181" s="14" t="s">
        <v>298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34</v>
      </c>
      <c r="P181" s="14" t="s">
        <v>260</v>
      </c>
      <c r="Q181" s="14" t="s">
        <v>25</v>
      </c>
      <c r="R181" s="14" t="s">
        <v>35</v>
      </c>
    </row>
    <row r="182" spans="1:18" s="14" customFormat="1" x14ac:dyDescent="0.25">
      <c r="A182" s="14" t="str">
        <f>"10001"</f>
        <v>10001</v>
      </c>
      <c r="B182" s="14" t="str">
        <f>"03688"</f>
        <v>03688</v>
      </c>
      <c r="C182" s="14" t="str">
        <f>"1000"</f>
        <v>1000</v>
      </c>
      <c r="D182" s="14" t="str">
        <f>""</f>
        <v/>
      </c>
      <c r="E182" s="14" t="s">
        <v>20</v>
      </c>
      <c r="F182" s="14" t="s">
        <v>299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34</v>
      </c>
      <c r="P182" s="14" t="s">
        <v>260</v>
      </c>
      <c r="Q182" s="14" t="s">
        <v>25</v>
      </c>
      <c r="R182" s="14" t="s">
        <v>35</v>
      </c>
    </row>
    <row r="183" spans="1:18" s="14" customFormat="1" x14ac:dyDescent="0.25">
      <c r="A183" s="14" t="str">
        <f>"10001"</f>
        <v>10001</v>
      </c>
      <c r="B183" s="14" t="str">
        <f>"03689"</f>
        <v>03689</v>
      </c>
      <c r="C183" s="14" t="str">
        <f>"1000"</f>
        <v>1000</v>
      </c>
      <c r="D183" s="14" t="str">
        <f>""</f>
        <v/>
      </c>
      <c r="E183" s="14" t="s">
        <v>20</v>
      </c>
      <c r="F183" s="14" t="s">
        <v>300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34</v>
      </c>
      <c r="P183" s="14" t="s">
        <v>260</v>
      </c>
      <c r="Q183" s="14" t="s">
        <v>25</v>
      </c>
      <c r="R183" s="14" t="s">
        <v>35</v>
      </c>
    </row>
    <row r="184" spans="1:18" s="14" customFormat="1" x14ac:dyDescent="0.25">
      <c r="A184" s="14" t="str">
        <f>"10001"</f>
        <v>10001</v>
      </c>
      <c r="B184" s="14" t="str">
        <f>"03691"</f>
        <v>03691</v>
      </c>
      <c r="C184" s="14" t="str">
        <f>"1000"</f>
        <v>1000</v>
      </c>
      <c r="D184" s="14" t="str">
        <f>""</f>
        <v/>
      </c>
      <c r="E184" s="14" t="s">
        <v>20</v>
      </c>
      <c r="F184" s="14" t="s">
        <v>301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34</v>
      </c>
      <c r="P184" s="14" t="s">
        <v>260</v>
      </c>
      <c r="Q184" s="14" t="s">
        <v>25</v>
      </c>
      <c r="R184" s="14" t="s">
        <v>35</v>
      </c>
    </row>
    <row r="185" spans="1:18" s="14" customFormat="1" x14ac:dyDescent="0.25">
      <c r="A185" s="14" t="str">
        <f>"10001"</f>
        <v>10001</v>
      </c>
      <c r="B185" s="14" t="str">
        <f>"03700"</f>
        <v>03700</v>
      </c>
      <c r="C185" s="14" t="str">
        <f>"1000"</f>
        <v>1000</v>
      </c>
      <c r="D185" s="14" t="str">
        <f>""</f>
        <v/>
      </c>
      <c r="E185" s="14" t="s">
        <v>20</v>
      </c>
      <c r="F185" s="14" t="s">
        <v>302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34</v>
      </c>
      <c r="P185" s="14" t="s">
        <v>260</v>
      </c>
      <c r="Q185" s="14" t="s">
        <v>25</v>
      </c>
      <c r="R185" s="14" t="s">
        <v>35</v>
      </c>
    </row>
    <row r="186" spans="1:18" s="14" customFormat="1" x14ac:dyDescent="0.25">
      <c r="A186" s="14" t="str">
        <f>"10001"</f>
        <v>10001</v>
      </c>
      <c r="B186" s="14" t="str">
        <f>"03710"</f>
        <v>03710</v>
      </c>
      <c r="C186" s="14" t="str">
        <f>"1000"</f>
        <v>1000</v>
      </c>
      <c r="D186" s="14" t="str">
        <f>""</f>
        <v/>
      </c>
      <c r="E186" s="14" t="s">
        <v>20</v>
      </c>
      <c r="F186" s="14" t="s">
        <v>303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34</v>
      </c>
      <c r="P186" s="14" t="s">
        <v>260</v>
      </c>
      <c r="Q186" s="14" t="s">
        <v>25</v>
      </c>
      <c r="R186" s="14" t="s">
        <v>35</v>
      </c>
    </row>
    <row r="187" spans="1:18" s="14" customFormat="1" x14ac:dyDescent="0.25">
      <c r="A187" s="14" t="str">
        <f>"10001"</f>
        <v>10001</v>
      </c>
      <c r="B187" s="14" t="str">
        <f>"03720"</f>
        <v>03720</v>
      </c>
      <c r="C187" s="14" t="str">
        <f>"1000"</f>
        <v>1000</v>
      </c>
      <c r="D187" s="14" t="str">
        <f>""</f>
        <v/>
      </c>
      <c r="E187" s="14" t="s">
        <v>20</v>
      </c>
      <c r="F187" s="14" t="s">
        <v>304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34</v>
      </c>
      <c r="P187" s="14" t="s">
        <v>260</v>
      </c>
      <c r="Q187" s="14" t="s">
        <v>25</v>
      </c>
      <c r="R187" s="14" t="s">
        <v>35</v>
      </c>
    </row>
    <row r="188" spans="1:18" s="14" customFormat="1" x14ac:dyDescent="0.25">
      <c r="A188" s="14" t="str">
        <f>"10001"</f>
        <v>10001</v>
      </c>
      <c r="B188" s="14" t="str">
        <f>"03730"</f>
        <v>03730</v>
      </c>
      <c r="C188" s="14" t="str">
        <f>"1000"</f>
        <v>1000</v>
      </c>
      <c r="D188" s="14" t="str">
        <f>""</f>
        <v/>
      </c>
      <c r="E188" s="14" t="s">
        <v>20</v>
      </c>
      <c r="F188" s="14" t="s">
        <v>305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34</v>
      </c>
      <c r="P188" s="14" t="s">
        <v>260</v>
      </c>
      <c r="Q188" s="14" t="s">
        <v>25</v>
      </c>
      <c r="R188" s="14" t="s">
        <v>35</v>
      </c>
    </row>
    <row r="189" spans="1:18" s="14" customFormat="1" x14ac:dyDescent="0.25">
      <c r="A189" s="14" t="str">
        <f>"10001"</f>
        <v>10001</v>
      </c>
      <c r="B189" s="14" t="str">
        <f>"03770"</f>
        <v>03770</v>
      </c>
      <c r="C189" s="14" t="str">
        <f>"1000"</f>
        <v>1000</v>
      </c>
      <c r="D189" s="14" t="str">
        <f>""</f>
        <v/>
      </c>
      <c r="E189" s="14" t="s">
        <v>20</v>
      </c>
      <c r="F189" s="14" t="s">
        <v>306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34</v>
      </c>
      <c r="P189" s="14" t="s">
        <v>260</v>
      </c>
      <c r="Q189" s="14" t="s">
        <v>25</v>
      </c>
      <c r="R189" s="14" t="s">
        <v>35</v>
      </c>
    </row>
    <row r="190" spans="1:18" s="14" customFormat="1" x14ac:dyDescent="0.25">
      <c r="A190" s="14" t="str">
        <f>"10001"</f>
        <v>10001</v>
      </c>
      <c r="B190" s="14" t="str">
        <f>"03775"</f>
        <v>03775</v>
      </c>
      <c r="C190" s="14" t="str">
        <f>"1300"</f>
        <v>1300</v>
      </c>
      <c r="D190" s="14" t="str">
        <f>"03775"</f>
        <v>03775</v>
      </c>
      <c r="E190" s="14" t="s">
        <v>20</v>
      </c>
      <c r="F190" s="14" t="s">
        <v>307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252</v>
      </c>
      <c r="L190" s="14" t="s">
        <v>253</v>
      </c>
      <c r="M190" s="14" t="s">
        <v>256</v>
      </c>
      <c r="P190" s="14" t="s">
        <v>260</v>
      </c>
      <c r="Q190" s="14" t="s">
        <v>25</v>
      </c>
      <c r="R190" s="14" t="s">
        <v>253</v>
      </c>
    </row>
    <row r="191" spans="1:18" s="14" customFormat="1" x14ac:dyDescent="0.25">
      <c r="A191" s="14" t="str">
        <f>"10001"</f>
        <v>10001</v>
      </c>
      <c r="B191" s="14" t="str">
        <f>"03780"</f>
        <v>03780</v>
      </c>
      <c r="C191" s="14" t="str">
        <f>"1000"</f>
        <v>1000</v>
      </c>
      <c r="D191" s="14" t="str">
        <f>""</f>
        <v/>
      </c>
      <c r="E191" s="14" t="s">
        <v>20</v>
      </c>
      <c r="F191" s="14" t="s">
        <v>308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34</v>
      </c>
      <c r="P191" s="14" t="s">
        <v>260</v>
      </c>
      <c r="Q191" s="14" t="s">
        <v>25</v>
      </c>
      <c r="R191" s="14" t="s">
        <v>35</v>
      </c>
    </row>
    <row r="192" spans="1:18" s="14" customFormat="1" x14ac:dyDescent="0.25">
      <c r="A192" s="14" t="str">
        <f>"10001"</f>
        <v>10001</v>
      </c>
      <c r="B192" s="14" t="str">
        <f>"03785"</f>
        <v>03785</v>
      </c>
      <c r="C192" s="14" t="str">
        <f>"1000"</f>
        <v>1000</v>
      </c>
      <c r="D192" s="14" t="str">
        <f>""</f>
        <v/>
      </c>
      <c r="E192" s="14" t="s">
        <v>20</v>
      </c>
      <c r="F192" s="14" t="s">
        <v>309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34</v>
      </c>
      <c r="P192" s="14" t="s">
        <v>260</v>
      </c>
      <c r="Q192" s="14" t="s">
        <v>25</v>
      </c>
      <c r="R192" s="14" t="s">
        <v>35</v>
      </c>
    </row>
    <row r="193" spans="1:18" s="14" customFormat="1" x14ac:dyDescent="0.25">
      <c r="A193" s="14" t="str">
        <f>"10001"</f>
        <v>10001</v>
      </c>
      <c r="B193" s="14" t="str">
        <f>"03785"</f>
        <v>03785</v>
      </c>
      <c r="C193" s="14" t="str">
        <f>"1500"</f>
        <v>1500</v>
      </c>
      <c r="D193" s="14" t="str">
        <f>""</f>
        <v/>
      </c>
      <c r="E193" s="14" t="s">
        <v>20</v>
      </c>
      <c r="F193" s="14" t="s">
        <v>309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34</v>
      </c>
      <c r="P193" s="14" t="s">
        <v>31</v>
      </c>
      <c r="Q193" s="14" t="s">
        <v>25</v>
      </c>
      <c r="R193" s="14" t="s">
        <v>35</v>
      </c>
    </row>
    <row r="194" spans="1:18" s="14" customFormat="1" x14ac:dyDescent="0.25">
      <c r="A194" s="14" t="str">
        <f>"10001"</f>
        <v>10001</v>
      </c>
      <c r="B194" s="14" t="str">
        <f>"03800"</f>
        <v>03800</v>
      </c>
      <c r="C194" s="14" t="str">
        <f>"1000"</f>
        <v>1000</v>
      </c>
      <c r="D194" s="14" t="str">
        <f>""</f>
        <v/>
      </c>
      <c r="E194" s="14" t="s">
        <v>20</v>
      </c>
      <c r="F194" s="14" t="s">
        <v>310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34</v>
      </c>
      <c r="P194" s="14" t="s">
        <v>239</v>
      </c>
      <c r="Q194" s="14" t="s">
        <v>25</v>
      </c>
      <c r="R194" s="14" t="s">
        <v>35</v>
      </c>
    </row>
    <row r="195" spans="1:18" s="14" customFormat="1" x14ac:dyDescent="0.25">
      <c r="A195" s="14" t="str">
        <f>"10001"</f>
        <v>10001</v>
      </c>
      <c r="B195" s="14" t="str">
        <f>"03810"</f>
        <v>03810</v>
      </c>
      <c r="C195" s="14" t="str">
        <f>"1000"</f>
        <v>1000</v>
      </c>
      <c r="D195" s="14" t="str">
        <f>""</f>
        <v/>
      </c>
      <c r="E195" s="14" t="s">
        <v>20</v>
      </c>
      <c r="F195" s="14" t="s">
        <v>311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34</v>
      </c>
      <c r="P195" s="14" t="s">
        <v>39</v>
      </c>
      <c r="Q195" s="14" t="s">
        <v>25</v>
      </c>
      <c r="R195" s="14" t="s">
        <v>35</v>
      </c>
    </row>
    <row r="196" spans="1:18" s="14" customFormat="1" x14ac:dyDescent="0.25">
      <c r="A196" s="14" t="str">
        <f>"10001"</f>
        <v>10001</v>
      </c>
      <c r="B196" s="14" t="str">
        <f>"03810"</f>
        <v>03810</v>
      </c>
      <c r="C196" s="14" t="str">
        <f>"1400"</f>
        <v>1400</v>
      </c>
      <c r="D196" s="14" t="str">
        <f>"03810"</f>
        <v>03810</v>
      </c>
      <c r="E196" s="14" t="s">
        <v>20</v>
      </c>
      <c r="F196" s="14" t="s">
        <v>311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34</v>
      </c>
      <c r="L196" s="14" t="s">
        <v>226</v>
      </c>
      <c r="P196" s="14" t="s">
        <v>39</v>
      </c>
      <c r="Q196" s="14" t="s">
        <v>25</v>
      </c>
      <c r="R196" s="14" t="s">
        <v>35</v>
      </c>
    </row>
    <row r="197" spans="1:18" s="14" customFormat="1" x14ac:dyDescent="0.25">
      <c r="A197" s="14" t="str">
        <f>"10001"</f>
        <v>10001</v>
      </c>
      <c r="B197" s="14" t="str">
        <f>"03820"</f>
        <v>03820</v>
      </c>
      <c r="C197" s="14" t="str">
        <f>"1000"</f>
        <v>1000</v>
      </c>
      <c r="D197" s="14" t="str">
        <f>""</f>
        <v/>
      </c>
      <c r="E197" s="14" t="s">
        <v>20</v>
      </c>
      <c r="F197" s="14" t="s">
        <v>312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34</v>
      </c>
      <c r="P197" s="14" t="s">
        <v>260</v>
      </c>
      <c r="Q197" s="14" t="s">
        <v>25</v>
      </c>
      <c r="R197" s="14" t="s">
        <v>35</v>
      </c>
    </row>
    <row r="198" spans="1:18" s="14" customFormat="1" x14ac:dyDescent="0.25">
      <c r="A198" s="14" t="str">
        <f>"10001"</f>
        <v>10001</v>
      </c>
      <c r="B198" s="14" t="str">
        <f>"03820"</f>
        <v>03820</v>
      </c>
      <c r="C198" s="14" t="str">
        <f>"1500"</f>
        <v>1500</v>
      </c>
      <c r="D198" s="14" t="str">
        <f>""</f>
        <v/>
      </c>
      <c r="E198" s="14" t="s">
        <v>20</v>
      </c>
      <c r="F198" s="14" t="s">
        <v>312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34</v>
      </c>
      <c r="P198" s="14" t="s">
        <v>260</v>
      </c>
      <c r="Q198" s="14" t="s">
        <v>25</v>
      </c>
      <c r="R198" s="14" t="s">
        <v>35</v>
      </c>
    </row>
    <row r="199" spans="1:18" s="14" customFormat="1" x14ac:dyDescent="0.25">
      <c r="A199" s="14" t="str">
        <f>"10001"</f>
        <v>10001</v>
      </c>
      <c r="B199" s="14" t="str">
        <f>"03830"</f>
        <v>03830</v>
      </c>
      <c r="C199" s="14" t="str">
        <f>"1000"</f>
        <v>1000</v>
      </c>
      <c r="D199" s="14" t="str">
        <f>""</f>
        <v/>
      </c>
      <c r="E199" s="14" t="s">
        <v>20</v>
      </c>
      <c r="F199" s="14" t="s">
        <v>313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34</v>
      </c>
      <c r="P199" s="14" t="s">
        <v>260</v>
      </c>
      <c r="Q199" s="14" t="s">
        <v>25</v>
      </c>
      <c r="R199" s="14" t="s">
        <v>35</v>
      </c>
    </row>
    <row r="200" spans="1:18" s="14" customFormat="1" x14ac:dyDescent="0.25">
      <c r="A200" s="14" t="str">
        <f>"10001"</f>
        <v>10001</v>
      </c>
      <c r="B200" s="14" t="str">
        <f>"03830"</f>
        <v>03830</v>
      </c>
      <c r="C200" s="14" t="str">
        <f>"1500"</f>
        <v>1500</v>
      </c>
      <c r="D200" s="14" t="str">
        <f>""</f>
        <v/>
      </c>
      <c r="E200" s="14" t="s">
        <v>20</v>
      </c>
      <c r="F200" s="14" t="s">
        <v>313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34</v>
      </c>
      <c r="P200" s="14" t="s">
        <v>260</v>
      </c>
      <c r="Q200" s="14" t="s">
        <v>25</v>
      </c>
      <c r="R200" s="14" t="s">
        <v>35</v>
      </c>
    </row>
    <row r="201" spans="1:18" s="14" customFormat="1" x14ac:dyDescent="0.25">
      <c r="A201" s="14" t="str">
        <f>"10001"</f>
        <v>10001</v>
      </c>
      <c r="B201" s="14" t="str">
        <f>"03850"</f>
        <v>03850</v>
      </c>
      <c r="C201" s="14" t="str">
        <f>"1000"</f>
        <v>1000</v>
      </c>
      <c r="D201" s="14" t="str">
        <f>""</f>
        <v/>
      </c>
      <c r="E201" s="14" t="s">
        <v>20</v>
      </c>
      <c r="F201" s="14" t="s">
        <v>314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34</v>
      </c>
      <c r="P201" s="14" t="s">
        <v>260</v>
      </c>
      <c r="Q201" s="14" t="s">
        <v>25</v>
      </c>
      <c r="R201" s="14" t="s">
        <v>35</v>
      </c>
    </row>
    <row r="202" spans="1:18" s="14" customFormat="1" x14ac:dyDescent="0.25">
      <c r="A202" s="14" t="str">
        <f>"10001"</f>
        <v>10001</v>
      </c>
      <c r="B202" s="14" t="str">
        <f>"03870"</f>
        <v>03870</v>
      </c>
      <c r="C202" s="14" t="str">
        <f>"1000"</f>
        <v>1000</v>
      </c>
      <c r="D202" s="14" t="str">
        <f>""</f>
        <v/>
      </c>
      <c r="E202" s="14" t="s">
        <v>20</v>
      </c>
      <c r="F202" s="14" t="s">
        <v>315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34</v>
      </c>
      <c r="P202" s="14" t="s">
        <v>260</v>
      </c>
      <c r="Q202" s="14" t="s">
        <v>25</v>
      </c>
      <c r="R202" s="14" t="s">
        <v>35</v>
      </c>
    </row>
    <row r="203" spans="1:18" s="14" customFormat="1" x14ac:dyDescent="0.25">
      <c r="A203" s="14" t="str">
        <f>"10001"</f>
        <v>10001</v>
      </c>
      <c r="B203" s="14" t="str">
        <f>"03885"</f>
        <v>03885</v>
      </c>
      <c r="C203" s="14" t="str">
        <f>"1700"</f>
        <v>1700</v>
      </c>
      <c r="D203" s="14" t="str">
        <f>""</f>
        <v/>
      </c>
      <c r="E203" s="14" t="s">
        <v>20</v>
      </c>
      <c r="F203" s="14" t="s">
        <v>1920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34</v>
      </c>
      <c r="L203" s="14" t="s">
        <v>25</v>
      </c>
      <c r="P203" s="14" t="s">
        <v>39</v>
      </c>
      <c r="Q203" s="14" t="s">
        <v>25</v>
      </c>
      <c r="R203" s="14" t="s">
        <v>25</v>
      </c>
    </row>
    <row r="204" spans="1:18" s="14" customFormat="1" x14ac:dyDescent="0.25">
      <c r="A204" s="14" t="str">
        <f>"10001"</f>
        <v>10001</v>
      </c>
      <c r="B204" s="14" t="str">
        <f>"03890"</f>
        <v>03890</v>
      </c>
      <c r="C204" s="14" t="str">
        <f>"1000"</f>
        <v>1000</v>
      </c>
      <c r="D204" s="14" t="str">
        <f>"03890"</f>
        <v>03890</v>
      </c>
      <c r="E204" s="14" t="s">
        <v>20</v>
      </c>
      <c r="F204" s="14" t="s">
        <v>316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228</v>
      </c>
      <c r="L204" s="14" t="s">
        <v>226</v>
      </c>
      <c r="P204" s="14" t="s">
        <v>260</v>
      </c>
      <c r="Q204" s="14" t="s">
        <v>260</v>
      </c>
      <c r="R204" s="14" t="s">
        <v>229</v>
      </c>
    </row>
    <row r="205" spans="1:18" s="14" customFormat="1" x14ac:dyDescent="0.25">
      <c r="A205" s="14" t="str">
        <f>"10001"</f>
        <v>10001</v>
      </c>
      <c r="B205" s="14" t="str">
        <f>"03901"</f>
        <v>03901</v>
      </c>
      <c r="C205" s="14" t="str">
        <f>"1800"</f>
        <v>1800</v>
      </c>
      <c r="D205" s="14" t="str">
        <f>""</f>
        <v/>
      </c>
      <c r="E205" s="14" t="s">
        <v>20</v>
      </c>
      <c r="F205" s="14" t="s">
        <v>317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318</v>
      </c>
      <c r="L205" s="14" t="s">
        <v>319</v>
      </c>
      <c r="P205" s="14" t="s">
        <v>260</v>
      </c>
      <c r="Q205" s="14" t="s">
        <v>25</v>
      </c>
      <c r="R205" s="14" t="s">
        <v>318</v>
      </c>
    </row>
    <row r="206" spans="1:18" s="14" customFormat="1" x14ac:dyDescent="0.25">
      <c r="A206" s="14" t="str">
        <f>"10001"</f>
        <v>10001</v>
      </c>
      <c r="B206" s="14" t="str">
        <f>"03902"</f>
        <v>03902</v>
      </c>
      <c r="C206" s="14" t="str">
        <f>"1400"</f>
        <v>1400</v>
      </c>
      <c r="D206" s="14" t="str">
        <f>""</f>
        <v/>
      </c>
      <c r="E206" s="14" t="s">
        <v>20</v>
      </c>
      <c r="F206" s="14" t="s">
        <v>320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318</v>
      </c>
      <c r="L206" s="14" t="s">
        <v>319</v>
      </c>
      <c r="P206" s="14" t="s">
        <v>260</v>
      </c>
      <c r="Q206" s="14" t="s">
        <v>25</v>
      </c>
      <c r="R206" s="14" t="s">
        <v>318</v>
      </c>
    </row>
    <row r="207" spans="1:18" s="14" customFormat="1" x14ac:dyDescent="0.25">
      <c r="A207" s="14" t="str">
        <f>"10001"</f>
        <v>10001</v>
      </c>
      <c r="B207" s="14" t="str">
        <f>"03903"</f>
        <v>03903</v>
      </c>
      <c r="C207" s="14" t="str">
        <f>"1400"</f>
        <v>1400</v>
      </c>
      <c r="D207" s="14" t="str">
        <f>""</f>
        <v/>
      </c>
      <c r="E207" s="14" t="s">
        <v>20</v>
      </c>
      <c r="F207" s="14" t="s">
        <v>321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318</v>
      </c>
      <c r="L207" s="14" t="s">
        <v>319</v>
      </c>
      <c r="P207" s="14" t="s">
        <v>260</v>
      </c>
      <c r="Q207" s="14" t="s">
        <v>25</v>
      </c>
      <c r="R207" s="14" t="s">
        <v>318</v>
      </c>
    </row>
    <row r="208" spans="1:18" s="14" customFormat="1" x14ac:dyDescent="0.25">
      <c r="A208" s="14" t="str">
        <f>"10001"</f>
        <v>10001</v>
      </c>
      <c r="B208" s="14" t="str">
        <f>"03904"</f>
        <v>03904</v>
      </c>
      <c r="C208" s="14" t="str">
        <f>"1800"</f>
        <v>1800</v>
      </c>
      <c r="D208" s="14" t="str">
        <f>""</f>
        <v/>
      </c>
      <c r="E208" s="14" t="s">
        <v>20</v>
      </c>
      <c r="F208" s="14" t="s">
        <v>322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318</v>
      </c>
      <c r="L208" s="14" t="s">
        <v>319</v>
      </c>
      <c r="P208" s="14" t="s">
        <v>260</v>
      </c>
      <c r="Q208" s="14" t="s">
        <v>25</v>
      </c>
      <c r="R208" s="14" t="s">
        <v>318</v>
      </c>
    </row>
    <row r="209" spans="1:18" s="14" customFormat="1" x14ac:dyDescent="0.25">
      <c r="A209" s="14" t="str">
        <f>"10001"</f>
        <v>10001</v>
      </c>
      <c r="B209" s="14" t="str">
        <f>"03906"</f>
        <v>03906</v>
      </c>
      <c r="C209" s="14" t="str">
        <f>"1400"</f>
        <v>1400</v>
      </c>
      <c r="D209" s="14" t="str">
        <f>""</f>
        <v/>
      </c>
      <c r="E209" s="14" t="s">
        <v>20</v>
      </c>
      <c r="F209" s="14" t="s">
        <v>323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318</v>
      </c>
      <c r="L209" s="14" t="s">
        <v>319</v>
      </c>
      <c r="P209" s="14" t="s">
        <v>260</v>
      </c>
      <c r="Q209" s="14" t="s">
        <v>25</v>
      </c>
      <c r="R209" s="14" t="s">
        <v>318</v>
      </c>
    </row>
    <row r="210" spans="1:18" s="14" customFormat="1" x14ac:dyDescent="0.25">
      <c r="A210" s="14" t="str">
        <f>"10001"</f>
        <v>10001</v>
      </c>
      <c r="B210" s="14" t="str">
        <f>"03908"</f>
        <v>03908</v>
      </c>
      <c r="C210" s="14" t="str">
        <f>"1800"</f>
        <v>1800</v>
      </c>
      <c r="D210" s="14" t="str">
        <f>""</f>
        <v/>
      </c>
      <c r="E210" s="14" t="s">
        <v>20</v>
      </c>
      <c r="F210" s="14" t="s">
        <v>324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226</v>
      </c>
      <c r="P210" s="14" t="s">
        <v>260</v>
      </c>
      <c r="Q210" s="14" t="s">
        <v>25</v>
      </c>
      <c r="R210" s="14" t="s">
        <v>229</v>
      </c>
    </row>
    <row r="211" spans="1:18" s="14" customFormat="1" x14ac:dyDescent="0.25">
      <c r="A211" s="14" t="str">
        <f>"10001"</f>
        <v>10001</v>
      </c>
      <c r="B211" s="14" t="str">
        <f>"03912"</f>
        <v>03912</v>
      </c>
      <c r="C211" s="14" t="str">
        <f>"1800"</f>
        <v>1800</v>
      </c>
      <c r="D211" s="14" t="str">
        <f>""</f>
        <v/>
      </c>
      <c r="E211" s="14" t="s">
        <v>20</v>
      </c>
      <c r="F211" s="14" t="s">
        <v>325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318</v>
      </c>
      <c r="L211" s="14" t="s">
        <v>319</v>
      </c>
      <c r="P211" s="14" t="s">
        <v>260</v>
      </c>
      <c r="Q211" s="14" t="s">
        <v>25</v>
      </c>
      <c r="R211" s="14" t="s">
        <v>318</v>
      </c>
    </row>
    <row r="212" spans="1:18" s="14" customFormat="1" x14ac:dyDescent="0.25">
      <c r="A212" s="14" t="str">
        <f>"10001"</f>
        <v>10001</v>
      </c>
      <c r="B212" s="14" t="str">
        <f>"03916"</f>
        <v>03916</v>
      </c>
      <c r="C212" s="14" t="str">
        <f>"1800"</f>
        <v>1800</v>
      </c>
      <c r="D212" s="14" t="str">
        <f>""</f>
        <v/>
      </c>
      <c r="E212" s="14" t="s">
        <v>20</v>
      </c>
      <c r="F212" s="14" t="s">
        <v>326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318</v>
      </c>
      <c r="L212" s="14" t="s">
        <v>319</v>
      </c>
      <c r="P212" s="14" t="s">
        <v>260</v>
      </c>
      <c r="Q212" s="14" t="s">
        <v>25</v>
      </c>
      <c r="R212" s="14" t="s">
        <v>318</v>
      </c>
    </row>
    <row r="213" spans="1:18" s="14" customFormat="1" x14ac:dyDescent="0.25">
      <c r="A213" s="14" t="str">
        <f>"10001"</f>
        <v>10001</v>
      </c>
      <c r="B213" s="14" t="str">
        <f>"03918"</f>
        <v>03918</v>
      </c>
      <c r="C213" s="14" t="str">
        <f>"1800"</f>
        <v>1800</v>
      </c>
      <c r="D213" s="14" t="str">
        <f>""</f>
        <v/>
      </c>
      <c r="E213" s="14" t="s">
        <v>20</v>
      </c>
      <c r="F213" s="14" t="s">
        <v>327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318</v>
      </c>
      <c r="L213" s="14" t="s">
        <v>319</v>
      </c>
      <c r="P213" s="14" t="s">
        <v>260</v>
      </c>
      <c r="Q213" s="14" t="s">
        <v>25</v>
      </c>
      <c r="R213" s="14" t="s">
        <v>318</v>
      </c>
    </row>
    <row r="214" spans="1:18" s="14" customFormat="1" x14ac:dyDescent="0.25">
      <c r="A214" s="14" t="str">
        <f>"10001"</f>
        <v>10001</v>
      </c>
      <c r="B214" s="14" t="str">
        <f>"03933"</f>
        <v>03933</v>
      </c>
      <c r="C214" s="14" t="str">
        <f>"1400"</f>
        <v>1400</v>
      </c>
      <c r="D214" s="14" t="str">
        <f>""</f>
        <v/>
      </c>
      <c r="E214" s="14" t="s">
        <v>20</v>
      </c>
      <c r="F214" s="14" t="s">
        <v>328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318</v>
      </c>
      <c r="L214" s="14" t="s">
        <v>319</v>
      </c>
      <c r="P214" s="14" t="s">
        <v>260</v>
      </c>
      <c r="Q214" s="14" t="s">
        <v>25</v>
      </c>
      <c r="R214" s="14" t="s">
        <v>318</v>
      </c>
    </row>
    <row r="215" spans="1:18" s="14" customFormat="1" x14ac:dyDescent="0.25">
      <c r="A215" s="14" t="str">
        <f>"10001"</f>
        <v>10001</v>
      </c>
      <c r="B215" s="14" t="str">
        <f>"03934"</f>
        <v>03934</v>
      </c>
      <c r="C215" s="14" t="str">
        <f>"1400"</f>
        <v>1400</v>
      </c>
      <c r="D215" s="14" t="str">
        <f>""</f>
        <v/>
      </c>
      <c r="E215" s="14" t="s">
        <v>20</v>
      </c>
      <c r="F215" s="14" t="s">
        <v>329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318</v>
      </c>
      <c r="L215" s="14" t="s">
        <v>319</v>
      </c>
      <c r="P215" s="14" t="s">
        <v>260</v>
      </c>
      <c r="Q215" s="14" t="s">
        <v>25</v>
      </c>
      <c r="R215" s="14" t="s">
        <v>318</v>
      </c>
    </row>
    <row r="216" spans="1:18" s="14" customFormat="1" x14ac:dyDescent="0.25">
      <c r="A216" s="14" t="str">
        <f>"10001"</f>
        <v>10001</v>
      </c>
      <c r="B216" s="14" t="str">
        <f>"03935"</f>
        <v>03935</v>
      </c>
      <c r="C216" s="14" t="str">
        <f>"1400"</f>
        <v>1400</v>
      </c>
      <c r="D216" s="14" t="str">
        <f>""</f>
        <v/>
      </c>
      <c r="E216" s="14" t="s">
        <v>20</v>
      </c>
      <c r="F216" s="14" t="s">
        <v>330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318</v>
      </c>
      <c r="L216" s="14" t="s">
        <v>319</v>
      </c>
      <c r="P216" s="14" t="s">
        <v>260</v>
      </c>
      <c r="Q216" s="14" t="s">
        <v>25</v>
      </c>
      <c r="R216" s="14" t="s">
        <v>318</v>
      </c>
    </row>
    <row r="217" spans="1:18" s="14" customFormat="1" x14ac:dyDescent="0.25">
      <c r="A217" s="14" t="str">
        <f>"10001"</f>
        <v>10001</v>
      </c>
      <c r="B217" s="14" t="str">
        <f>"03936"</f>
        <v>03936</v>
      </c>
      <c r="C217" s="14" t="str">
        <f>"1400"</f>
        <v>1400</v>
      </c>
      <c r="D217" s="14" t="str">
        <f>""</f>
        <v/>
      </c>
      <c r="E217" s="14" t="s">
        <v>20</v>
      </c>
      <c r="F217" s="14" t="s">
        <v>331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318</v>
      </c>
      <c r="L217" s="14" t="s">
        <v>319</v>
      </c>
      <c r="P217" s="14" t="s">
        <v>260</v>
      </c>
      <c r="Q217" s="14" t="s">
        <v>25</v>
      </c>
      <c r="R217" s="14" t="s">
        <v>318</v>
      </c>
    </row>
    <row r="218" spans="1:18" s="14" customFormat="1" x14ac:dyDescent="0.25">
      <c r="A218" s="14" t="str">
        <f>"10001"</f>
        <v>10001</v>
      </c>
      <c r="B218" s="14" t="str">
        <f>"03937"</f>
        <v>03937</v>
      </c>
      <c r="C218" s="14" t="str">
        <f>"1400"</f>
        <v>1400</v>
      </c>
      <c r="D218" s="14" t="str">
        <f>""</f>
        <v/>
      </c>
      <c r="E218" s="14" t="s">
        <v>20</v>
      </c>
      <c r="F218" s="14" t="s">
        <v>332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318</v>
      </c>
      <c r="L218" s="14" t="s">
        <v>319</v>
      </c>
      <c r="P218" s="14" t="s">
        <v>260</v>
      </c>
      <c r="Q218" s="14" t="s">
        <v>25</v>
      </c>
      <c r="R218" s="14" t="s">
        <v>318</v>
      </c>
    </row>
    <row r="219" spans="1:18" s="14" customFormat="1" x14ac:dyDescent="0.25">
      <c r="A219" s="14" t="str">
        <f>"10001"</f>
        <v>10001</v>
      </c>
      <c r="B219" s="14" t="str">
        <f>"03938"</f>
        <v>03938</v>
      </c>
      <c r="C219" s="14" t="str">
        <f>"1400"</f>
        <v>1400</v>
      </c>
      <c r="D219" s="14" t="str">
        <f>""</f>
        <v/>
      </c>
      <c r="E219" s="14" t="s">
        <v>20</v>
      </c>
      <c r="F219" s="14" t="s">
        <v>333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318</v>
      </c>
      <c r="L219" s="14" t="s">
        <v>319</v>
      </c>
      <c r="P219" s="14" t="s">
        <v>260</v>
      </c>
      <c r="Q219" s="14" t="s">
        <v>25</v>
      </c>
      <c r="R219" s="14" t="s">
        <v>318</v>
      </c>
    </row>
    <row r="220" spans="1:18" s="14" customFormat="1" x14ac:dyDescent="0.25">
      <c r="A220" s="14" t="str">
        <f>"10001"</f>
        <v>10001</v>
      </c>
      <c r="B220" s="14" t="str">
        <f>"03939"</f>
        <v>03939</v>
      </c>
      <c r="C220" s="14" t="str">
        <f>"1400"</f>
        <v>1400</v>
      </c>
      <c r="D220" s="14" t="str">
        <f>""</f>
        <v/>
      </c>
      <c r="E220" s="14" t="s">
        <v>20</v>
      </c>
      <c r="F220" s="14" t="s">
        <v>334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318</v>
      </c>
      <c r="L220" s="14" t="s">
        <v>319</v>
      </c>
      <c r="P220" s="14" t="s">
        <v>260</v>
      </c>
      <c r="Q220" s="14" t="s">
        <v>25</v>
      </c>
      <c r="R220" s="14" t="s">
        <v>318</v>
      </c>
    </row>
    <row r="221" spans="1:18" s="14" customFormat="1" x14ac:dyDescent="0.25">
      <c r="A221" s="14" t="str">
        <f>"10001"</f>
        <v>10001</v>
      </c>
      <c r="B221" s="14" t="str">
        <f>"03940"</f>
        <v>03940</v>
      </c>
      <c r="C221" s="14" t="str">
        <f>"1400"</f>
        <v>1400</v>
      </c>
      <c r="D221" s="14" t="str">
        <f>""</f>
        <v/>
      </c>
      <c r="E221" s="14" t="s">
        <v>20</v>
      </c>
      <c r="F221" s="14" t="s">
        <v>335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318</v>
      </c>
      <c r="L221" s="14" t="s">
        <v>319</v>
      </c>
      <c r="P221" s="14" t="s">
        <v>260</v>
      </c>
      <c r="Q221" s="14" t="s">
        <v>25</v>
      </c>
      <c r="R221" s="14" t="s">
        <v>318</v>
      </c>
    </row>
    <row r="222" spans="1:18" s="14" customFormat="1" x14ac:dyDescent="0.25">
      <c r="A222" s="14" t="str">
        <f>"10001"</f>
        <v>10001</v>
      </c>
      <c r="B222" s="14" t="str">
        <f>"03941"</f>
        <v>03941</v>
      </c>
      <c r="C222" s="14" t="str">
        <f>"1400"</f>
        <v>1400</v>
      </c>
      <c r="D222" s="14" t="str">
        <f>""</f>
        <v/>
      </c>
      <c r="E222" s="14" t="s">
        <v>20</v>
      </c>
      <c r="F222" s="14" t="s">
        <v>336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318</v>
      </c>
      <c r="L222" s="14" t="s">
        <v>319</v>
      </c>
      <c r="P222" s="14" t="s">
        <v>260</v>
      </c>
      <c r="Q222" s="14" t="s">
        <v>25</v>
      </c>
      <c r="R222" s="14" t="s">
        <v>318</v>
      </c>
    </row>
    <row r="223" spans="1:18" s="14" customFormat="1" x14ac:dyDescent="0.25">
      <c r="A223" s="14" t="str">
        <f>"10001"</f>
        <v>10001</v>
      </c>
      <c r="B223" s="14" t="str">
        <f>"03943"</f>
        <v>03943</v>
      </c>
      <c r="C223" s="14" t="str">
        <f>"1800"</f>
        <v>1800</v>
      </c>
      <c r="D223" s="14" t="str">
        <f>""</f>
        <v/>
      </c>
      <c r="E223" s="14" t="s">
        <v>20</v>
      </c>
      <c r="F223" s="14" t="s">
        <v>337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318</v>
      </c>
      <c r="L223" s="14" t="s">
        <v>319</v>
      </c>
      <c r="P223" s="14" t="s">
        <v>260</v>
      </c>
      <c r="Q223" s="14" t="s">
        <v>25</v>
      </c>
      <c r="R223" s="14" t="s">
        <v>318</v>
      </c>
    </row>
    <row r="224" spans="1:18" s="14" customFormat="1" x14ac:dyDescent="0.25">
      <c r="A224" s="14" t="str">
        <f>"10001"</f>
        <v>10001</v>
      </c>
      <c r="B224" s="14" t="str">
        <f>"03946"</f>
        <v>03946</v>
      </c>
      <c r="C224" s="14" t="str">
        <f>"1800"</f>
        <v>1800</v>
      </c>
      <c r="D224" s="14" t="str">
        <f>""</f>
        <v/>
      </c>
      <c r="E224" s="14" t="s">
        <v>20</v>
      </c>
      <c r="F224" s="14" t="s">
        <v>338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318</v>
      </c>
      <c r="L224" s="14" t="s">
        <v>319</v>
      </c>
      <c r="P224" s="14" t="s">
        <v>260</v>
      </c>
      <c r="Q224" s="14" t="s">
        <v>25</v>
      </c>
      <c r="R224" s="14" t="s">
        <v>318</v>
      </c>
    </row>
    <row r="225" spans="1:18" s="14" customFormat="1" x14ac:dyDescent="0.25">
      <c r="A225" s="14" t="str">
        <f>"10001"</f>
        <v>10001</v>
      </c>
      <c r="B225" s="14" t="str">
        <f>"03952"</f>
        <v>03952</v>
      </c>
      <c r="C225" s="14" t="str">
        <f>"1800"</f>
        <v>1800</v>
      </c>
      <c r="D225" s="14" t="str">
        <f>""</f>
        <v/>
      </c>
      <c r="E225" s="14" t="s">
        <v>20</v>
      </c>
      <c r="F225" s="14" t="s">
        <v>339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318</v>
      </c>
      <c r="L225" s="14" t="s">
        <v>319</v>
      </c>
      <c r="P225" s="14" t="s">
        <v>260</v>
      </c>
      <c r="Q225" s="14" t="s">
        <v>25</v>
      </c>
      <c r="R225" s="14" t="s">
        <v>318</v>
      </c>
    </row>
    <row r="226" spans="1:18" s="14" customFormat="1" x14ac:dyDescent="0.25">
      <c r="A226" s="14" t="str">
        <f>"10001"</f>
        <v>10001</v>
      </c>
      <c r="B226" s="14" t="str">
        <f>"03953"</f>
        <v>03953</v>
      </c>
      <c r="C226" s="14" t="str">
        <f>"1800"</f>
        <v>1800</v>
      </c>
      <c r="D226" s="14" t="str">
        <f>""</f>
        <v/>
      </c>
      <c r="E226" s="14" t="s">
        <v>20</v>
      </c>
      <c r="F226" s="14" t="s">
        <v>340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318</v>
      </c>
      <c r="L226" s="14" t="s">
        <v>319</v>
      </c>
      <c r="P226" s="14" t="s">
        <v>260</v>
      </c>
      <c r="Q226" s="14" t="s">
        <v>25</v>
      </c>
      <c r="R226" s="14" t="s">
        <v>318</v>
      </c>
    </row>
    <row r="227" spans="1:18" s="14" customFormat="1" x14ac:dyDescent="0.25">
      <c r="A227" s="14" t="str">
        <f>"10001"</f>
        <v>10001</v>
      </c>
      <c r="B227" s="14" t="str">
        <f>"03955"</f>
        <v>03955</v>
      </c>
      <c r="C227" s="14" t="str">
        <f>"1800"</f>
        <v>1800</v>
      </c>
      <c r="D227" s="14" t="str">
        <f>""</f>
        <v/>
      </c>
      <c r="E227" s="14" t="s">
        <v>20</v>
      </c>
      <c r="F227" s="14" t="s">
        <v>341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318</v>
      </c>
      <c r="L227" s="14" t="s">
        <v>319</v>
      </c>
      <c r="P227" s="14" t="s">
        <v>260</v>
      </c>
      <c r="Q227" s="14" t="s">
        <v>25</v>
      </c>
      <c r="R227" s="14" t="s">
        <v>318</v>
      </c>
    </row>
    <row r="228" spans="1:18" s="14" customFormat="1" x14ac:dyDescent="0.25">
      <c r="A228" s="14" t="str">
        <f>"10001"</f>
        <v>10001</v>
      </c>
      <c r="B228" s="14" t="str">
        <f>"03956"</f>
        <v>03956</v>
      </c>
      <c r="C228" s="14" t="str">
        <f>"1800"</f>
        <v>1800</v>
      </c>
      <c r="D228" s="14" t="str">
        <f>""</f>
        <v/>
      </c>
      <c r="E228" s="14" t="s">
        <v>20</v>
      </c>
      <c r="F228" s="14" t="s">
        <v>342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318</v>
      </c>
      <c r="L228" s="14" t="s">
        <v>319</v>
      </c>
      <c r="P228" s="14" t="s">
        <v>260</v>
      </c>
      <c r="Q228" s="14" t="s">
        <v>25</v>
      </c>
      <c r="R228" s="14" t="s">
        <v>318</v>
      </c>
    </row>
    <row r="229" spans="1:18" s="14" customFormat="1" x14ac:dyDescent="0.25">
      <c r="A229" s="14" t="str">
        <f>"10001"</f>
        <v>10001</v>
      </c>
      <c r="B229" s="14" t="str">
        <f>"03957"</f>
        <v>03957</v>
      </c>
      <c r="C229" s="14" t="str">
        <f>"1400"</f>
        <v>1400</v>
      </c>
      <c r="D229" s="14" t="str">
        <f>""</f>
        <v/>
      </c>
      <c r="E229" s="14" t="s">
        <v>20</v>
      </c>
      <c r="F229" s="14" t="s">
        <v>343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318</v>
      </c>
      <c r="L229" s="14" t="s">
        <v>319</v>
      </c>
      <c r="P229" s="14" t="s">
        <v>260</v>
      </c>
      <c r="Q229" s="14" t="s">
        <v>25</v>
      </c>
      <c r="R229" s="14" t="s">
        <v>318</v>
      </c>
    </row>
    <row r="230" spans="1:18" s="14" customFormat="1" x14ac:dyDescent="0.25">
      <c r="A230" s="14" t="str">
        <f>"10001"</f>
        <v>10001</v>
      </c>
      <c r="B230" s="14" t="str">
        <f>"03958"</f>
        <v>03958</v>
      </c>
      <c r="C230" s="14" t="str">
        <f>"1800"</f>
        <v>1800</v>
      </c>
      <c r="D230" s="14" t="str">
        <f>""</f>
        <v/>
      </c>
      <c r="E230" s="14" t="s">
        <v>20</v>
      </c>
      <c r="F230" s="14" t="s">
        <v>344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318</v>
      </c>
      <c r="L230" s="14" t="s">
        <v>319</v>
      </c>
      <c r="P230" s="14" t="s">
        <v>260</v>
      </c>
      <c r="Q230" s="14" t="s">
        <v>25</v>
      </c>
      <c r="R230" s="14" t="s">
        <v>318</v>
      </c>
    </row>
    <row r="231" spans="1:18" s="14" customFormat="1" x14ac:dyDescent="0.25">
      <c r="A231" s="14" t="str">
        <f>"10001"</f>
        <v>10001</v>
      </c>
      <c r="B231" s="14" t="str">
        <f>"03959"</f>
        <v>03959</v>
      </c>
      <c r="C231" s="14" t="str">
        <f>"1800"</f>
        <v>1800</v>
      </c>
      <c r="D231" s="14" t="str">
        <f>""</f>
        <v/>
      </c>
      <c r="E231" s="14" t="s">
        <v>20</v>
      </c>
      <c r="F231" s="14" t="s">
        <v>345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318</v>
      </c>
      <c r="L231" s="14" t="s">
        <v>319</v>
      </c>
      <c r="P231" s="14" t="s">
        <v>260</v>
      </c>
      <c r="Q231" s="14" t="s">
        <v>25</v>
      </c>
      <c r="R231" s="14" t="s">
        <v>318</v>
      </c>
    </row>
    <row r="232" spans="1:18" s="14" customFormat="1" x14ac:dyDescent="0.25">
      <c r="A232" s="14" t="str">
        <f>"10001"</f>
        <v>10001</v>
      </c>
      <c r="B232" s="14" t="str">
        <f>"03960"</f>
        <v>03960</v>
      </c>
      <c r="C232" s="14" t="str">
        <f>"1800"</f>
        <v>1800</v>
      </c>
      <c r="D232" s="14" t="str">
        <f>""</f>
        <v/>
      </c>
      <c r="E232" s="14" t="s">
        <v>20</v>
      </c>
      <c r="F232" s="14" t="s">
        <v>346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318</v>
      </c>
      <c r="L232" s="14" t="s">
        <v>319</v>
      </c>
      <c r="P232" s="14" t="s">
        <v>260</v>
      </c>
      <c r="Q232" s="14" t="s">
        <v>25</v>
      </c>
      <c r="R232" s="14" t="s">
        <v>318</v>
      </c>
    </row>
    <row r="233" spans="1:18" s="14" customFormat="1" x14ac:dyDescent="0.25">
      <c r="A233" s="14" t="str">
        <f>"10001"</f>
        <v>10001</v>
      </c>
      <c r="B233" s="14" t="str">
        <f>"03961"</f>
        <v>03961</v>
      </c>
      <c r="C233" s="14" t="str">
        <f>"1800"</f>
        <v>1800</v>
      </c>
      <c r="D233" s="14" t="str">
        <f>""</f>
        <v/>
      </c>
      <c r="E233" s="14" t="s">
        <v>20</v>
      </c>
      <c r="F233" s="14" t="s">
        <v>347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318</v>
      </c>
      <c r="L233" s="14" t="s">
        <v>319</v>
      </c>
      <c r="P233" s="14" t="s">
        <v>260</v>
      </c>
      <c r="Q233" s="14" t="s">
        <v>25</v>
      </c>
      <c r="R233" s="14" t="s">
        <v>318</v>
      </c>
    </row>
    <row r="234" spans="1:18" s="14" customFormat="1" x14ac:dyDescent="0.25">
      <c r="A234" s="14" t="str">
        <f>"10001"</f>
        <v>10001</v>
      </c>
      <c r="B234" s="14" t="str">
        <f>"03962"</f>
        <v>03962</v>
      </c>
      <c r="C234" s="14" t="str">
        <f>"1800"</f>
        <v>1800</v>
      </c>
      <c r="D234" s="14" t="str">
        <f>""</f>
        <v/>
      </c>
      <c r="E234" s="14" t="s">
        <v>20</v>
      </c>
      <c r="F234" s="14" t="s">
        <v>348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318</v>
      </c>
      <c r="L234" s="14" t="s">
        <v>319</v>
      </c>
      <c r="P234" s="14" t="s">
        <v>260</v>
      </c>
      <c r="Q234" s="14" t="s">
        <v>25</v>
      </c>
      <c r="R234" s="14" t="s">
        <v>318</v>
      </c>
    </row>
    <row r="235" spans="1:18" s="14" customFormat="1" x14ac:dyDescent="0.25">
      <c r="A235" s="14" t="str">
        <f>"10001"</f>
        <v>10001</v>
      </c>
      <c r="B235" s="14" t="str">
        <f>"03963"</f>
        <v>03963</v>
      </c>
      <c r="C235" s="14" t="str">
        <f>"1800"</f>
        <v>1800</v>
      </c>
      <c r="D235" s="14" t="str">
        <f>""</f>
        <v/>
      </c>
      <c r="E235" s="14" t="s">
        <v>20</v>
      </c>
      <c r="F235" s="14" t="s">
        <v>349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318</v>
      </c>
      <c r="L235" s="14" t="s">
        <v>319</v>
      </c>
      <c r="P235" s="14" t="s">
        <v>260</v>
      </c>
      <c r="Q235" s="14" t="s">
        <v>25</v>
      </c>
      <c r="R235" s="14" t="s">
        <v>318</v>
      </c>
    </row>
    <row r="236" spans="1:18" s="14" customFormat="1" x14ac:dyDescent="0.25">
      <c r="A236" s="14" t="str">
        <f>"10001"</f>
        <v>10001</v>
      </c>
      <c r="B236" s="14" t="str">
        <f>"03964"</f>
        <v>03964</v>
      </c>
      <c r="C236" s="14" t="str">
        <f>"1800"</f>
        <v>1800</v>
      </c>
      <c r="D236" s="14" t="str">
        <f>""</f>
        <v/>
      </c>
      <c r="E236" s="14" t="s">
        <v>20</v>
      </c>
      <c r="F236" s="14" t="s">
        <v>350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318</v>
      </c>
      <c r="L236" s="14" t="s">
        <v>319</v>
      </c>
      <c r="P236" s="14" t="s">
        <v>260</v>
      </c>
      <c r="Q236" s="14" t="s">
        <v>25</v>
      </c>
      <c r="R236" s="14" t="s">
        <v>318</v>
      </c>
    </row>
    <row r="237" spans="1:18" s="14" customFormat="1" x14ac:dyDescent="0.25">
      <c r="A237" s="14" t="str">
        <f>"10001"</f>
        <v>10001</v>
      </c>
      <c r="B237" s="14" t="str">
        <f>"03965"</f>
        <v>03965</v>
      </c>
      <c r="C237" s="14" t="str">
        <f>"1800"</f>
        <v>1800</v>
      </c>
      <c r="D237" s="14" t="str">
        <f>""</f>
        <v/>
      </c>
      <c r="E237" s="14" t="s">
        <v>20</v>
      </c>
      <c r="F237" s="14" t="s">
        <v>351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318</v>
      </c>
      <c r="L237" s="14" t="s">
        <v>319</v>
      </c>
      <c r="P237" s="14" t="s">
        <v>260</v>
      </c>
      <c r="Q237" s="14" t="s">
        <v>25</v>
      </c>
      <c r="R237" s="14" t="s">
        <v>318</v>
      </c>
    </row>
    <row r="238" spans="1:18" s="14" customFormat="1" x14ac:dyDescent="0.25">
      <c r="A238" s="14" t="str">
        <f>"10001"</f>
        <v>10001</v>
      </c>
      <c r="B238" s="14" t="str">
        <f>"03966"</f>
        <v>03966</v>
      </c>
      <c r="C238" s="14" t="str">
        <f>"1800"</f>
        <v>1800</v>
      </c>
      <c r="D238" s="14" t="str">
        <f>""</f>
        <v/>
      </c>
      <c r="E238" s="14" t="s">
        <v>20</v>
      </c>
      <c r="F238" s="14" t="s">
        <v>352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318</v>
      </c>
      <c r="L238" s="14" t="s">
        <v>319</v>
      </c>
      <c r="P238" s="14" t="s">
        <v>260</v>
      </c>
      <c r="Q238" s="14" t="s">
        <v>25</v>
      </c>
      <c r="R238" s="14" t="s">
        <v>318</v>
      </c>
    </row>
    <row r="239" spans="1:18" s="14" customFormat="1" x14ac:dyDescent="0.25">
      <c r="A239" s="14" t="str">
        <f>"10001"</f>
        <v>10001</v>
      </c>
      <c r="B239" s="14" t="str">
        <f>"03967"</f>
        <v>03967</v>
      </c>
      <c r="C239" s="14" t="str">
        <f>"1800"</f>
        <v>1800</v>
      </c>
      <c r="D239" s="14" t="str">
        <f>""</f>
        <v/>
      </c>
      <c r="E239" s="14" t="s">
        <v>20</v>
      </c>
      <c r="F239" s="14" t="s">
        <v>353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318</v>
      </c>
      <c r="L239" s="14" t="s">
        <v>319</v>
      </c>
      <c r="P239" s="14" t="s">
        <v>260</v>
      </c>
      <c r="Q239" s="14" t="s">
        <v>25</v>
      </c>
      <c r="R239" s="14" t="s">
        <v>318</v>
      </c>
    </row>
    <row r="240" spans="1:18" s="14" customFormat="1" x14ac:dyDescent="0.25">
      <c r="A240" s="14" t="str">
        <f>"10001"</f>
        <v>10001</v>
      </c>
      <c r="B240" s="14" t="str">
        <f>"03968"</f>
        <v>03968</v>
      </c>
      <c r="C240" s="14" t="str">
        <f>"1800"</f>
        <v>1800</v>
      </c>
      <c r="D240" s="14" t="str">
        <f>""</f>
        <v/>
      </c>
      <c r="E240" s="14" t="s">
        <v>20</v>
      </c>
      <c r="F240" s="14" t="s">
        <v>354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318</v>
      </c>
      <c r="L240" s="14" t="s">
        <v>319</v>
      </c>
      <c r="P240" s="14" t="s">
        <v>260</v>
      </c>
      <c r="Q240" s="14" t="s">
        <v>25</v>
      </c>
      <c r="R240" s="14" t="s">
        <v>318</v>
      </c>
    </row>
    <row r="241" spans="1:18" s="14" customFormat="1" x14ac:dyDescent="0.25">
      <c r="A241" s="14" t="str">
        <f>"10001"</f>
        <v>10001</v>
      </c>
      <c r="B241" s="14" t="str">
        <f>"03969"</f>
        <v>03969</v>
      </c>
      <c r="C241" s="14" t="str">
        <f>"1800"</f>
        <v>1800</v>
      </c>
      <c r="D241" s="14" t="str">
        <f>""</f>
        <v/>
      </c>
      <c r="E241" s="14" t="s">
        <v>20</v>
      </c>
      <c r="F241" s="14" t="s">
        <v>355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318</v>
      </c>
      <c r="L241" s="14" t="s">
        <v>319</v>
      </c>
      <c r="P241" s="14" t="s">
        <v>260</v>
      </c>
      <c r="Q241" s="14" t="s">
        <v>25</v>
      </c>
      <c r="R241" s="14" t="s">
        <v>318</v>
      </c>
    </row>
    <row r="242" spans="1:18" s="14" customFormat="1" x14ac:dyDescent="0.25">
      <c r="A242" s="14" t="str">
        <f>"10001"</f>
        <v>10001</v>
      </c>
      <c r="B242" s="14" t="str">
        <f>"03970"</f>
        <v>03970</v>
      </c>
      <c r="C242" s="14" t="str">
        <f>"1800"</f>
        <v>1800</v>
      </c>
      <c r="D242" s="14" t="str">
        <f>""</f>
        <v/>
      </c>
      <c r="E242" s="14" t="s">
        <v>20</v>
      </c>
      <c r="F242" s="14" t="s">
        <v>356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318</v>
      </c>
      <c r="L242" s="14" t="s">
        <v>319</v>
      </c>
      <c r="P242" s="14" t="s">
        <v>260</v>
      </c>
      <c r="Q242" s="14" t="s">
        <v>25</v>
      </c>
      <c r="R242" s="14" t="s">
        <v>318</v>
      </c>
    </row>
    <row r="243" spans="1:18" s="14" customFormat="1" x14ac:dyDescent="0.25">
      <c r="A243" s="14" t="str">
        <f>"10001"</f>
        <v>10001</v>
      </c>
      <c r="B243" s="14" t="str">
        <f>"03971"</f>
        <v>03971</v>
      </c>
      <c r="C243" s="14" t="str">
        <f>"1800"</f>
        <v>1800</v>
      </c>
      <c r="D243" s="14" t="str">
        <f>""</f>
        <v/>
      </c>
      <c r="E243" s="14" t="s">
        <v>20</v>
      </c>
      <c r="F243" s="14" t="s">
        <v>357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318</v>
      </c>
      <c r="L243" s="14" t="s">
        <v>319</v>
      </c>
      <c r="P243" s="14" t="s">
        <v>260</v>
      </c>
      <c r="Q243" s="14" t="s">
        <v>25</v>
      </c>
      <c r="R243" s="14" t="s">
        <v>318</v>
      </c>
    </row>
    <row r="244" spans="1:18" s="14" customFormat="1" x14ac:dyDescent="0.25">
      <c r="A244" s="14" t="str">
        <f>"10001"</f>
        <v>10001</v>
      </c>
      <c r="B244" s="14" t="str">
        <f>"03972"</f>
        <v>03972</v>
      </c>
      <c r="C244" s="14" t="str">
        <f>"1800"</f>
        <v>1800</v>
      </c>
      <c r="D244" s="14" t="str">
        <f>""</f>
        <v/>
      </c>
      <c r="E244" s="14" t="s">
        <v>20</v>
      </c>
      <c r="F244" s="14" t="s">
        <v>358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318</v>
      </c>
      <c r="L244" s="14" t="s">
        <v>319</v>
      </c>
      <c r="P244" s="14" t="s">
        <v>260</v>
      </c>
      <c r="Q244" s="14" t="s">
        <v>25</v>
      </c>
      <c r="R244" s="14" t="s">
        <v>318</v>
      </c>
    </row>
    <row r="245" spans="1:18" s="14" customFormat="1" x14ac:dyDescent="0.25">
      <c r="A245" s="14" t="str">
        <f>"10001"</f>
        <v>10001</v>
      </c>
      <c r="B245" s="14" t="str">
        <f>"04000"</f>
        <v>04000</v>
      </c>
      <c r="C245" s="14" t="str">
        <f>"1400"</f>
        <v>1400</v>
      </c>
      <c r="D245" s="14" t="str">
        <f>"04000"</f>
        <v>04000</v>
      </c>
      <c r="E245" s="14" t="s">
        <v>20</v>
      </c>
      <c r="F245" s="14" t="s">
        <v>359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360</v>
      </c>
      <c r="L245" s="14" t="s">
        <v>34</v>
      </c>
      <c r="P245" s="14" t="s">
        <v>31</v>
      </c>
      <c r="Q245" s="14" t="s">
        <v>25</v>
      </c>
      <c r="R245" s="14" t="s">
        <v>35</v>
      </c>
    </row>
    <row r="246" spans="1:18" s="14" customFormat="1" x14ac:dyDescent="0.25">
      <c r="A246" s="14" t="str">
        <f>"10001"</f>
        <v>10001</v>
      </c>
      <c r="B246" s="14" t="str">
        <f>"04010"</f>
        <v>04010</v>
      </c>
      <c r="C246" s="14" t="str">
        <f>"1400"</f>
        <v>1400</v>
      </c>
      <c r="D246" s="14" t="str">
        <f>"04010"</f>
        <v>04010</v>
      </c>
      <c r="E246" s="14" t="s">
        <v>20</v>
      </c>
      <c r="F246" s="14" t="s">
        <v>361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30</v>
      </c>
      <c r="L246" s="14" t="s">
        <v>42</v>
      </c>
      <c r="P246" s="14" t="s">
        <v>24</v>
      </c>
      <c r="Q246" s="14" t="s">
        <v>25</v>
      </c>
      <c r="R246" s="14" t="s">
        <v>43</v>
      </c>
    </row>
    <row r="247" spans="1:18" s="14" customFormat="1" x14ac:dyDescent="0.25">
      <c r="A247" s="14" t="str">
        <f>"10001"</f>
        <v>10001</v>
      </c>
      <c r="B247" s="14" t="str">
        <f>"04015"</f>
        <v>04015</v>
      </c>
      <c r="C247" s="14" t="str">
        <f>"1400"</f>
        <v>1400</v>
      </c>
      <c r="D247" s="14" t="str">
        <f>"04015"</f>
        <v>04015</v>
      </c>
      <c r="E247" s="14" t="s">
        <v>20</v>
      </c>
      <c r="F247" s="14" t="s">
        <v>362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363</v>
      </c>
      <c r="L247" s="14" t="s">
        <v>360</v>
      </c>
      <c r="P247" s="14" t="s">
        <v>31</v>
      </c>
      <c r="Q247" s="14" t="s">
        <v>25</v>
      </c>
      <c r="R247" s="14" t="s">
        <v>35</v>
      </c>
    </row>
    <row r="248" spans="1:18" s="14" customFormat="1" x14ac:dyDescent="0.25">
      <c r="A248" s="14" t="str">
        <f>"10001"</f>
        <v>10001</v>
      </c>
      <c r="B248" s="14" t="str">
        <f>"04020"</f>
        <v>04020</v>
      </c>
      <c r="C248" s="14" t="str">
        <f>"1400"</f>
        <v>1400</v>
      </c>
      <c r="D248" s="14" t="str">
        <f>"04020"</f>
        <v>04020</v>
      </c>
      <c r="E248" s="14" t="s">
        <v>20</v>
      </c>
      <c r="F248" s="14" t="s">
        <v>364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30</v>
      </c>
      <c r="L248" s="14" t="s">
        <v>42</v>
      </c>
      <c r="P248" s="14" t="s">
        <v>24</v>
      </c>
      <c r="Q248" s="14" t="s">
        <v>25</v>
      </c>
      <c r="R248" s="14" t="s">
        <v>43</v>
      </c>
    </row>
    <row r="249" spans="1:18" s="14" customFormat="1" x14ac:dyDescent="0.25">
      <c r="A249" s="14" t="str">
        <f>"10001"</f>
        <v>10001</v>
      </c>
      <c r="B249" s="14" t="str">
        <f>"04030"</f>
        <v>04030</v>
      </c>
      <c r="C249" s="14" t="str">
        <f>"1400"</f>
        <v>1400</v>
      </c>
      <c r="D249" s="14" t="str">
        <f>"04030"</f>
        <v>04030</v>
      </c>
      <c r="E249" s="14" t="s">
        <v>20</v>
      </c>
      <c r="F249" s="14" t="s">
        <v>365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30</v>
      </c>
      <c r="L249" s="14" t="s">
        <v>42</v>
      </c>
      <c r="P249" s="14" t="s">
        <v>24</v>
      </c>
      <c r="Q249" s="14" t="s">
        <v>25</v>
      </c>
      <c r="R249" s="14" t="s">
        <v>43</v>
      </c>
    </row>
    <row r="250" spans="1:18" s="14" customFormat="1" x14ac:dyDescent="0.25">
      <c r="A250" s="14" t="str">
        <f>"10001"</f>
        <v>10001</v>
      </c>
      <c r="B250" s="14" t="str">
        <f>"05000"</f>
        <v>05000</v>
      </c>
      <c r="C250" s="14" t="str">
        <f>"1700"</f>
        <v>1700</v>
      </c>
      <c r="D250" s="14" t="str">
        <f>"05000"</f>
        <v>05000</v>
      </c>
      <c r="E250" s="14" t="s">
        <v>20</v>
      </c>
      <c r="F250" s="14" t="s">
        <v>366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47</v>
      </c>
      <c r="L250" s="14" t="s">
        <v>37</v>
      </c>
      <c r="P250" s="14" t="s">
        <v>31</v>
      </c>
      <c r="Q250" s="14" t="s">
        <v>25</v>
      </c>
      <c r="R250" s="14" t="s">
        <v>367</v>
      </c>
    </row>
    <row r="251" spans="1:18" s="14" customFormat="1" x14ac:dyDescent="0.25">
      <c r="A251" s="14" t="str">
        <f>"10001"</f>
        <v>10001</v>
      </c>
      <c r="B251" s="14" t="str">
        <f>"05001"</f>
        <v>05001</v>
      </c>
      <c r="C251" s="14" t="str">
        <f>"1700"</f>
        <v>1700</v>
      </c>
      <c r="D251" s="14" t="str">
        <f>"05001"</f>
        <v>05001</v>
      </c>
      <c r="E251" s="14" t="s">
        <v>20</v>
      </c>
      <c r="F251" s="14" t="s">
        <v>368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47</v>
      </c>
      <c r="L251" s="14" t="s">
        <v>37</v>
      </c>
      <c r="P251" s="14" t="s">
        <v>31</v>
      </c>
      <c r="Q251" s="14" t="s">
        <v>25</v>
      </c>
      <c r="R251" s="14" t="s">
        <v>367</v>
      </c>
    </row>
    <row r="252" spans="1:18" s="14" customFormat="1" x14ac:dyDescent="0.25">
      <c r="A252" s="14" t="str">
        <f>"10001"</f>
        <v>10001</v>
      </c>
      <c r="B252" s="14" t="str">
        <f>"05005"</f>
        <v>05005</v>
      </c>
      <c r="C252" s="14" t="str">
        <f>"1700"</f>
        <v>1700</v>
      </c>
      <c r="D252" s="14" t="str">
        <f>"05005"</f>
        <v>05005</v>
      </c>
      <c r="E252" s="14" t="s">
        <v>20</v>
      </c>
      <c r="F252" s="14" t="s">
        <v>369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370</v>
      </c>
      <c r="L252" s="14" t="s">
        <v>47</v>
      </c>
      <c r="P252" s="14" t="s">
        <v>31</v>
      </c>
      <c r="Q252" s="14" t="s">
        <v>25</v>
      </c>
      <c r="R252" s="14" t="s">
        <v>370</v>
      </c>
    </row>
    <row r="253" spans="1:18" s="14" customFormat="1" x14ac:dyDescent="0.25">
      <c r="A253" s="14" t="str">
        <f>"10001"</f>
        <v>10001</v>
      </c>
      <c r="B253" s="14" t="str">
        <f>"05010"</f>
        <v>05010</v>
      </c>
      <c r="C253" s="14" t="str">
        <f>"1700"</f>
        <v>1700</v>
      </c>
      <c r="D253" s="14" t="str">
        <f>"05010"</f>
        <v>05010</v>
      </c>
      <c r="E253" s="14" t="s">
        <v>20</v>
      </c>
      <c r="F253" s="14" t="s">
        <v>371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372</v>
      </c>
      <c r="L253" s="14" t="s">
        <v>373</v>
      </c>
      <c r="P253" s="14" t="s">
        <v>31</v>
      </c>
      <c r="Q253" s="14" t="s">
        <v>25</v>
      </c>
      <c r="R253" s="14" t="s">
        <v>372</v>
      </c>
    </row>
    <row r="254" spans="1:18" s="14" customFormat="1" x14ac:dyDescent="0.25">
      <c r="A254" s="14" t="str">
        <f>"10001"</f>
        <v>10001</v>
      </c>
      <c r="B254" s="14" t="str">
        <f>"05020"</f>
        <v>05020</v>
      </c>
      <c r="C254" s="14" t="str">
        <f>"1700"</f>
        <v>1700</v>
      </c>
      <c r="D254" s="14" t="str">
        <f>"05020"</f>
        <v>05020</v>
      </c>
      <c r="E254" s="14" t="s">
        <v>20</v>
      </c>
      <c r="F254" s="14" t="s">
        <v>374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375</v>
      </c>
      <c r="L254" s="14" t="s">
        <v>376</v>
      </c>
      <c r="M254" s="14" t="s">
        <v>377</v>
      </c>
      <c r="N254" s="14" t="s">
        <v>47</v>
      </c>
      <c r="P254" s="14" t="s">
        <v>31</v>
      </c>
      <c r="Q254" s="14" t="s">
        <v>25</v>
      </c>
      <c r="R254" s="14" t="s">
        <v>377</v>
      </c>
    </row>
    <row r="255" spans="1:18" s="14" customFormat="1" x14ac:dyDescent="0.25">
      <c r="A255" s="14" t="str">
        <f>"10001"</f>
        <v>10001</v>
      </c>
      <c r="B255" s="14" t="str">
        <f>"05030"</f>
        <v>05030</v>
      </c>
      <c r="C255" s="14" t="str">
        <f>"1700"</f>
        <v>1700</v>
      </c>
      <c r="D255" s="14" t="str">
        <f>"05030"</f>
        <v>05030</v>
      </c>
      <c r="E255" s="14" t="s">
        <v>20</v>
      </c>
      <c r="F255" s="14" t="s">
        <v>378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377</v>
      </c>
      <c r="L255" s="14" t="s">
        <v>47</v>
      </c>
      <c r="M255" s="14" t="s">
        <v>370</v>
      </c>
      <c r="P255" s="14" t="s">
        <v>31</v>
      </c>
      <c r="Q255" s="14" t="s">
        <v>25</v>
      </c>
      <c r="R255" s="14" t="s">
        <v>379</v>
      </c>
    </row>
    <row r="256" spans="1:18" s="14" customFormat="1" x14ac:dyDescent="0.25">
      <c r="A256" s="14" t="str">
        <f>"10001"</f>
        <v>10001</v>
      </c>
      <c r="B256" s="14" t="str">
        <f>"05060"</f>
        <v>05060</v>
      </c>
      <c r="C256" s="14" t="str">
        <f>"1700"</f>
        <v>1700</v>
      </c>
      <c r="D256" s="14" t="str">
        <f>"05060A"</f>
        <v>05060A</v>
      </c>
      <c r="E256" s="14" t="s">
        <v>20</v>
      </c>
      <c r="F256" s="14" t="s">
        <v>380</v>
      </c>
      <c r="G256" s="14" t="str">
        <f>""</f>
        <v/>
      </c>
      <c r="H256" s="14" t="str">
        <f>" 10"</f>
        <v xml:space="preserve"> 10</v>
      </c>
      <c r="I256" s="14">
        <v>0.01</v>
      </c>
      <c r="J256" s="14">
        <v>500</v>
      </c>
      <c r="K256" s="14" t="s">
        <v>381</v>
      </c>
      <c r="L256" s="14" t="s">
        <v>382</v>
      </c>
      <c r="P256" s="14" t="s">
        <v>31</v>
      </c>
      <c r="Q256" s="14" t="s">
        <v>25</v>
      </c>
      <c r="R256" s="14" t="s">
        <v>383</v>
      </c>
    </row>
    <row r="257" spans="1:18" s="14" customFormat="1" x14ac:dyDescent="0.25">
      <c r="A257" s="14" t="str">
        <f>"10001"</f>
        <v>10001</v>
      </c>
      <c r="B257" s="14" t="str">
        <f>"05060"</f>
        <v>05060</v>
      </c>
      <c r="C257" s="14" t="str">
        <f>"1700"</f>
        <v>1700</v>
      </c>
      <c r="D257" s="14" t="str">
        <f>"05060A"</f>
        <v>05060A</v>
      </c>
      <c r="E257" s="14" t="s">
        <v>20</v>
      </c>
      <c r="F257" s="14" t="s">
        <v>380</v>
      </c>
      <c r="G257" s="14" t="str">
        <f>""</f>
        <v/>
      </c>
      <c r="H257" s="14" t="str">
        <f>" 20"</f>
        <v xml:space="preserve"> 20</v>
      </c>
      <c r="I257" s="14">
        <v>500.01</v>
      </c>
      <c r="J257" s="14">
        <v>9999999.9900000002</v>
      </c>
      <c r="K257" s="14" t="s">
        <v>381</v>
      </c>
      <c r="L257" s="14" t="s">
        <v>47</v>
      </c>
      <c r="M257" s="14" t="s">
        <v>382</v>
      </c>
      <c r="P257" s="14" t="s">
        <v>31</v>
      </c>
      <c r="Q257" s="14" t="s">
        <v>25</v>
      </c>
      <c r="R257" s="14" t="s">
        <v>383</v>
      </c>
    </row>
    <row r="258" spans="1:18" s="14" customFormat="1" x14ac:dyDescent="0.25">
      <c r="A258" s="14" t="str">
        <f>"10001"</f>
        <v>10001</v>
      </c>
      <c r="B258" s="14" t="str">
        <f>"05070"</f>
        <v>05070</v>
      </c>
      <c r="C258" s="14" t="str">
        <f>"1700"</f>
        <v>1700</v>
      </c>
      <c r="D258" s="14" t="str">
        <f>"05070"</f>
        <v>05070</v>
      </c>
      <c r="E258" s="14" t="s">
        <v>20</v>
      </c>
      <c r="F258" s="14" t="s">
        <v>384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381</v>
      </c>
      <c r="L258" s="14" t="s">
        <v>382</v>
      </c>
      <c r="P258" s="14" t="s">
        <v>31</v>
      </c>
      <c r="Q258" s="14" t="s">
        <v>25</v>
      </c>
      <c r="R258" s="14" t="s">
        <v>383</v>
      </c>
    </row>
    <row r="259" spans="1:18" s="14" customFormat="1" x14ac:dyDescent="0.25">
      <c r="A259" s="14" t="str">
        <f>"10001"</f>
        <v>10001</v>
      </c>
      <c r="B259" s="14" t="str">
        <f>"05080"</f>
        <v>05080</v>
      </c>
      <c r="C259" s="14" t="str">
        <f>"1700"</f>
        <v>1700</v>
      </c>
      <c r="D259" s="14" t="str">
        <f>"05080"</f>
        <v>05080</v>
      </c>
      <c r="E259" s="14" t="s">
        <v>20</v>
      </c>
      <c r="F259" s="14" t="s">
        <v>385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386</v>
      </c>
      <c r="L259" s="14" t="s">
        <v>47</v>
      </c>
      <c r="M259" s="14" t="s">
        <v>387</v>
      </c>
      <c r="P259" s="14" t="s">
        <v>31</v>
      </c>
      <c r="Q259" s="14" t="s">
        <v>25</v>
      </c>
      <c r="R259" s="14" t="s">
        <v>388</v>
      </c>
    </row>
    <row r="260" spans="1:18" s="14" customFormat="1" x14ac:dyDescent="0.25">
      <c r="A260" s="14" t="str">
        <f>"10001"</f>
        <v>10001</v>
      </c>
      <c r="B260" s="14" t="str">
        <f>"05090"</f>
        <v>05090</v>
      </c>
      <c r="C260" s="14" t="str">
        <f>"1700"</f>
        <v>1700</v>
      </c>
      <c r="D260" s="14" t="str">
        <f>"05090"</f>
        <v>05090</v>
      </c>
      <c r="E260" s="14" t="s">
        <v>20</v>
      </c>
      <c r="F260" s="14" t="s">
        <v>389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390</v>
      </c>
      <c r="L260" s="14" t="s">
        <v>47</v>
      </c>
      <c r="P260" s="14" t="s">
        <v>31</v>
      </c>
      <c r="Q260" s="14" t="s">
        <v>25</v>
      </c>
      <c r="R260" s="14" t="s">
        <v>390</v>
      </c>
    </row>
    <row r="261" spans="1:18" s="14" customFormat="1" x14ac:dyDescent="0.25">
      <c r="A261" s="14" t="str">
        <f>"10001"</f>
        <v>10001</v>
      </c>
      <c r="B261" s="14" t="str">
        <f>"05110"</f>
        <v>05110</v>
      </c>
      <c r="C261" s="14" t="str">
        <f>"1700"</f>
        <v>1700</v>
      </c>
      <c r="D261" s="14" t="str">
        <f>"05110"</f>
        <v>05110</v>
      </c>
      <c r="E261" s="14" t="s">
        <v>20</v>
      </c>
      <c r="F261" s="14" t="s">
        <v>391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47</v>
      </c>
      <c r="L261" s="14" t="s">
        <v>392</v>
      </c>
      <c r="P261" s="14" t="s">
        <v>31</v>
      </c>
      <c r="Q261" s="14" t="s">
        <v>25</v>
      </c>
      <c r="R261" s="14" t="s">
        <v>392</v>
      </c>
    </row>
    <row r="262" spans="1:18" s="14" customFormat="1" x14ac:dyDescent="0.25">
      <c r="A262" s="14" t="str">
        <f>"10001"</f>
        <v>10001</v>
      </c>
      <c r="B262" s="14" t="str">
        <f>"05115"</f>
        <v>05115</v>
      </c>
      <c r="C262" s="14" t="str">
        <f>"1700"</f>
        <v>1700</v>
      </c>
      <c r="D262" s="14" t="str">
        <f>"05115"</f>
        <v>05115</v>
      </c>
      <c r="E262" s="14" t="s">
        <v>20</v>
      </c>
      <c r="F262" s="14" t="s">
        <v>393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394</v>
      </c>
      <c r="L262" s="14" t="s">
        <v>395</v>
      </c>
      <c r="M262" s="14" t="s">
        <v>396</v>
      </c>
      <c r="N262" s="14" t="s">
        <v>90</v>
      </c>
      <c r="P262" s="14" t="s">
        <v>31</v>
      </c>
      <c r="Q262" s="14" t="s">
        <v>25</v>
      </c>
      <c r="R262" s="14" t="s">
        <v>394</v>
      </c>
    </row>
    <row r="263" spans="1:18" s="14" customFormat="1" x14ac:dyDescent="0.25">
      <c r="A263" s="14" t="str">
        <f>"10001"</f>
        <v>10001</v>
      </c>
      <c r="B263" s="14" t="str">
        <f>"05120"</f>
        <v>05120</v>
      </c>
      <c r="C263" s="14" t="str">
        <f>"1700"</f>
        <v>1700</v>
      </c>
      <c r="D263" s="14" t="str">
        <f>"05120"</f>
        <v>05120</v>
      </c>
      <c r="E263" s="14" t="s">
        <v>20</v>
      </c>
      <c r="F263" s="14" t="s">
        <v>397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395</v>
      </c>
      <c r="L263" s="14" t="s">
        <v>398</v>
      </c>
      <c r="M263" s="14" t="s">
        <v>90</v>
      </c>
      <c r="P263" s="14" t="s">
        <v>31</v>
      </c>
      <c r="Q263" s="14" t="s">
        <v>25</v>
      </c>
      <c r="R263" s="14" t="s">
        <v>399</v>
      </c>
    </row>
    <row r="264" spans="1:18" s="14" customFormat="1" x14ac:dyDescent="0.25">
      <c r="A264" s="14" t="str">
        <f>"10001"</f>
        <v>10001</v>
      </c>
      <c r="B264" s="14" t="str">
        <f>"05140"</f>
        <v>05140</v>
      </c>
      <c r="C264" s="14" t="str">
        <f>"1700"</f>
        <v>1700</v>
      </c>
      <c r="D264" s="14" t="str">
        <f>"05140"</f>
        <v>05140</v>
      </c>
      <c r="E264" s="14" t="s">
        <v>20</v>
      </c>
      <c r="F264" s="14" t="s">
        <v>400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37</v>
      </c>
      <c r="L264" s="14" t="s">
        <v>34</v>
      </c>
      <c r="P264" s="14" t="s">
        <v>39</v>
      </c>
      <c r="Q264" s="14" t="s">
        <v>25</v>
      </c>
      <c r="R264" s="14" t="s">
        <v>401</v>
      </c>
    </row>
    <row r="265" spans="1:18" s="14" customFormat="1" x14ac:dyDescent="0.25">
      <c r="A265" s="14" t="str">
        <f>"10001"</f>
        <v>10001</v>
      </c>
      <c r="B265" s="14" t="str">
        <f>"05150"</f>
        <v>05150</v>
      </c>
      <c r="C265" s="14" t="str">
        <f>"1700"</f>
        <v>1700</v>
      </c>
      <c r="D265" s="14" t="str">
        <f>"05150"</f>
        <v>05150</v>
      </c>
      <c r="E265" s="14" t="s">
        <v>20</v>
      </c>
      <c r="F265" s="14" t="s">
        <v>402</v>
      </c>
      <c r="G265" s="14" t="str">
        <f>""</f>
        <v/>
      </c>
      <c r="H265" s="14" t="str">
        <f>" 10"</f>
        <v xml:space="preserve"> 10</v>
      </c>
      <c r="I265" s="14">
        <v>0.01</v>
      </c>
      <c r="J265" s="14">
        <v>500</v>
      </c>
      <c r="K265" s="14" t="s">
        <v>403</v>
      </c>
      <c r="L265" s="14" t="s">
        <v>404</v>
      </c>
      <c r="P265" s="14" t="s">
        <v>39</v>
      </c>
      <c r="Q265" s="14" t="s">
        <v>25</v>
      </c>
      <c r="R265" s="14" t="s">
        <v>403</v>
      </c>
    </row>
    <row r="266" spans="1:18" s="14" customFormat="1" x14ac:dyDescent="0.25">
      <c r="A266" s="14" t="str">
        <f>"10001"</f>
        <v>10001</v>
      </c>
      <c r="B266" s="14" t="str">
        <f>"05150"</f>
        <v>05150</v>
      </c>
      <c r="C266" s="14" t="str">
        <f>"1700"</f>
        <v>1700</v>
      </c>
      <c r="D266" s="14" t="str">
        <f>"05150"</f>
        <v>05150</v>
      </c>
      <c r="E266" s="14" t="s">
        <v>20</v>
      </c>
      <c r="F266" s="14" t="s">
        <v>402</v>
      </c>
      <c r="G266" s="14" t="str">
        <f>""</f>
        <v/>
      </c>
      <c r="H266" s="14" t="str">
        <f>" 20"</f>
        <v xml:space="preserve"> 20</v>
      </c>
      <c r="I266" s="14">
        <v>500.01</v>
      </c>
      <c r="J266" s="14">
        <v>9999999.9900000002</v>
      </c>
      <c r="K266" s="14" t="s">
        <v>404</v>
      </c>
      <c r="L266" s="14" t="s">
        <v>405</v>
      </c>
      <c r="P266" s="14" t="s">
        <v>39</v>
      </c>
      <c r="Q266" s="14" t="s">
        <v>25</v>
      </c>
      <c r="R266" s="14" t="s">
        <v>403</v>
      </c>
    </row>
    <row r="267" spans="1:18" s="14" customFormat="1" x14ac:dyDescent="0.25">
      <c r="A267" s="14" t="str">
        <f>"10001"</f>
        <v>10001</v>
      </c>
      <c r="B267" s="14" t="str">
        <f>"05160"</f>
        <v>05160</v>
      </c>
      <c r="C267" s="14" t="str">
        <f>"1700"</f>
        <v>1700</v>
      </c>
      <c r="D267" s="14" t="str">
        <f>"05160"</f>
        <v>05160</v>
      </c>
      <c r="E267" s="14" t="s">
        <v>20</v>
      </c>
      <c r="F267" s="14" t="s">
        <v>406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318</v>
      </c>
      <c r="L267" s="14" t="s">
        <v>319</v>
      </c>
      <c r="M267" s="14" t="s">
        <v>90</v>
      </c>
      <c r="P267" s="14" t="s">
        <v>31</v>
      </c>
      <c r="Q267" s="14" t="s">
        <v>25</v>
      </c>
      <c r="R267" s="14" t="s">
        <v>318</v>
      </c>
    </row>
    <row r="268" spans="1:18" s="14" customFormat="1" x14ac:dyDescent="0.25">
      <c r="A268" s="14" t="str">
        <f>"10001"</f>
        <v>10001</v>
      </c>
      <c r="B268" s="14" t="str">
        <f>"05500"</f>
        <v>05500</v>
      </c>
      <c r="C268" s="14" t="str">
        <f>"1700"</f>
        <v>1700</v>
      </c>
      <c r="D268" s="14" t="str">
        <f>"05500"</f>
        <v>05500</v>
      </c>
      <c r="E268" s="14" t="s">
        <v>20</v>
      </c>
      <c r="F268" s="14" t="s">
        <v>407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90</v>
      </c>
      <c r="P268" s="14" t="s">
        <v>31</v>
      </c>
      <c r="Q268" s="14" t="s">
        <v>25</v>
      </c>
      <c r="R268" s="14" t="s">
        <v>408</v>
      </c>
    </row>
    <row r="269" spans="1:18" s="14" customFormat="1" x14ac:dyDescent="0.25">
      <c r="A269" s="14" t="str">
        <f>"10001"</f>
        <v>10001</v>
      </c>
      <c r="B269" s="14" t="str">
        <f>"06000"</f>
        <v>06000</v>
      </c>
      <c r="C269" s="14" t="str">
        <f>"1700"</f>
        <v>1700</v>
      </c>
      <c r="D269" s="14" t="str">
        <f>"06000A"</f>
        <v>06000A</v>
      </c>
      <c r="E269" s="14" t="s">
        <v>20</v>
      </c>
      <c r="F269" s="14" t="s">
        <v>409</v>
      </c>
      <c r="G269" s="14" t="str">
        <f>""</f>
        <v/>
      </c>
      <c r="H269" s="14" t="str">
        <f>" 10"</f>
        <v xml:space="preserve"> 10</v>
      </c>
      <c r="I269" s="14">
        <v>0.01</v>
      </c>
      <c r="J269" s="14">
        <v>500</v>
      </c>
      <c r="K269" s="14" t="s">
        <v>410</v>
      </c>
      <c r="L269" s="14" t="s">
        <v>411</v>
      </c>
      <c r="M269" s="14" t="s">
        <v>412</v>
      </c>
      <c r="N269" s="14" t="s">
        <v>413</v>
      </c>
      <c r="P269" s="14" t="s">
        <v>39</v>
      </c>
      <c r="Q269" s="14" t="s">
        <v>25</v>
      </c>
      <c r="R269" s="14" t="s">
        <v>410</v>
      </c>
    </row>
    <row r="270" spans="1:18" s="14" customFormat="1" x14ac:dyDescent="0.25">
      <c r="A270" s="14" t="str">
        <f>"10001"</f>
        <v>10001</v>
      </c>
      <c r="B270" s="14" t="str">
        <f>"06000"</f>
        <v>06000</v>
      </c>
      <c r="C270" s="14" t="str">
        <f>"1700"</f>
        <v>1700</v>
      </c>
      <c r="D270" s="14" t="str">
        <f>"06000A"</f>
        <v>06000A</v>
      </c>
      <c r="E270" s="14" t="s">
        <v>20</v>
      </c>
      <c r="F270" s="14" t="s">
        <v>409</v>
      </c>
      <c r="G270" s="14" t="str">
        <f>""</f>
        <v/>
      </c>
      <c r="H270" s="14" t="str">
        <f>" 20"</f>
        <v xml:space="preserve"> 20</v>
      </c>
      <c r="I270" s="14">
        <v>500.01</v>
      </c>
      <c r="J270" s="14">
        <v>9999999.9900000002</v>
      </c>
      <c r="K270" s="14" t="s">
        <v>414</v>
      </c>
      <c r="L270" s="14" t="s">
        <v>411</v>
      </c>
      <c r="M270" s="14" t="s">
        <v>412</v>
      </c>
      <c r="P270" s="14" t="s">
        <v>39</v>
      </c>
      <c r="Q270" s="14" t="s">
        <v>25</v>
      </c>
      <c r="R270" s="14" t="s">
        <v>410</v>
      </c>
    </row>
    <row r="271" spans="1:18" s="14" customFormat="1" x14ac:dyDescent="0.25">
      <c r="A271" s="14" t="str">
        <f>"10001"</f>
        <v>10001</v>
      </c>
      <c r="B271" s="14" t="str">
        <f>"06005"</f>
        <v>06005</v>
      </c>
      <c r="C271" s="14" t="str">
        <f>"1700"</f>
        <v>1700</v>
      </c>
      <c r="D271" s="14" t="str">
        <f>"06005"</f>
        <v>06005</v>
      </c>
      <c r="E271" s="14" t="s">
        <v>20</v>
      </c>
      <c r="F271" s="14" t="s">
        <v>415</v>
      </c>
      <c r="G271" s="14" t="str">
        <f>""</f>
        <v/>
      </c>
      <c r="H271" s="14" t="str">
        <f>" 10"</f>
        <v xml:space="preserve"> 10</v>
      </c>
      <c r="I271" s="14">
        <v>0.01</v>
      </c>
      <c r="J271" s="14">
        <v>500</v>
      </c>
      <c r="K271" s="14" t="s">
        <v>410</v>
      </c>
      <c r="L271" s="14" t="s">
        <v>411</v>
      </c>
      <c r="M271" s="14" t="s">
        <v>412</v>
      </c>
      <c r="N271" s="14" t="s">
        <v>413</v>
      </c>
      <c r="P271" s="14" t="s">
        <v>39</v>
      </c>
      <c r="Q271" s="14" t="s">
        <v>25</v>
      </c>
      <c r="R271" s="14" t="s">
        <v>410</v>
      </c>
    </row>
    <row r="272" spans="1:18" s="14" customFormat="1" x14ac:dyDescent="0.25">
      <c r="A272" s="14" t="str">
        <f>"10001"</f>
        <v>10001</v>
      </c>
      <c r="B272" s="14" t="str">
        <f>"06005"</f>
        <v>06005</v>
      </c>
      <c r="C272" s="14" t="str">
        <f>"1700"</f>
        <v>1700</v>
      </c>
      <c r="D272" s="14" t="str">
        <f>"06005"</f>
        <v>06005</v>
      </c>
      <c r="E272" s="14" t="s">
        <v>20</v>
      </c>
      <c r="F272" s="14" t="s">
        <v>415</v>
      </c>
      <c r="G272" s="14" t="str">
        <f>""</f>
        <v/>
      </c>
      <c r="H272" s="14" t="str">
        <f>" 20"</f>
        <v xml:space="preserve"> 20</v>
      </c>
      <c r="I272" s="14">
        <v>500.01</v>
      </c>
      <c r="J272" s="14">
        <v>9999999.9900000002</v>
      </c>
      <c r="K272" s="14" t="s">
        <v>414</v>
      </c>
      <c r="L272" s="14" t="s">
        <v>411</v>
      </c>
      <c r="M272" s="14" t="s">
        <v>412</v>
      </c>
      <c r="P272" s="14" t="s">
        <v>39</v>
      </c>
      <c r="Q272" s="14" t="s">
        <v>25</v>
      </c>
      <c r="R272" s="14" t="s">
        <v>410</v>
      </c>
    </row>
    <row r="273" spans="1:18" s="14" customFormat="1" x14ac:dyDescent="0.25">
      <c r="A273" s="14" t="str">
        <f>"10001"</f>
        <v>10001</v>
      </c>
      <c r="B273" s="14" t="str">
        <f>"06010"</f>
        <v>06010</v>
      </c>
      <c r="C273" s="14" t="str">
        <f>"1700"</f>
        <v>1700</v>
      </c>
      <c r="D273" s="14" t="str">
        <f>"06010C"</f>
        <v>06010C</v>
      </c>
      <c r="E273" s="14" t="s">
        <v>20</v>
      </c>
      <c r="F273" s="14" t="s">
        <v>416</v>
      </c>
      <c r="G273" s="14" t="str">
        <f>""</f>
        <v/>
      </c>
      <c r="H273" s="14" t="str">
        <f>" 10"</f>
        <v xml:space="preserve"> 10</v>
      </c>
      <c r="I273" s="14">
        <v>0.01</v>
      </c>
      <c r="J273" s="14">
        <v>500</v>
      </c>
      <c r="K273" s="14" t="s">
        <v>410</v>
      </c>
      <c r="L273" s="14" t="s">
        <v>411</v>
      </c>
      <c r="M273" s="14" t="s">
        <v>412</v>
      </c>
      <c r="N273" s="14" t="s">
        <v>413</v>
      </c>
      <c r="P273" s="14" t="s">
        <v>39</v>
      </c>
      <c r="Q273" s="14" t="s">
        <v>25</v>
      </c>
      <c r="R273" s="14" t="s">
        <v>410</v>
      </c>
    </row>
    <row r="274" spans="1:18" s="14" customFormat="1" x14ac:dyDescent="0.25">
      <c r="A274" s="14" t="str">
        <f>"10001"</f>
        <v>10001</v>
      </c>
      <c r="B274" s="14" t="str">
        <f>"06010"</f>
        <v>06010</v>
      </c>
      <c r="C274" s="14" t="str">
        <f>"1700"</f>
        <v>1700</v>
      </c>
      <c r="D274" s="14" t="str">
        <f>"06010C"</f>
        <v>06010C</v>
      </c>
      <c r="E274" s="14" t="s">
        <v>20</v>
      </c>
      <c r="F274" s="14" t="s">
        <v>416</v>
      </c>
      <c r="G274" s="14" t="str">
        <f>""</f>
        <v/>
      </c>
      <c r="H274" s="14" t="str">
        <f>" 20"</f>
        <v xml:space="preserve"> 20</v>
      </c>
      <c r="I274" s="14">
        <v>500.01</v>
      </c>
      <c r="J274" s="14">
        <v>9999999.9900000002</v>
      </c>
      <c r="K274" s="14" t="s">
        <v>414</v>
      </c>
      <c r="L274" s="14" t="s">
        <v>411</v>
      </c>
      <c r="M274" s="14" t="s">
        <v>412</v>
      </c>
      <c r="P274" s="14" t="s">
        <v>39</v>
      </c>
      <c r="Q274" s="14" t="s">
        <v>25</v>
      </c>
      <c r="R274" s="14" t="s">
        <v>410</v>
      </c>
    </row>
    <row r="275" spans="1:18" s="14" customFormat="1" x14ac:dyDescent="0.25">
      <c r="A275" s="14" t="str">
        <f>"10001"</f>
        <v>10001</v>
      </c>
      <c r="B275" s="14" t="str">
        <f>"06020"</f>
        <v>06020</v>
      </c>
      <c r="C275" s="14" t="str">
        <f>"1700"</f>
        <v>1700</v>
      </c>
      <c r="D275" s="14" t="str">
        <f>"06020"</f>
        <v>06020</v>
      </c>
      <c r="E275" s="14" t="s">
        <v>20</v>
      </c>
      <c r="F275" s="14" t="s">
        <v>417</v>
      </c>
      <c r="G275" s="14" t="str">
        <f>""</f>
        <v/>
      </c>
      <c r="H275" s="14" t="str">
        <f>" 10"</f>
        <v xml:space="preserve"> 10</v>
      </c>
      <c r="I275" s="14">
        <v>0.01</v>
      </c>
      <c r="J275" s="14">
        <v>500</v>
      </c>
      <c r="K275" s="14" t="s">
        <v>410</v>
      </c>
      <c r="L275" s="14" t="s">
        <v>411</v>
      </c>
      <c r="M275" s="14" t="s">
        <v>412</v>
      </c>
      <c r="N275" s="14" t="s">
        <v>413</v>
      </c>
      <c r="P275" s="14" t="s">
        <v>39</v>
      </c>
      <c r="Q275" s="14" t="s">
        <v>25</v>
      </c>
      <c r="R275" s="14" t="s">
        <v>410</v>
      </c>
    </row>
    <row r="276" spans="1:18" s="14" customFormat="1" x14ac:dyDescent="0.25">
      <c r="A276" s="14" t="str">
        <f>"10001"</f>
        <v>10001</v>
      </c>
      <c r="B276" s="14" t="str">
        <f>"06020"</f>
        <v>06020</v>
      </c>
      <c r="C276" s="14" t="str">
        <f>"1700"</f>
        <v>1700</v>
      </c>
      <c r="D276" s="14" t="str">
        <f>"06020"</f>
        <v>06020</v>
      </c>
      <c r="E276" s="14" t="s">
        <v>20</v>
      </c>
      <c r="F276" s="14" t="s">
        <v>417</v>
      </c>
      <c r="G276" s="14" t="str">
        <f>""</f>
        <v/>
      </c>
      <c r="H276" s="14" t="str">
        <f>" 20"</f>
        <v xml:space="preserve"> 20</v>
      </c>
      <c r="I276" s="14">
        <v>500.01</v>
      </c>
      <c r="J276" s="14">
        <v>9999999.9900000002</v>
      </c>
      <c r="K276" s="14" t="s">
        <v>414</v>
      </c>
      <c r="L276" s="14" t="s">
        <v>411</v>
      </c>
      <c r="M276" s="14" t="s">
        <v>412</v>
      </c>
      <c r="N276" s="14" t="s">
        <v>418</v>
      </c>
      <c r="P276" s="14" t="s">
        <v>39</v>
      </c>
      <c r="Q276" s="14" t="s">
        <v>25</v>
      </c>
      <c r="R276" s="14" t="s">
        <v>410</v>
      </c>
    </row>
    <row r="277" spans="1:18" s="14" customFormat="1" x14ac:dyDescent="0.25">
      <c r="A277" s="14" t="str">
        <f>"10001"</f>
        <v>10001</v>
      </c>
      <c r="B277" s="14" t="str">
        <f>"06025"</f>
        <v>06025</v>
      </c>
      <c r="C277" s="14" t="str">
        <f>"1700"</f>
        <v>1700</v>
      </c>
      <c r="D277" s="14" t="str">
        <f>"06025"</f>
        <v>06025</v>
      </c>
      <c r="E277" s="14" t="s">
        <v>20</v>
      </c>
      <c r="F277" s="14" t="s">
        <v>419</v>
      </c>
      <c r="G277" s="14" t="str">
        <f>""</f>
        <v/>
      </c>
      <c r="H277" s="14" t="str">
        <f>" 10"</f>
        <v xml:space="preserve"> 10</v>
      </c>
      <c r="I277" s="14">
        <v>0.01</v>
      </c>
      <c r="J277" s="14">
        <v>500</v>
      </c>
      <c r="K277" s="14" t="s">
        <v>410</v>
      </c>
      <c r="L277" s="14" t="s">
        <v>411</v>
      </c>
      <c r="M277" s="14" t="s">
        <v>412</v>
      </c>
      <c r="N277" s="14" t="s">
        <v>413</v>
      </c>
      <c r="P277" s="14" t="s">
        <v>39</v>
      </c>
      <c r="Q277" s="14" t="s">
        <v>25</v>
      </c>
      <c r="R277" s="14" t="s">
        <v>410</v>
      </c>
    </row>
    <row r="278" spans="1:18" s="14" customFormat="1" x14ac:dyDescent="0.25">
      <c r="A278" s="14" t="str">
        <f>"10001"</f>
        <v>10001</v>
      </c>
      <c r="B278" s="14" t="str">
        <f>"06025"</f>
        <v>06025</v>
      </c>
      <c r="C278" s="14" t="str">
        <f>"1700"</f>
        <v>1700</v>
      </c>
      <c r="D278" s="14" t="str">
        <f>"06025"</f>
        <v>06025</v>
      </c>
      <c r="E278" s="14" t="s">
        <v>20</v>
      </c>
      <c r="F278" s="14" t="s">
        <v>419</v>
      </c>
      <c r="G278" s="14" t="str">
        <f>""</f>
        <v/>
      </c>
      <c r="H278" s="14" t="str">
        <f>" 20"</f>
        <v xml:space="preserve"> 20</v>
      </c>
      <c r="I278" s="14">
        <v>500.01</v>
      </c>
      <c r="J278" s="14">
        <v>9999999.9900000002</v>
      </c>
      <c r="K278" s="14" t="s">
        <v>414</v>
      </c>
      <c r="L278" s="14" t="s">
        <v>418</v>
      </c>
      <c r="M278" s="14" t="s">
        <v>411</v>
      </c>
      <c r="N278" s="14" t="s">
        <v>412</v>
      </c>
      <c r="P278" s="14" t="s">
        <v>39</v>
      </c>
      <c r="Q278" s="14" t="s">
        <v>25</v>
      </c>
      <c r="R278" s="14" t="s">
        <v>410</v>
      </c>
    </row>
    <row r="279" spans="1:18" s="14" customFormat="1" x14ac:dyDescent="0.25">
      <c r="A279" s="14" t="str">
        <f>"10001"</f>
        <v>10001</v>
      </c>
      <c r="B279" s="14" t="str">
        <f>"06030"</f>
        <v>06030</v>
      </c>
      <c r="C279" s="14" t="str">
        <f>"1700"</f>
        <v>1700</v>
      </c>
      <c r="D279" s="14" t="str">
        <f>"06030C"</f>
        <v>06030C</v>
      </c>
      <c r="E279" s="14" t="s">
        <v>20</v>
      </c>
      <c r="F279" s="14" t="s">
        <v>420</v>
      </c>
      <c r="G279" s="14" t="str">
        <f>""</f>
        <v/>
      </c>
      <c r="H279" s="14" t="str">
        <f>" 10"</f>
        <v xml:space="preserve"> 10</v>
      </c>
      <c r="I279" s="14">
        <v>0.01</v>
      </c>
      <c r="J279" s="14">
        <v>500</v>
      </c>
      <c r="K279" s="14" t="s">
        <v>410</v>
      </c>
      <c r="L279" s="14" t="s">
        <v>411</v>
      </c>
      <c r="M279" s="14" t="s">
        <v>412</v>
      </c>
      <c r="N279" s="14" t="s">
        <v>413</v>
      </c>
      <c r="P279" s="14" t="s">
        <v>39</v>
      </c>
      <c r="Q279" s="14" t="s">
        <v>25</v>
      </c>
      <c r="R279" s="14" t="s">
        <v>410</v>
      </c>
    </row>
    <row r="280" spans="1:18" s="14" customFormat="1" x14ac:dyDescent="0.25">
      <c r="A280" s="14" t="str">
        <f>"10001"</f>
        <v>10001</v>
      </c>
      <c r="B280" s="14" t="str">
        <f>"06030"</f>
        <v>06030</v>
      </c>
      <c r="C280" s="14" t="str">
        <f>"1700"</f>
        <v>1700</v>
      </c>
      <c r="D280" s="14" t="str">
        <f>"06030C"</f>
        <v>06030C</v>
      </c>
      <c r="E280" s="14" t="s">
        <v>20</v>
      </c>
      <c r="F280" s="14" t="s">
        <v>420</v>
      </c>
      <c r="G280" s="14" t="str">
        <f>""</f>
        <v/>
      </c>
      <c r="H280" s="14" t="str">
        <f>" 20"</f>
        <v xml:space="preserve"> 20</v>
      </c>
      <c r="I280" s="14">
        <v>500.01</v>
      </c>
      <c r="J280" s="14">
        <v>9999999.9900000002</v>
      </c>
      <c r="K280" s="14" t="s">
        <v>414</v>
      </c>
      <c r="L280" s="14" t="s">
        <v>411</v>
      </c>
      <c r="M280" s="14" t="s">
        <v>412</v>
      </c>
      <c r="P280" s="14" t="s">
        <v>39</v>
      </c>
      <c r="Q280" s="14" t="s">
        <v>25</v>
      </c>
      <c r="R280" s="14" t="s">
        <v>410</v>
      </c>
    </row>
    <row r="281" spans="1:18" s="14" customFormat="1" x14ac:dyDescent="0.25">
      <c r="A281" s="14" t="str">
        <f>"10001"</f>
        <v>10001</v>
      </c>
      <c r="B281" s="14" t="str">
        <f>"06040"</f>
        <v>06040</v>
      </c>
      <c r="C281" s="14" t="str">
        <f>"1700"</f>
        <v>1700</v>
      </c>
      <c r="D281" s="14" t="str">
        <f>"06040C"</f>
        <v>06040C</v>
      </c>
      <c r="E281" s="14" t="s">
        <v>20</v>
      </c>
      <c r="F281" s="14" t="s">
        <v>421</v>
      </c>
      <c r="G281" s="14" t="str">
        <f>""</f>
        <v/>
      </c>
      <c r="H281" s="14" t="str">
        <f>" 10"</f>
        <v xml:space="preserve"> 10</v>
      </c>
      <c r="I281" s="14">
        <v>0.01</v>
      </c>
      <c r="J281" s="14">
        <v>500</v>
      </c>
      <c r="K281" s="14" t="s">
        <v>410</v>
      </c>
      <c r="L281" s="14" t="s">
        <v>411</v>
      </c>
      <c r="M281" s="14" t="s">
        <v>412</v>
      </c>
      <c r="N281" s="14" t="s">
        <v>413</v>
      </c>
      <c r="P281" s="14" t="s">
        <v>39</v>
      </c>
      <c r="Q281" s="14" t="s">
        <v>25</v>
      </c>
      <c r="R281" s="14" t="s">
        <v>410</v>
      </c>
    </row>
    <row r="282" spans="1:18" s="14" customFormat="1" x14ac:dyDescent="0.25">
      <c r="A282" s="14" t="str">
        <f>"10001"</f>
        <v>10001</v>
      </c>
      <c r="B282" s="14" t="str">
        <f>"06040"</f>
        <v>06040</v>
      </c>
      <c r="C282" s="14" t="str">
        <f>"1700"</f>
        <v>1700</v>
      </c>
      <c r="D282" s="14" t="str">
        <f>"06040C"</f>
        <v>06040C</v>
      </c>
      <c r="E282" s="14" t="s">
        <v>20</v>
      </c>
      <c r="F282" s="14" t="s">
        <v>421</v>
      </c>
      <c r="G282" s="14" t="str">
        <f>""</f>
        <v/>
      </c>
      <c r="H282" s="14" t="str">
        <f>" 20"</f>
        <v xml:space="preserve"> 20</v>
      </c>
      <c r="I282" s="14">
        <v>500.01</v>
      </c>
      <c r="J282" s="14">
        <v>9999999.9900000002</v>
      </c>
      <c r="K282" s="14" t="s">
        <v>414</v>
      </c>
      <c r="L282" s="14" t="s">
        <v>411</v>
      </c>
      <c r="M282" s="14" t="s">
        <v>412</v>
      </c>
      <c r="P282" s="14" t="s">
        <v>39</v>
      </c>
      <c r="Q282" s="14" t="s">
        <v>25</v>
      </c>
      <c r="R282" s="14" t="s">
        <v>410</v>
      </c>
    </row>
    <row r="283" spans="1:18" s="14" customFormat="1" x14ac:dyDescent="0.25">
      <c r="A283" s="14" t="str">
        <f>"10001"</f>
        <v>10001</v>
      </c>
      <c r="B283" s="14" t="str">
        <f>"06050"</f>
        <v>06050</v>
      </c>
      <c r="C283" s="14" t="str">
        <f>"1700"</f>
        <v>1700</v>
      </c>
      <c r="D283" s="14" t="str">
        <f>"06050C"</f>
        <v>06050C</v>
      </c>
      <c r="E283" s="14" t="s">
        <v>20</v>
      </c>
      <c r="F283" s="14" t="s">
        <v>422</v>
      </c>
      <c r="G283" s="14" t="str">
        <f>""</f>
        <v/>
      </c>
      <c r="H283" s="14" t="str">
        <f>" 10"</f>
        <v xml:space="preserve"> 10</v>
      </c>
      <c r="I283" s="14">
        <v>0.01</v>
      </c>
      <c r="J283" s="14">
        <v>500</v>
      </c>
      <c r="K283" s="14" t="s">
        <v>410</v>
      </c>
      <c r="L283" s="14" t="s">
        <v>411</v>
      </c>
      <c r="M283" s="14" t="s">
        <v>412</v>
      </c>
      <c r="N283" s="14" t="s">
        <v>413</v>
      </c>
      <c r="P283" s="14" t="s">
        <v>39</v>
      </c>
      <c r="Q283" s="14" t="s">
        <v>25</v>
      </c>
      <c r="R283" s="14" t="s">
        <v>410</v>
      </c>
    </row>
    <row r="284" spans="1:18" s="14" customFormat="1" x14ac:dyDescent="0.25">
      <c r="A284" s="14" t="str">
        <f>"10001"</f>
        <v>10001</v>
      </c>
      <c r="B284" s="14" t="str">
        <f>"06050"</f>
        <v>06050</v>
      </c>
      <c r="C284" s="14" t="str">
        <f>"1700"</f>
        <v>1700</v>
      </c>
      <c r="D284" s="14" t="str">
        <f>"06050C"</f>
        <v>06050C</v>
      </c>
      <c r="E284" s="14" t="s">
        <v>20</v>
      </c>
      <c r="F284" s="14" t="s">
        <v>422</v>
      </c>
      <c r="G284" s="14" t="str">
        <f>""</f>
        <v/>
      </c>
      <c r="H284" s="14" t="str">
        <f>" 20"</f>
        <v xml:space="preserve"> 20</v>
      </c>
      <c r="I284" s="14">
        <v>500.01</v>
      </c>
      <c r="J284" s="14">
        <v>9999999.9900000002</v>
      </c>
      <c r="K284" s="14" t="s">
        <v>414</v>
      </c>
      <c r="L284" s="14" t="s">
        <v>411</v>
      </c>
      <c r="M284" s="14" t="s">
        <v>412</v>
      </c>
      <c r="P284" s="14" t="s">
        <v>39</v>
      </c>
      <c r="Q284" s="14" t="s">
        <v>25</v>
      </c>
      <c r="R284" s="14" t="s">
        <v>410</v>
      </c>
    </row>
    <row r="285" spans="1:18" s="14" customFormat="1" x14ac:dyDescent="0.25">
      <c r="A285" s="14" t="str">
        <f>"10001"</f>
        <v>10001</v>
      </c>
      <c r="B285" s="14" t="str">
        <f>"06060"</f>
        <v>06060</v>
      </c>
      <c r="C285" s="14" t="str">
        <f>"1700"</f>
        <v>1700</v>
      </c>
      <c r="D285" s="14" t="str">
        <f>"06060C"</f>
        <v>06060C</v>
      </c>
      <c r="E285" s="14" t="s">
        <v>20</v>
      </c>
      <c r="F285" s="14" t="s">
        <v>423</v>
      </c>
      <c r="G285" s="14" t="str">
        <f>""</f>
        <v/>
      </c>
      <c r="H285" s="14" t="str">
        <f>" 10"</f>
        <v xml:space="preserve"> 10</v>
      </c>
      <c r="I285" s="14">
        <v>0.01</v>
      </c>
      <c r="J285" s="14">
        <v>500</v>
      </c>
      <c r="K285" s="14" t="s">
        <v>410</v>
      </c>
      <c r="L285" s="14" t="s">
        <v>411</v>
      </c>
      <c r="M285" s="14" t="s">
        <v>412</v>
      </c>
      <c r="N285" s="14" t="s">
        <v>413</v>
      </c>
      <c r="P285" s="14" t="s">
        <v>39</v>
      </c>
      <c r="Q285" s="14" t="s">
        <v>25</v>
      </c>
      <c r="R285" s="14" t="s">
        <v>410</v>
      </c>
    </row>
    <row r="286" spans="1:18" s="14" customFormat="1" x14ac:dyDescent="0.25">
      <c r="A286" s="14" t="str">
        <f>"10001"</f>
        <v>10001</v>
      </c>
      <c r="B286" s="14" t="str">
        <f>"06060"</f>
        <v>06060</v>
      </c>
      <c r="C286" s="14" t="str">
        <f>"1700"</f>
        <v>1700</v>
      </c>
      <c r="D286" s="14" t="str">
        <f>"06060C"</f>
        <v>06060C</v>
      </c>
      <c r="E286" s="14" t="s">
        <v>20</v>
      </c>
      <c r="F286" s="14" t="s">
        <v>423</v>
      </c>
      <c r="G286" s="14" t="str">
        <f>""</f>
        <v/>
      </c>
      <c r="H286" s="14" t="str">
        <f>" 20"</f>
        <v xml:space="preserve"> 20</v>
      </c>
      <c r="I286" s="14">
        <v>500.01</v>
      </c>
      <c r="J286" s="14">
        <v>9999999.9900000002</v>
      </c>
      <c r="K286" s="14" t="s">
        <v>414</v>
      </c>
      <c r="L286" s="14" t="s">
        <v>411</v>
      </c>
      <c r="M286" s="14" t="s">
        <v>412</v>
      </c>
      <c r="P286" s="14" t="s">
        <v>39</v>
      </c>
      <c r="Q286" s="14" t="s">
        <v>25</v>
      </c>
      <c r="R286" s="14" t="s">
        <v>410</v>
      </c>
    </row>
    <row r="287" spans="1:18" s="14" customFormat="1" x14ac:dyDescent="0.25">
      <c r="A287" s="14" t="str">
        <f>"10001"</f>
        <v>10001</v>
      </c>
      <c r="B287" s="14" t="str">
        <f>"06070"</f>
        <v>06070</v>
      </c>
      <c r="C287" s="14" t="str">
        <f>"1700"</f>
        <v>1700</v>
      </c>
      <c r="D287" s="14" t="str">
        <f>"06070C"</f>
        <v>06070C</v>
      </c>
      <c r="E287" s="14" t="s">
        <v>20</v>
      </c>
      <c r="F287" s="14" t="s">
        <v>424</v>
      </c>
      <c r="G287" s="14" t="str">
        <f>""</f>
        <v/>
      </c>
      <c r="H287" s="14" t="str">
        <f>" 10"</f>
        <v xml:space="preserve"> 10</v>
      </c>
      <c r="I287" s="14">
        <v>0.01</v>
      </c>
      <c r="J287" s="14">
        <v>500</v>
      </c>
      <c r="K287" s="14" t="s">
        <v>410</v>
      </c>
      <c r="L287" s="14" t="s">
        <v>411</v>
      </c>
      <c r="M287" s="14" t="s">
        <v>412</v>
      </c>
      <c r="N287" s="14" t="s">
        <v>413</v>
      </c>
      <c r="P287" s="14" t="s">
        <v>39</v>
      </c>
      <c r="Q287" s="14" t="s">
        <v>25</v>
      </c>
      <c r="R287" s="14" t="s">
        <v>410</v>
      </c>
    </row>
    <row r="288" spans="1:18" s="14" customFormat="1" x14ac:dyDescent="0.25">
      <c r="A288" s="14" t="str">
        <f>"10001"</f>
        <v>10001</v>
      </c>
      <c r="B288" s="14" t="str">
        <f>"06070"</f>
        <v>06070</v>
      </c>
      <c r="C288" s="14" t="str">
        <f>"1700"</f>
        <v>1700</v>
      </c>
      <c r="D288" s="14" t="str">
        <f>"06070C"</f>
        <v>06070C</v>
      </c>
      <c r="E288" s="14" t="s">
        <v>20</v>
      </c>
      <c r="F288" s="14" t="s">
        <v>424</v>
      </c>
      <c r="G288" s="14" t="str">
        <f>""</f>
        <v/>
      </c>
      <c r="H288" s="14" t="str">
        <f>" 20"</f>
        <v xml:space="preserve"> 20</v>
      </c>
      <c r="I288" s="14">
        <v>500.01</v>
      </c>
      <c r="J288" s="14">
        <v>9999999.9900000002</v>
      </c>
      <c r="K288" s="14" t="s">
        <v>414</v>
      </c>
      <c r="L288" s="14" t="s">
        <v>411</v>
      </c>
      <c r="M288" s="14" t="s">
        <v>412</v>
      </c>
      <c r="P288" s="14" t="s">
        <v>39</v>
      </c>
      <c r="Q288" s="14" t="s">
        <v>25</v>
      </c>
      <c r="R288" s="14" t="s">
        <v>410</v>
      </c>
    </row>
    <row r="289" spans="1:18" s="14" customFormat="1" x14ac:dyDescent="0.25">
      <c r="A289" s="14" t="str">
        <f>"10001"</f>
        <v>10001</v>
      </c>
      <c r="B289" s="14" t="str">
        <f>"06080"</f>
        <v>06080</v>
      </c>
      <c r="C289" s="14" t="str">
        <f>"1700"</f>
        <v>1700</v>
      </c>
      <c r="D289" s="14" t="str">
        <f>"06080C"</f>
        <v>06080C</v>
      </c>
      <c r="E289" s="14" t="s">
        <v>20</v>
      </c>
      <c r="F289" s="14" t="s">
        <v>425</v>
      </c>
      <c r="G289" s="14" t="str">
        <f>""</f>
        <v/>
      </c>
      <c r="H289" s="14" t="str">
        <f>" 10"</f>
        <v xml:space="preserve"> 10</v>
      </c>
      <c r="I289" s="14">
        <v>0.01</v>
      </c>
      <c r="J289" s="14">
        <v>500</v>
      </c>
      <c r="K289" s="14" t="s">
        <v>410</v>
      </c>
      <c r="L289" s="14" t="s">
        <v>411</v>
      </c>
      <c r="M289" s="14" t="s">
        <v>412</v>
      </c>
      <c r="N289" s="14" t="s">
        <v>413</v>
      </c>
      <c r="P289" s="14" t="s">
        <v>39</v>
      </c>
      <c r="Q289" s="14" t="s">
        <v>25</v>
      </c>
      <c r="R289" s="14" t="s">
        <v>410</v>
      </c>
    </row>
    <row r="290" spans="1:18" s="14" customFormat="1" x14ac:dyDescent="0.25">
      <c r="A290" s="14" t="str">
        <f>"10001"</f>
        <v>10001</v>
      </c>
      <c r="B290" s="14" t="str">
        <f>"06080"</f>
        <v>06080</v>
      </c>
      <c r="C290" s="14" t="str">
        <f>"1700"</f>
        <v>1700</v>
      </c>
      <c r="D290" s="14" t="str">
        <f>"06080C"</f>
        <v>06080C</v>
      </c>
      <c r="E290" s="14" t="s">
        <v>20</v>
      </c>
      <c r="F290" s="14" t="s">
        <v>425</v>
      </c>
      <c r="G290" s="14" t="str">
        <f>""</f>
        <v/>
      </c>
      <c r="H290" s="14" t="str">
        <f>" 20"</f>
        <v xml:space="preserve"> 20</v>
      </c>
      <c r="I290" s="14">
        <v>500.01</v>
      </c>
      <c r="J290" s="14">
        <v>9999999.9900000002</v>
      </c>
      <c r="K290" s="14" t="s">
        <v>414</v>
      </c>
      <c r="L290" s="14" t="s">
        <v>411</v>
      </c>
      <c r="M290" s="14" t="s">
        <v>412</v>
      </c>
      <c r="P290" s="14" t="s">
        <v>39</v>
      </c>
      <c r="Q290" s="14" t="s">
        <v>25</v>
      </c>
      <c r="R290" s="14" t="s">
        <v>410</v>
      </c>
    </row>
    <row r="291" spans="1:18" s="14" customFormat="1" x14ac:dyDescent="0.25">
      <c r="A291" s="14" t="str">
        <f>"10001"</f>
        <v>10001</v>
      </c>
      <c r="B291" s="14" t="str">
        <f>"06090"</f>
        <v>06090</v>
      </c>
      <c r="C291" s="14" t="str">
        <f>"1700"</f>
        <v>1700</v>
      </c>
      <c r="D291" s="14" t="str">
        <f>"06090C"</f>
        <v>06090C</v>
      </c>
      <c r="E291" s="14" t="s">
        <v>20</v>
      </c>
      <c r="F291" s="14" t="s">
        <v>426</v>
      </c>
      <c r="G291" s="14" t="str">
        <f>""</f>
        <v/>
      </c>
      <c r="H291" s="14" t="str">
        <f>" 10"</f>
        <v xml:space="preserve"> 10</v>
      </c>
      <c r="I291" s="14">
        <v>0.01</v>
      </c>
      <c r="J291" s="14">
        <v>500</v>
      </c>
      <c r="K291" s="14" t="s">
        <v>410</v>
      </c>
      <c r="L291" s="14" t="s">
        <v>411</v>
      </c>
      <c r="M291" s="14" t="s">
        <v>412</v>
      </c>
      <c r="N291" s="14" t="s">
        <v>413</v>
      </c>
      <c r="P291" s="14" t="s">
        <v>39</v>
      </c>
      <c r="Q291" s="14" t="s">
        <v>25</v>
      </c>
      <c r="R291" s="14" t="s">
        <v>410</v>
      </c>
    </row>
    <row r="292" spans="1:18" s="14" customFormat="1" x14ac:dyDescent="0.25">
      <c r="A292" s="14" t="str">
        <f>"10001"</f>
        <v>10001</v>
      </c>
      <c r="B292" s="14" t="str">
        <f>"06090"</f>
        <v>06090</v>
      </c>
      <c r="C292" s="14" t="str">
        <f>"1700"</f>
        <v>1700</v>
      </c>
      <c r="D292" s="14" t="str">
        <f>"06090C"</f>
        <v>06090C</v>
      </c>
      <c r="E292" s="14" t="s">
        <v>20</v>
      </c>
      <c r="F292" s="14" t="s">
        <v>426</v>
      </c>
      <c r="G292" s="14" t="str">
        <f>""</f>
        <v/>
      </c>
      <c r="H292" s="14" t="str">
        <f>" 20"</f>
        <v xml:space="preserve"> 20</v>
      </c>
      <c r="I292" s="14">
        <v>500.01</v>
      </c>
      <c r="J292" s="14">
        <v>9999999.9900000002</v>
      </c>
      <c r="K292" s="14" t="s">
        <v>414</v>
      </c>
      <c r="L292" s="14" t="s">
        <v>411</v>
      </c>
      <c r="M292" s="14" t="s">
        <v>412</v>
      </c>
      <c r="P292" s="14" t="s">
        <v>39</v>
      </c>
      <c r="Q292" s="14" t="s">
        <v>25</v>
      </c>
      <c r="R292" s="14" t="s">
        <v>410</v>
      </c>
    </row>
    <row r="293" spans="1:18" s="14" customFormat="1" x14ac:dyDescent="0.25">
      <c r="A293" s="14" t="str">
        <f>"10001"</f>
        <v>10001</v>
      </c>
      <c r="B293" s="14" t="str">
        <f>"06100"</f>
        <v>06100</v>
      </c>
      <c r="C293" s="14" t="str">
        <f>"1700"</f>
        <v>1700</v>
      </c>
      <c r="D293" s="14" t="str">
        <f>"06100C"</f>
        <v>06100C</v>
      </c>
      <c r="E293" s="14" t="s">
        <v>20</v>
      </c>
      <c r="F293" s="14" t="s">
        <v>427</v>
      </c>
      <c r="G293" s="14" t="str">
        <f>""</f>
        <v/>
      </c>
      <c r="H293" s="14" t="str">
        <f>" 10"</f>
        <v xml:space="preserve"> 10</v>
      </c>
      <c r="I293" s="14">
        <v>0.01</v>
      </c>
      <c r="J293" s="14">
        <v>500</v>
      </c>
      <c r="K293" s="14" t="s">
        <v>410</v>
      </c>
      <c r="L293" s="14" t="s">
        <v>411</v>
      </c>
      <c r="M293" s="14" t="s">
        <v>412</v>
      </c>
      <c r="N293" s="14" t="s">
        <v>413</v>
      </c>
      <c r="P293" s="14" t="s">
        <v>39</v>
      </c>
      <c r="Q293" s="14" t="s">
        <v>25</v>
      </c>
      <c r="R293" s="14" t="s">
        <v>410</v>
      </c>
    </row>
    <row r="294" spans="1:18" s="14" customFormat="1" x14ac:dyDescent="0.25">
      <c r="A294" s="14" t="str">
        <f>"10001"</f>
        <v>10001</v>
      </c>
      <c r="B294" s="14" t="str">
        <f>"06100"</f>
        <v>06100</v>
      </c>
      <c r="C294" s="14" t="str">
        <f>"1700"</f>
        <v>1700</v>
      </c>
      <c r="D294" s="14" t="str">
        <f>"06100C"</f>
        <v>06100C</v>
      </c>
      <c r="E294" s="14" t="s">
        <v>20</v>
      </c>
      <c r="F294" s="14" t="s">
        <v>427</v>
      </c>
      <c r="G294" s="14" t="str">
        <f>""</f>
        <v/>
      </c>
      <c r="H294" s="14" t="str">
        <f>" 20"</f>
        <v xml:space="preserve"> 20</v>
      </c>
      <c r="I294" s="14">
        <v>500.01</v>
      </c>
      <c r="J294" s="14">
        <v>9999999.9900000002</v>
      </c>
      <c r="K294" s="14" t="s">
        <v>414</v>
      </c>
      <c r="L294" s="14" t="s">
        <v>411</v>
      </c>
      <c r="M294" s="14" t="s">
        <v>412</v>
      </c>
      <c r="P294" s="14" t="s">
        <v>39</v>
      </c>
      <c r="Q294" s="14" t="s">
        <v>25</v>
      </c>
      <c r="R294" s="14" t="s">
        <v>410</v>
      </c>
    </row>
    <row r="295" spans="1:18" s="14" customFormat="1" x14ac:dyDescent="0.25">
      <c r="A295" s="14" t="str">
        <f>"10001"</f>
        <v>10001</v>
      </c>
      <c r="B295" s="14" t="str">
        <f>"06110"</f>
        <v>06110</v>
      </c>
      <c r="C295" s="14" t="str">
        <f>"1700"</f>
        <v>1700</v>
      </c>
      <c r="D295" s="14" t="str">
        <f>"06110C"</f>
        <v>06110C</v>
      </c>
      <c r="E295" s="14" t="s">
        <v>20</v>
      </c>
      <c r="F295" s="14" t="s">
        <v>428</v>
      </c>
      <c r="G295" s="14" t="str">
        <f>""</f>
        <v/>
      </c>
      <c r="H295" s="14" t="str">
        <f>" 10"</f>
        <v xml:space="preserve"> 10</v>
      </c>
      <c r="I295" s="14">
        <v>0.01</v>
      </c>
      <c r="J295" s="14">
        <v>500</v>
      </c>
      <c r="K295" s="14" t="s">
        <v>410</v>
      </c>
      <c r="L295" s="14" t="s">
        <v>411</v>
      </c>
      <c r="M295" s="14" t="s">
        <v>412</v>
      </c>
      <c r="N295" s="14" t="s">
        <v>413</v>
      </c>
      <c r="P295" s="14" t="s">
        <v>39</v>
      </c>
      <c r="Q295" s="14" t="s">
        <v>25</v>
      </c>
      <c r="R295" s="14" t="s">
        <v>410</v>
      </c>
    </row>
    <row r="296" spans="1:18" s="14" customFormat="1" x14ac:dyDescent="0.25">
      <c r="A296" s="14" t="str">
        <f>"10001"</f>
        <v>10001</v>
      </c>
      <c r="B296" s="14" t="str">
        <f>"06110"</f>
        <v>06110</v>
      </c>
      <c r="C296" s="14" t="str">
        <f>"1700"</f>
        <v>1700</v>
      </c>
      <c r="D296" s="14" t="str">
        <f>"06110C"</f>
        <v>06110C</v>
      </c>
      <c r="E296" s="14" t="s">
        <v>20</v>
      </c>
      <c r="F296" s="14" t="s">
        <v>428</v>
      </c>
      <c r="G296" s="14" t="str">
        <f>""</f>
        <v/>
      </c>
      <c r="H296" s="14" t="str">
        <f>" 20"</f>
        <v xml:space="preserve"> 20</v>
      </c>
      <c r="I296" s="14">
        <v>500.01</v>
      </c>
      <c r="J296" s="14">
        <v>9999999.9900000002</v>
      </c>
      <c r="K296" s="14" t="s">
        <v>414</v>
      </c>
      <c r="L296" s="14" t="s">
        <v>411</v>
      </c>
      <c r="M296" s="14" t="s">
        <v>412</v>
      </c>
      <c r="P296" s="14" t="s">
        <v>39</v>
      </c>
      <c r="Q296" s="14" t="s">
        <v>25</v>
      </c>
      <c r="R296" s="14" t="s">
        <v>410</v>
      </c>
    </row>
    <row r="297" spans="1:18" s="14" customFormat="1" x14ac:dyDescent="0.25">
      <c r="A297" s="14" t="str">
        <f>"10001"</f>
        <v>10001</v>
      </c>
      <c r="B297" s="14" t="str">
        <f>"06120"</f>
        <v>06120</v>
      </c>
      <c r="C297" s="14" t="str">
        <f>"1700"</f>
        <v>1700</v>
      </c>
      <c r="D297" s="14" t="str">
        <f>"06120C"</f>
        <v>06120C</v>
      </c>
      <c r="E297" s="14" t="s">
        <v>20</v>
      </c>
      <c r="F297" s="14" t="s">
        <v>429</v>
      </c>
      <c r="G297" s="14" t="str">
        <f>""</f>
        <v/>
      </c>
      <c r="H297" s="14" t="str">
        <f>" 10"</f>
        <v xml:space="preserve"> 10</v>
      </c>
      <c r="I297" s="14">
        <v>0.01</v>
      </c>
      <c r="J297" s="14">
        <v>500</v>
      </c>
      <c r="K297" s="14" t="s">
        <v>410</v>
      </c>
      <c r="L297" s="14" t="s">
        <v>411</v>
      </c>
      <c r="M297" s="14" t="s">
        <v>412</v>
      </c>
      <c r="N297" s="14" t="s">
        <v>413</v>
      </c>
      <c r="P297" s="14" t="s">
        <v>39</v>
      </c>
      <c r="Q297" s="14" t="s">
        <v>25</v>
      </c>
      <c r="R297" s="14" t="s">
        <v>410</v>
      </c>
    </row>
    <row r="298" spans="1:18" s="14" customFormat="1" x14ac:dyDescent="0.25">
      <c r="A298" s="14" t="str">
        <f>"10001"</f>
        <v>10001</v>
      </c>
      <c r="B298" s="14" t="str">
        <f>"06120"</f>
        <v>06120</v>
      </c>
      <c r="C298" s="14" t="str">
        <f>"1700"</f>
        <v>1700</v>
      </c>
      <c r="D298" s="14" t="str">
        <f>"06120C"</f>
        <v>06120C</v>
      </c>
      <c r="E298" s="14" t="s">
        <v>20</v>
      </c>
      <c r="F298" s="14" t="s">
        <v>429</v>
      </c>
      <c r="G298" s="14" t="str">
        <f>""</f>
        <v/>
      </c>
      <c r="H298" s="14" t="str">
        <f>" 20"</f>
        <v xml:space="preserve"> 20</v>
      </c>
      <c r="I298" s="14">
        <v>500.01</v>
      </c>
      <c r="J298" s="14">
        <v>9999999.9900000002</v>
      </c>
      <c r="K298" s="14" t="s">
        <v>414</v>
      </c>
      <c r="L298" s="14" t="s">
        <v>411</v>
      </c>
      <c r="M298" s="14" t="s">
        <v>412</v>
      </c>
      <c r="P298" s="14" t="s">
        <v>39</v>
      </c>
      <c r="Q298" s="14" t="s">
        <v>25</v>
      </c>
      <c r="R298" s="14" t="s">
        <v>410</v>
      </c>
    </row>
    <row r="299" spans="1:18" s="14" customFormat="1" x14ac:dyDescent="0.25">
      <c r="A299" s="14" t="str">
        <f>"10001"</f>
        <v>10001</v>
      </c>
      <c r="B299" s="14" t="str">
        <f>"06130"</f>
        <v>06130</v>
      </c>
      <c r="C299" s="14" t="str">
        <f>"1700"</f>
        <v>1700</v>
      </c>
      <c r="D299" s="14" t="str">
        <f>"06130C"</f>
        <v>06130C</v>
      </c>
      <c r="E299" s="14" t="s">
        <v>20</v>
      </c>
      <c r="F299" s="14" t="s">
        <v>430</v>
      </c>
      <c r="G299" s="14" t="str">
        <f>""</f>
        <v/>
      </c>
      <c r="H299" s="14" t="str">
        <f>" 10"</f>
        <v xml:space="preserve"> 10</v>
      </c>
      <c r="I299" s="14">
        <v>0.01</v>
      </c>
      <c r="J299" s="14">
        <v>500</v>
      </c>
      <c r="K299" s="14" t="s">
        <v>410</v>
      </c>
      <c r="L299" s="14" t="s">
        <v>411</v>
      </c>
      <c r="M299" s="14" t="s">
        <v>412</v>
      </c>
      <c r="N299" s="14" t="s">
        <v>413</v>
      </c>
      <c r="P299" s="14" t="s">
        <v>39</v>
      </c>
      <c r="Q299" s="14" t="s">
        <v>25</v>
      </c>
      <c r="R299" s="14" t="s">
        <v>410</v>
      </c>
    </row>
    <row r="300" spans="1:18" s="14" customFormat="1" x14ac:dyDescent="0.25">
      <c r="A300" s="14" t="str">
        <f>"10001"</f>
        <v>10001</v>
      </c>
      <c r="B300" s="14" t="str">
        <f>"06130"</f>
        <v>06130</v>
      </c>
      <c r="C300" s="14" t="str">
        <f>"1700"</f>
        <v>1700</v>
      </c>
      <c r="D300" s="14" t="str">
        <f>"06130C"</f>
        <v>06130C</v>
      </c>
      <c r="E300" s="14" t="s">
        <v>20</v>
      </c>
      <c r="F300" s="14" t="s">
        <v>430</v>
      </c>
      <c r="G300" s="14" t="str">
        <f>""</f>
        <v/>
      </c>
      <c r="H300" s="14" t="str">
        <f>" 20"</f>
        <v xml:space="preserve"> 20</v>
      </c>
      <c r="I300" s="14">
        <v>500.01</v>
      </c>
      <c r="J300" s="14">
        <v>9999999.9900000002</v>
      </c>
      <c r="K300" s="14" t="s">
        <v>414</v>
      </c>
      <c r="L300" s="14" t="s">
        <v>411</v>
      </c>
      <c r="M300" s="14" t="s">
        <v>412</v>
      </c>
      <c r="P300" s="14" t="s">
        <v>39</v>
      </c>
      <c r="Q300" s="14" t="s">
        <v>25</v>
      </c>
      <c r="R300" s="14" t="s">
        <v>410</v>
      </c>
    </row>
    <row r="301" spans="1:18" s="14" customFormat="1" x14ac:dyDescent="0.25">
      <c r="A301" s="14" t="str">
        <f>"10001"</f>
        <v>10001</v>
      </c>
      <c r="B301" s="14" t="str">
        <f>"06140"</f>
        <v>06140</v>
      </c>
      <c r="C301" s="14" t="str">
        <f>"1700"</f>
        <v>1700</v>
      </c>
      <c r="D301" s="14" t="str">
        <f>"06140C"</f>
        <v>06140C</v>
      </c>
      <c r="E301" s="14" t="s">
        <v>20</v>
      </c>
      <c r="F301" s="14" t="s">
        <v>431</v>
      </c>
      <c r="G301" s="14" t="str">
        <f>""</f>
        <v/>
      </c>
      <c r="H301" s="14" t="str">
        <f>" 10"</f>
        <v xml:space="preserve"> 10</v>
      </c>
      <c r="I301" s="14">
        <v>0.01</v>
      </c>
      <c r="J301" s="14">
        <v>500</v>
      </c>
      <c r="K301" s="14" t="s">
        <v>410</v>
      </c>
      <c r="L301" s="14" t="s">
        <v>411</v>
      </c>
      <c r="M301" s="14" t="s">
        <v>412</v>
      </c>
      <c r="N301" s="14" t="s">
        <v>413</v>
      </c>
      <c r="P301" s="14" t="s">
        <v>39</v>
      </c>
      <c r="Q301" s="14" t="s">
        <v>25</v>
      </c>
      <c r="R301" s="14" t="s">
        <v>410</v>
      </c>
    </row>
    <row r="302" spans="1:18" s="14" customFormat="1" x14ac:dyDescent="0.25">
      <c r="A302" s="14" t="str">
        <f>"10001"</f>
        <v>10001</v>
      </c>
      <c r="B302" s="14" t="str">
        <f>"06140"</f>
        <v>06140</v>
      </c>
      <c r="C302" s="14" t="str">
        <f>"1700"</f>
        <v>1700</v>
      </c>
      <c r="D302" s="14" t="str">
        <f>"06140C"</f>
        <v>06140C</v>
      </c>
      <c r="E302" s="14" t="s">
        <v>20</v>
      </c>
      <c r="F302" s="14" t="s">
        <v>431</v>
      </c>
      <c r="G302" s="14" t="str">
        <f>""</f>
        <v/>
      </c>
      <c r="H302" s="14" t="str">
        <f>" 20"</f>
        <v xml:space="preserve"> 20</v>
      </c>
      <c r="I302" s="14">
        <v>500.01</v>
      </c>
      <c r="J302" s="14">
        <v>9999999.9900000002</v>
      </c>
      <c r="K302" s="14" t="s">
        <v>414</v>
      </c>
      <c r="L302" s="14" t="s">
        <v>411</v>
      </c>
      <c r="M302" s="14" t="s">
        <v>412</v>
      </c>
      <c r="P302" s="14" t="s">
        <v>39</v>
      </c>
      <c r="Q302" s="14" t="s">
        <v>25</v>
      </c>
      <c r="R302" s="14" t="s">
        <v>410</v>
      </c>
    </row>
    <row r="303" spans="1:18" s="14" customFormat="1" x14ac:dyDescent="0.25">
      <c r="A303" s="14" t="str">
        <f>"10001"</f>
        <v>10001</v>
      </c>
      <c r="B303" s="14" t="str">
        <f>"06150"</f>
        <v>06150</v>
      </c>
      <c r="C303" s="14" t="str">
        <f>"1700"</f>
        <v>1700</v>
      </c>
      <c r="D303" s="14" t="str">
        <f>"06150C"</f>
        <v>06150C</v>
      </c>
      <c r="E303" s="14" t="s">
        <v>20</v>
      </c>
      <c r="F303" s="14" t="s">
        <v>432</v>
      </c>
      <c r="G303" s="14" t="str">
        <f>""</f>
        <v/>
      </c>
      <c r="H303" s="14" t="str">
        <f>" 10"</f>
        <v xml:space="preserve"> 10</v>
      </c>
      <c r="I303" s="14">
        <v>0.01</v>
      </c>
      <c r="J303" s="14">
        <v>500</v>
      </c>
      <c r="K303" s="14" t="s">
        <v>410</v>
      </c>
      <c r="L303" s="14" t="s">
        <v>411</v>
      </c>
      <c r="M303" s="14" t="s">
        <v>412</v>
      </c>
      <c r="N303" s="14" t="s">
        <v>413</v>
      </c>
      <c r="P303" s="14" t="s">
        <v>39</v>
      </c>
      <c r="Q303" s="14" t="s">
        <v>25</v>
      </c>
      <c r="R303" s="14" t="s">
        <v>410</v>
      </c>
    </row>
    <row r="304" spans="1:18" s="14" customFormat="1" x14ac:dyDescent="0.25">
      <c r="A304" s="14" t="str">
        <f>"10001"</f>
        <v>10001</v>
      </c>
      <c r="B304" s="14" t="str">
        <f>"06150"</f>
        <v>06150</v>
      </c>
      <c r="C304" s="14" t="str">
        <f>"1700"</f>
        <v>1700</v>
      </c>
      <c r="D304" s="14" t="str">
        <f>"06150C"</f>
        <v>06150C</v>
      </c>
      <c r="E304" s="14" t="s">
        <v>20</v>
      </c>
      <c r="F304" s="14" t="s">
        <v>432</v>
      </c>
      <c r="G304" s="14" t="str">
        <f>""</f>
        <v/>
      </c>
      <c r="H304" s="14" t="str">
        <f>" 20"</f>
        <v xml:space="preserve"> 20</v>
      </c>
      <c r="I304" s="14">
        <v>500.01</v>
      </c>
      <c r="J304" s="14">
        <v>9999999.9900000002</v>
      </c>
      <c r="K304" s="14" t="s">
        <v>414</v>
      </c>
      <c r="L304" s="14" t="s">
        <v>411</v>
      </c>
      <c r="M304" s="14" t="s">
        <v>412</v>
      </c>
      <c r="P304" s="14" t="s">
        <v>39</v>
      </c>
      <c r="Q304" s="14" t="s">
        <v>25</v>
      </c>
      <c r="R304" s="14" t="s">
        <v>410</v>
      </c>
    </row>
    <row r="305" spans="1:18" s="14" customFormat="1" x14ac:dyDescent="0.25">
      <c r="A305" s="14" t="str">
        <f>"10001"</f>
        <v>10001</v>
      </c>
      <c r="B305" s="14" t="str">
        <f>"06151"</f>
        <v>06151</v>
      </c>
      <c r="C305" s="14" t="str">
        <f>"1700"</f>
        <v>1700</v>
      </c>
      <c r="D305" s="14" t="str">
        <f>"06151C"</f>
        <v>06151C</v>
      </c>
      <c r="E305" s="14" t="s">
        <v>20</v>
      </c>
      <c r="F305" s="14" t="s">
        <v>433</v>
      </c>
      <c r="G305" s="14" t="str">
        <f>""</f>
        <v/>
      </c>
      <c r="H305" s="14" t="str">
        <f>" 10"</f>
        <v xml:space="preserve"> 10</v>
      </c>
      <c r="I305" s="14">
        <v>0.01</v>
      </c>
      <c r="J305" s="14">
        <v>500</v>
      </c>
      <c r="K305" s="14" t="s">
        <v>410</v>
      </c>
      <c r="L305" s="14" t="s">
        <v>411</v>
      </c>
      <c r="M305" s="14" t="s">
        <v>412</v>
      </c>
      <c r="N305" s="14" t="s">
        <v>413</v>
      </c>
      <c r="P305" s="14" t="s">
        <v>39</v>
      </c>
      <c r="Q305" s="14" t="s">
        <v>25</v>
      </c>
      <c r="R305" s="14" t="s">
        <v>410</v>
      </c>
    </row>
    <row r="306" spans="1:18" s="14" customFormat="1" x14ac:dyDescent="0.25">
      <c r="A306" s="14" t="str">
        <f>"10001"</f>
        <v>10001</v>
      </c>
      <c r="B306" s="14" t="str">
        <f>"06151"</f>
        <v>06151</v>
      </c>
      <c r="C306" s="14" t="str">
        <f>"1700"</f>
        <v>1700</v>
      </c>
      <c r="D306" s="14" t="str">
        <f>"06151C"</f>
        <v>06151C</v>
      </c>
      <c r="E306" s="14" t="s">
        <v>20</v>
      </c>
      <c r="F306" s="14" t="s">
        <v>433</v>
      </c>
      <c r="G306" s="14" t="str">
        <f>""</f>
        <v/>
      </c>
      <c r="H306" s="14" t="str">
        <f>" 20"</f>
        <v xml:space="preserve"> 20</v>
      </c>
      <c r="I306" s="14">
        <v>500.01</v>
      </c>
      <c r="J306" s="14">
        <v>9999999.9900000002</v>
      </c>
      <c r="K306" s="14" t="s">
        <v>414</v>
      </c>
      <c r="L306" s="14" t="s">
        <v>411</v>
      </c>
      <c r="M306" s="14" t="s">
        <v>412</v>
      </c>
      <c r="P306" s="14" t="s">
        <v>39</v>
      </c>
      <c r="Q306" s="14" t="s">
        <v>25</v>
      </c>
      <c r="R306" s="14" t="s">
        <v>410</v>
      </c>
    </row>
    <row r="307" spans="1:18" s="14" customFormat="1" x14ac:dyDescent="0.25">
      <c r="A307" s="14" t="str">
        <f>"10001"</f>
        <v>10001</v>
      </c>
      <c r="B307" s="14" t="str">
        <f>"06152"</f>
        <v>06152</v>
      </c>
      <c r="C307" s="14" t="str">
        <f>"1700"</f>
        <v>1700</v>
      </c>
      <c r="D307" s="14" t="str">
        <f>"06152C"</f>
        <v>06152C</v>
      </c>
      <c r="E307" s="14" t="s">
        <v>20</v>
      </c>
      <c r="F307" s="14" t="s">
        <v>434</v>
      </c>
      <c r="G307" s="14" t="str">
        <f>""</f>
        <v/>
      </c>
      <c r="H307" s="14" t="str">
        <f>" 10"</f>
        <v xml:space="preserve"> 10</v>
      </c>
      <c r="I307" s="14">
        <v>0.01</v>
      </c>
      <c r="J307" s="14">
        <v>500</v>
      </c>
      <c r="K307" s="14" t="s">
        <v>410</v>
      </c>
      <c r="L307" s="14" t="s">
        <v>411</v>
      </c>
      <c r="M307" s="14" t="s">
        <v>412</v>
      </c>
      <c r="N307" s="14" t="s">
        <v>413</v>
      </c>
      <c r="P307" s="14" t="s">
        <v>39</v>
      </c>
      <c r="Q307" s="14" t="s">
        <v>25</v>
      </c>
      <c r="R307" s="14" t="s">
        <v>410</v>
      </c>
    </row>
    <row r="308" spans="1:18" s="14" customFormat="1" x14ac:dyDescent="0.25">
      <c r="A308" s="14" t="str">
        <f>"10001"</f>
        <v>10001</v>
      </c>
      <c r="B308" s="14" t="str">
        <f>"06152"</f>
        <v>06152</v>
      </c>
      <c r="C308" s="14" t="str">
        <f>"1700"</f>
        <v>1700</v>
      </c>
      <c r="D308" s="14" t="str">
        <f>"06152C"</f>
        <v>06152C</v>
      </c>
      <c r="E308" s="14" t="s">
        <v>20</v>
      </c>
      <c r="F308" s="14" t="s">
        <v>434</v>
      </c>
      <c r="G308" s="14" t="str">
        <f>""</f>
        <v/>
      </c>
      <c r="H308" s="14" t="str">
        <f>" 20"</f>
        <v xml:space="preserve"> 20</v>
      </c>
      <c r="I308" s="14">
        <v>500.01</v>
      </c>
      <c r="J308" s="14">
        <v>9999999.9900000002</v>
      </c>
      <c r="K308" s="14" t="s">
        <v>414</v>
      </c>
      <c r="L308" s="14" t="s">
        <v>411</v>
      </c>
      <c r="M308" s="14" t="s">
        <v>412</v>
      </c>
      <c r="P308" s="14" t="s">
        <v>39</v>
      </c>
      <c r="Q308" s="14" t="s">
        <v>25</v>
      </c>
      <c r="R308" s="14" t="s">
        <v>410</v>
      </c>
    </row>
    <row r="309" spans="1:18" s="14" customFormat="1" x14ac:dyDescent="0.25">
      <c r="A309" s="14" t="str">
        <f>"11001"</f>
        <v>11001</v>
      </c>
      <c r="B309" s="14" t="str">
        <f>"01400"</f>
        <v>01400</v>
      </c>
      <c r="C309" s="14" t="str">
        <f>"1300"</f>
        <v>1300</v>
      </c>
      <c r="D309" s="14" t="str">
        <f>""</f>
        <v/>
      </c>
      <c r="E309" s="14" t="s">
        <v>435</v>
      </c>
      <c r="F309" s="14" t="s">
        <v>117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69</v>
      </c>
      <c r="L309" s="14" t="s">
        <v>70</v>
      </c>
      <c r="M309" s="14" t="s">
        <v>71</v>
      </c>
      <c r="P309" s="14" t="s">
        <v>31</v>
      </c>
      <c r="Q309" s="14" t="s">
        <v>25</v>
      </c>
      <c r="R309" s="14" t="s">
        <v>72</v>
      </c>
    </row>
    <row r="310" spans="1:18" s="14" customFormat="1" x14ac:dyDescent="0.25">
      <c r="A310" s="14" t="str">
        <f>"11002"</f>
        <v>11002</v>
      </c>
      <c r="B310" s="14" t="str">
        <f>"01230"</f>
        <v>01230</v>
      </c>
      <c r="C310" s="14" t="str">
        <f>"1300"</f>
        <v>1300</v>
      </c>
      <c r="D310" s="14" t="str">
        <f>""</f>
        <v/>
      </c>
      <c r="E310" s="14" t="s">
        <v>436</v>
      </c>
      <c r="F310" s="14" t="s">
        <v>75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76</v>
      </c>
      <c r="L310" s="14" t="s">
        <v>77</v>
      </c>
      <c r="M310" s="14" t="s">
        <v>78</v>
      </c>
      <c r="P310" s="14" t="s">
        <v>25</v>
      </c>
      <c r="Q310" s="14" t="s">
        <v>25</v>
      </c>
      <c r="R310" s="14" t="s">
        <v>79</v>
      </c>
    </row>
    <row r="311" spans="1:18" s="14" customFormat="1" x14ac:dyDescent="0.25">
      <c r="A311" s="14" t="str">
        <f>"11003"</f>
        <v>11003</v>
      </c>
      <c r="B311" s="14" t="str">
        <f>"01300"</f>
        <v>01300</v>
      </c>
      <c r="C311" s="14" t="str">
        <f>"1300"</f>
        <v>1300</v>
      </c>
      <c r="D311" s="14" t="str">
        <f>""</f>
        <v/>
      </c>
      <c r="E311" s="14" t="s">
        <v>437</v>
      </c>
      <c r="F311" s="14" t="s">
        <v>96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48</v>
      </c>
      <c r="L311" s="14" t="s">
        <v>97</v>
      </c>
      <c r="M311" s="14" t="s">
        <v>98</v>
      </c>
      <c r="P311" s="14" t="s">
        <v>25</v>
      </c>
      <c r="Q311" s="14" t="s">
        <v>25</v>
      </c>
      <c r="R311" s="14" t="s">
        <v>49</v>
      </c>
    </row>
    <row r="312" spans="1:18" s="14" customFormat="1" x14ac:dyDescent="0.25">
      <c r="A312" s="14" t="str">
        <f>"11004"</f>
        <v>11004</v>
      </c>
      <c r="B312" s="14" t="str">
        <f>"03775"</f>
        <v>03775</v>
      </c>
      <c r="C312" s="14" t="str">
        <f>"1300"</f>
        <v>1300</v>
      </c>
      <c r="D312" s="14" t="str">
        <f>""</f>
        <v/>
      </c>
      <c r="E312" s="14" t="s">
        <v>438</v>
      </c>
      <c r="F312" s="14" t="s">
        <v>307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252</v>
      </c>
      <c r="L312" s="14" t="s">
        <v>253</v>
      </c>
      <c r="P312" s="14" t="s">
        <v>25</v>
      </c>
      <c r="Q312" s="14" t="s">
        <v>25</v>
      </c>
      <c r="R312" s="14" t="s">
        <v>253</v>
      </c>
    </row>
    <row r="313" spans="1:18" s="14" customFormat="1" x14ac:dyDescent="0.25">
      <c r="A313" s="14" t="str">
        <f>"11005"</f>
        <v>11005</v>
      </c>
      <c r="B313" s="14" t="str">
        <f>"03092"</f>
        <v>03092</v>
      </c>
      <c r="C313" s="14" t="str">
        <f>"1500"</f>
        <v>1500</v>
      </c>
      <c r="D313" s="14" t="str">
        <f>""</f>
        <v/>
      </c>
      <c r="E313" s="14" t="s">
        <v>439</v>
      </c>
      <c r="F313" s="14" t="s">
        <v>235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236</v>
      </c>
      <c r="L313" s="14" t="s">
        <v>237</v>
      </c>
      <c r="M313" s="14" t="s">
        <v>238</v>
      </c>
      <c r="P313" s="14" t="s">
        <v>25</v>
      </c>
      <c r="Q313" s="14" t="s">
        <v>25</v>
      </c>
      <c r="R313" s="14" t="s">
        <v>1930</v>
      </c>
    </row>
    <row r="314" spans="1:18" s="14" customFormat="1" x14ac:dyDescent="0.25">
      <c r="A314" s="14" t="str">
        <f>"11006"</f>
        <v>11006</v>
      </c>
      <c r="B314" s="14" t="str">
        <f>"01480"</f>
        <v>01480</v>
      </c>
      <c r="C314" s="14" t="str">
        <f>"1300"</f>
        <v>1300</v>
      </c>
      <c r="D314" s="14" t="str">
        <f>""</f>
        <v/>
      </c>
      <c r="E314" s="14" t="s">
        <v>440</v>
      </c>
      <c r="F314" s="14" t="s">
        <v>128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69</v>
      </c>
      <c r="L314" s="14" t="s">
        <v>70</v>
      </c>
      <c r="M314" s="14" t="s">
        <v>71</v>
      </c>
      <c r="P314" s="14" t="s">
        <v>31</v>
      </c>
      <c r="Q314" s="14" t="s">
        <v>25</v>
      </c>
      <c r="R314" s="14" t="s">
        <v>72</v>
      </c>
    </row>
    <row r="315" spans="1:18" s="14" customFormat="1" x14ac:dyDescent="0.25">
      <c r="A315" s="14" t="str">
        <f>"11007"</f>
        <v>11007</v>
      </c>
      <c r="B315" s="14" t="str">
        <f>"01410"</f>
        <v>01410</v>
      </c>
      <c r="C315" s="14" t="str">
        <f>"1300"</f>
        <v>1300</v>
      </c>
      <c r="D315" s="14" t="str">
        <f>""</f>
        <v/>
      </c>
      <c r="E315" s="14" t="s">
        <v>441</v>
      </c>
      <c r="F315" s="14" t="s">
        <v>120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69</v>
      </c>
      <c r="L315" s="14" t="s">
        <v>70</v>
      </c>
      <c r="M315" s="14" t="s">
        <v>71</v>
      </c>
      <c r="P315" s="14" t="s">
        <v>31</v>
      </c>
      <c r="Q315" s="14" t="s">
        <v>25</v>
      </c>
      <c r="R315" s="14" t="s">
        <v>72</v>
      </c>
    </row>
    <row r="316" spans="1:18" s="14" customFormat="1" x14ac:dyDescent="0.25">
      <c r="A316" s="14" t="str">
        <f>"11008"</f>
        <v>11008</v>
      </c>
      <c r="B316" s="14" t="str">
        <f>"01440"</f>
        <v>01440</v>
      </c>
      <c r="C316" s="14" t="str">
        <f>"1300"</f>
        <v>1300</v>
      </c>
      <c r="D316" s="14" t="str">
        <f>""</f>
        <v/>
      </c>
      <c r="E316" s="14" t="s">
        <v>442</v>
      </c>
      <c r="F316" s="14" t="s">
        <v>123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124</v>
      </c>
      <c r="L316" s="14" t="s">
        <v>69</v>
      </c>
      <c r="M316" s="14" t="s">
        <v>70</v>
      </c>
      <c r="N316" s="14" t="s">
        <v>71</v>
      </c>
      <c r="P316" s="14" t="s">
        <v>25</v>
      </c>
      <c r="Q316" s="14" t="s">
        <v>25</v>
      </c>
      <c r="R316" s="14" t="s">
        <v>72</v>
      </c>
    </row>
    <row r="317" spans="1:18" s="14" customFormat="1" x14ac:dyDescent="0.25">
      <c r="A317" s="14" t="str">
        <f>"11009"</f>
        <v>11009</v>
      </c>
      <c r="B317" s="14" t="str">
        <f>"01450"</f>
        <v>01450</v>
      </c>
      <c r="C317" s="14" t="str">
        <f>"1300"</f>
        <v>1300</v>
      </c>
      <c r="D317" s="14" t="str">
        <f>""</f>
        <v/>
      </c>
      <c r="E317" s="14" t="s">
        <v>443</v>
      </c>
      <c r="F317" s="14" t="s">
        <v>126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69</v>
      </c>
      <c r="L317" s="14" t="s">
        <v>70</v>
      </c>
      <c r="M317" s="14" t="s">
        <v>71</v>
      </c>
      <c r="P317" s="14" t="s">
        <v>31</v>
      </c>
      <c r="Q317" s="14" t="s">
        <v>25</v>
      </c>
      <c r="R317" s="14" t="s">
        <v>72</v>
      </c>
    </row>
    <row r="318" spans="1:18" s="14" customFormat="1" x14ac:dyDescent="0.25">
      <c r="A318" s="14" t="str">
        <f>"11010"</f>
        <v>11010</v>
      </c>
      <c r="B318" s="14" t="str">
        <f>"01530"</f>
        <v>01530</v>
      </c>
      <c r="C318" s="14" t="str">
        <f>"1100"</f>
        <v>1100</v>
      </c>
      <c r="D318" s="14" t="str">
        <f>""</f>
        <v/>
      </c>
      <c r="E318" s="14" t="s">
        <v>444</v>
      </c>
      <c r="F318" s="14" t="s">
        <v>445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69</v>
      </c>
      <c r="L318" s="14" t="s">
        <v>70</v>
      </c>
      <c r="M318" s="14" t="s">
        <v>71</v>
      </c>
      <c r="P318" s="14" t="s">
        <v>31</v>
      </c>
      <c r="Q318" s="14" t="s">
        <v>25</v>
      </c>
      <c r="R318" s="14" t="s">
        <v>72</v>
      </c>
    </row>
    <row r="319" spans="1:18" s="14" customFormat="1" x14ac:dyDescent="0.25">
      <c r="A319" s="14" t="str">
        <f>"11011"</f>
        <v>11011</v>
      </c>
      <c r="B319" s="14" t="str">
        <f>"05140"</f>
        <v>05140</v>
      </c>
      <c r="C319" s="14" t="str">
        <f>"1700"</f>
        <v>1700</v>
      </c>
      <c r="D319" s="14" t="str">
        <f>""</f>
        <v/>
      </c>
      <c r="E319" s="14" t="s">
        <v>446</v>
      </c>
      <c r="F319" s="14" t="s">
        <v>400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37</v>
      </c>
      <c r="L319" s="14" t="s">
        <v>34</v>
      </c>
      <c r="P319" s="14" t="s">
        <v>25</v>
      </c>
      <c r="Q319" s="14" t="s">
        <v>25</v>
      </c>
      <c r="R319" s="14" t="s">
        <v>401</v>
      </c>
    </row>
    <row r="320" spans="1:18" s="14" customFormat="1" x14ac:dyDescent="0.25">
      <c r="A320" s="14" t="str">
        <f>"11012"</f>
        <v>11012</v>
      </c>
      <c r="B320" s="14" t="str">
        <f>"03020"</f>
        <v>03020</v>
      </c>
      <c r="C320" s="14" t="str">
        <f>"1400"</f>
        <v>1400</v>
      </c>
      <c r="D320" s="14" t="str">
        <f>""</f>
        <v/>
      </c>
      <c r="E320" s="14" t="s">
        <v>447</v>
      </c>
      <c r="F320" s="14" t="s">
        <v>220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34</v>
      </c>
      <c r="P320" s="14" t="s">
        <v>25</v>
      </c>
      <c r="Q320" s="14" t="s">
        <v>25</v>
      </c>
      <c r="R320" s="14" t="s">
        <v>35</v>
      </c>
    </row>
    <row r="321" spans="1:18" s="14" customFormat="1" x14ac:dyDescent="0.25">
      <c r="A321" s="14" t="str">
        <f>"11013"</f>
        <v>11013</v>
      </c>
      <c r="B321" s="14" t="str">
        <f>"03094"</f>
        <v>03094</v>
      </c>
      <c r="C321" s="14" t="str">
        <f>"1400"</f>
        <v>1400</v>
      </c>
      <c r="D321" s="14" t="str">
        <f>""</f>
        <v/>
      </c>
      <c r="E321" s="14" t="s">
        <v>448</v>
      </c>
      <c r="F321" s="14" t="s">
        <v>240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241</v>
      </c>
      <c r="L321" s="14" t="s">
        <v>231</v>
      </c>
      <c r="P321" s="14" t="s">
        <v>25</v>
      </c>
      <c r="Q321" s="14" t="s">
        <v>25</v>
      </c>
      <c r="R321" s="14" t="s">
        <v>242</v>
      </c>
    </row>
    <row r="322" spans="1:18" s="14" customFormat="1" x14ac:dyDescent="0.25">
      <c r="A322" s="14" t="str">
        <f>"11014"</f>
        <v>11014</v>
      </c>
      <c r="B322" s="14" t="str">
        <f>"03020"</f>
        <v>03020</v>
      </c>
      <c r="C322" s="14" t="str">
        <f>"1400"</f>
        <v>1400</v>
      </c>
      <c r="D322" s="14" t="str">
        <f>""</f>
        <v/>
      </c>
      <c r="E322" s="14" t="s">
        <v>449</v>
      </c>
      <c r="F322" s="14" t="s">
        <v>220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34</v>
      </c>
      <c r="P322" s="14" t="s">
        <v>25</v>
      </c>
      <c r="Q322" s="14" t="s">
        <v>25</v>
      </c>
      <c r="R322" s="14" t="s">
        <v>35</v>
      </c>
    </row>
    <row r="323" spans="1:18" s="14" customFormat="1" x14ac:dyDescent="0.25">
      <c r="A323" s="14" t="str">
        <f>"11015"</f>
        <v>11015</v>
      </c>
      <c r="B323" s="14" t="str">
        <f>"03020"</f>
        <v>03020</v>
      </c>
      <c r="C323" s="14" t="str">
        <f>"1400"</f>
        <v>1400</v>
      </c>
      <c r="D323" s="14" t="str">
        <f>""</f>
        <v/>
      </c>
      <c r="E323" s="14" t="s">
        <v>450</v>
      </c>
      <c r="F323" s="14" t="s">
        <v>220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34</v>
      </c>
      <c r="P323" s="14" t="s">
        <v>25</v>
      </c>
      <c r="Q323" s="14" t="s">
        <v>25</v>
      </c>
      <c r="R323" s="14" t="s">
        <v>35</v>
      </c>
    </row>
    <row r="324" spans="1:18" s="14" customFormat="1" x14ac:dyDescent="0.25">
      <c r="A324" s="14" t="str">
        <f>"11016"</f>
        <v>11016</v>
      </c>
      <c r="B324" s="14" t="str">
        <f>"03020"</f>
        <v>03020</v>
      </c>
      <c r="C324" s="14" t="str">
        <f>"1400"</f>
        <v>1400</v>
      </c>
      <c r="D324" s="14" t="str">
        <f>""</f>
        <v/>
      </c>
      <c r="E324" s="14" t="s">
        <v>451</v>
      </c>
      <c r="F324" s="14" t="s">
        <v>220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34</v>
      </c>
      <c r="P324" s="14" t="s">
        <v>25</v>
      </c>
      <c r="Q324" s="14" t="s">
        <v>25</v>
      </c>
      <c r="R324" s="14" t="s">
        <v>35</v>
      </c>
    </row>
    <row r="325" spans="1:18" s="14" customFormat="1" x14ac:dyDescent="0.25">
      <c r="A325" s="14" t="str">
        <f>"11017"</f>
        <v>11017</v>
      </c>
      <c r="B325" s="14" t="str">
        <f>"03020"</f>
        <v>03020</v>
      </c>
      <c r="C325" s="14" t="str">
        <f>"1400"</f>
        <v>1400</v>
      </c>
      <c r="D325" s="14" t="str">
        <f>""</f>
        <v/>
      </c>
      <c r="E325" s="14" t="s">
        <v>452</v>
      </c>
      <c r="F325" s="14" t="s">
        <v>220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34</v>
      </c>
      <c r="P325" s="14" t="s">
        <v>25</v>
      </c>
      <c r="Q325" s="14" t="s">
        <v>25</v>
      </c>
      <c r="R325" s="14" t="s">
        <v>35</v>
      </c>
    </row>
    <row r="326" spans="1:18" s="14" customFormat="1" x14ac:dyDescent="0.25">
      <c r="A326" s="14" t="str">
        <f>"11018"</f>
        <v>11018</v>
      </c>
      <c r="B326" s="14" t="str">
        <f>"03020"</f>
        <v>03020</v>
      </c>
      <c r="C326" s="14" t="str">
        <f>"1400"</f>
        <v>1400</v>
      </c>
      <c r="D326" s="14" t="str">
        <f>""</f>
        <v/>
      </c>
      <c r="E326" s="14" t="s">
        <v>453</v>
      </c>
      <c r="F326" s="14" t="s">
        <v>220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34</v>
      </c>
      <c r="P326" s="14" t="s">
        <v>25</v>
      </c>
      <c r="Q326" s="14" t="s">
        <v>25</v>
      </c>
      <c r="R326" s="14" t="s">
        <v>35</v>
      </c>
    </row>
    <row r="327" spans="1:18" s="14" customFormat="1" x14ac:dyDescent="0.25">
      <c r="A327" s="14" t="str">
        <f>"11019"</f>
        <v>11019</v>
      </c>
      <c r="B327" s="14" t="str">
        <f>"03020"</f>
        <v>03020</v>
      </c>
      <c r="C327" s="14" t="str">
        <f>"1400"</f>
        <v>1400</v>
      </c>
      <c r="D327" s="14" t="str">
        <f>""</f>
        <v/>
      </c>
      <c r="E327" s="14" t="s">
        <v>454</v>
      </c>
      <c r="F327" s="14" t="s">
        <v>220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34</v>
      </c>
      <c r="P327" s="14" t="s">
        <v>226</v>
      </c>
      <c r="Q327" s="14" t="s">
        <v>25</v>
      </c>
      <c r="R327" s="14" t="s">
        <v>35</v>
      </c>
    </row>
    <row r="328" spans="1:18" s="14" customFormat="1" x14ac:dyDescent="0.25">
      <c r="A328" s="14" t="str">
        <f>"11020"</f>
        <v>11020</v>
      </c>
      <c r="B328" s="14" t="str">
        <f>"03020"</f>
        <v>03020</v>
      </c>
      <c r="C328" s="14" t="str">
        <f>"1400"</f>
        <v>1400</v>
      </c>
      <c r="D328" s="14" t="str">
        <f>""</f>
        <v/>
      </c>
      <c r="E328" s="14" t="s">
        <v>455</v>
      </c>
      <c r="F328" s="14" t="s">
        <v>220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34</v>
      </c>
      <c r="P328" s="14" t="s">
        <v>25</v>
      </c>
      <c r="Q328" s="14" t="s">
        <v>25</v>
      </c>
      <c r="R328" s="14" t="s">
        <v>35</v>
      </c>
    </row>
    <row r="329" spans="1:18" s="14" customFormat="1" x14ac:dyDescent="0.25">
      <c r="A329" s="14" t="str">
        <f>"11021"</f>
        <v>11021</v>
      </c>
      <c r="B329" s="14" t="str">
        <f>"03020"</f>
        <v>03020</v>
      </c>
      <c r="C329" s="14" t="str">
        <f>"1400"</f>
        <v>1400</v>
      </c>
      <c r="D329" s="14" t="str">
        <f>""</f>
        <v/>
      </c>
      <c r="E329" s="14" t="s">
        <v>456</v>
      </c>
      <c r="F329" s="14" t="s">
        <v>220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34</v>
      </c>
      <c r="P329" s="14" t="s">
        <v>25</v>
      </c>
      <c r="Q329" s="14" t="s">
        <v>25</v>
      </c>
      <c r="R329" s="14" t="s">
        <v>35</v>
      </c>
    </row>
    <row r="330" spans="1:18" s="14" customFormat="1" x14ac:dyDescent="0.25">
      <c r="A330" s="14" t="str">
        <f>"11023"</f>
        <v>11023</v>
      </c>
      <c r="B330" s="14" t="str">
        <f>"03000"</f>
        <v>03000</v>
      </c>
      <c r="C330" s="14" t="str">
        <f>"1400"</f>
        <v>1400</v>
      </c>
      <c r="D330" s="14" t="str">
        <f>""</f>
        <v/>
      </c>
      <c r="E330" s="14" t="s">
        <v>457</v>
      </c>
      <c r="F330" s="14" t="s">
        <v>217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34</v>
      </c>
      <c r="P330" s="14" t="s">
        <v>25</v>
      </c>
      <c r="Q330" s="14" t="s">
        <v>25</v>
      </c>
      <c r="R330" s="14" t="s">
        <v>35</v>
      </c>
    </row>
    <row r="331" spans="1:18" s="14" customFormat="1" x14ac:dyDescent="0.25">
      <c r="A331" s="14" t="str">
        <f>"11024"</f>
        <v>11024</v>
      </c>
      <c r="B331" s="14" t="str">
        <f>"01780"</f>
        <v>01780</v>
      </c>
      <c r="C331" s="14" t="str">
        <f>"1300"</f>
        <v>1300</v>
      </c>
      <c r="D331" s="14" t="str">
        <f>""</f>
        <v/>
      </c>
      <c r="E331" s="14" t="s">
        <v>458</v>
      </c>
      <c r="F331" s="14" t="s">
        <v>175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112</v>
      </c>
      <c r="L331" s="14" t="s">
        <v>113</v>
      </c>
      <c r="M331" s="14" t="s">
        <v>114</v>
      </c>
      <c r="P331" s="14" t="s">
        <v>25</v>
      </c>
      <c r="Q331" s="14" t="s">
        <v>25</v>
      </c>
      <c r="R331" s="14" t="s">
        <v>115</v>
      </c>
    </row>
    <row r="332" spans="1:18" s="14" customFormat="1" x14ac:dyDescent="0.25">
      <c r="A332" s="14" t="str">
        <f>"11025"</f>
        <v>11025</v>
      </c>
      <c r="B332" s="14" t="str">
        <f>"01000"</f>
        <v>01000</v>
      </c>
      <c r="C332" s="14" t="str">
        <f>"1400"</f>
        <v>1400</v>
      </c>
      <c r="D332" s="14" t="str">
        <f>""</f>
        <v/>
      </c>
      <c r="E332" s="14" t="s">
        <v>459</v>
      </c>
      <c r="F332" s="14" t="s">
        <v>44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37</v>
      </c>
      <c r="L332" s="14" t="s">
        <v>34</v>
      </c>
      <c r="P332" s="14" t="s">
        <v>25</v>
      </c>
      <c r="Q332" s="14" t="s">
        <v>25</v>
      </c>
      <c r="R332" s="14" t="s">
        <v>38</v>
      </c>
    </row>
    <row r="333" spans="1:18" s="14" customFormat="1" x14ac:dyDescent="0.25">
      <c r="A333" s="14" t="str">
        <f>"11026"</f>
        <v>11026</v>
      </c>
      <c r="B333" s="14" t="str">
        <f>"03000"</f>
        <v>03000</v>
      </c>
      <c r="C333" s="14" t="str">
        <f>"1400"</f>
        <v>1400</v>
      </c>
      <c r="D333" s="14" t="str">
        <f>""</f>
        <v/>
      </c>
      <c r="E333" s="14" t="s">
        <v>460</v>
      </c>
      <c r="F333" s="14" t="s">
        <v>217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34</v>
      </c>
      <c r="P333" s="14" t="s">
        <v>25</v>
      </c>
      <c r="Q333" s="14" t="s">
        <v>25</v>
      </c>
      <c r="R333" s="14" t="s">
        <v>35</v>
      </c>
    </row>
    <row r="334" spans="1:18" s="14" customFormat="1" x14ac:dyDescent="0.25">
      <c r="A334" s="14" t="str">
        <f>"11027"</f>
        <v>11027</v>
      </c>
      <c r="B334" s="14" t="str">
        <f>"03000"</f>
        <v>03000</v>
      </c>
      <c r="C334" s="14" t="str">
        <f>"1400"</f>
        <v>1400</v>
      </c>
      <c r="D334" s="14" t="str">
        <f>""</f>
        <v/>
      </c>
      <c r="E334" s="14" t="s">
        <v>461</v>
      </c>
      <c r="F334" s="14" t="s">
        <v>217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34</v>
      </c>
      <c r="P334" s="14" t="s">
        <v>24</v>
      </c>
      <c r="Q334" s="14" t="s">
        <v>25</v>
      </c>
      <c r="R334" s="14" t="s">
        <v>35</v>
      </c>
    </row>
    <row r="335" spans="1:18" s="14" customFormat="1" x14ac:dyDescent="0.25">
      <c r="A335" s="14" t="str">
        <f>"11028"</f>
        <v>11028</v>
      </c>
      <c r="B335" s="14" t="str">
        <f>"01035"</f>
        <v>01035</v>
      </c>
      <c r="C335" s="14" t="str">
        <f>"1600"</f>
        <v>1600</v>
      </c>
      <c r="D335" s="14" t="str">
        <f>""</f>
        <v/>
      </c>
      <c r="E335" s="14" t="s">
        <v>462</v>
      </c>
      <c r="F335" s="14" t="s">
        <v>56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37</v>
      </c>
      <c r="L335" s="14" t="s">
        <v>34</v>
      </c>
      <c r="P335" s="14" t="s">
        <v>25</v>
      </c>
      <c r="Q335" s="14" t="s">
        <v>25</v>
      </c>
      <c r="R335" s="14" t="s">
        <v>38</v>
      </c>
    </row>
    <row r="336" spans="1:18" s="14" customFormat="1" x14ac:dyDescent="0.25">
      <c r="A336" s="14" t="str">
        <f>"11029"</f>
        <v>11029</v>
      </c>
      <c r="B336" s="14" t="str">
        <f>"01000"</f>
        <v>01000</v>
      </c>
      <c r="C336" s="14" t="str">
        <f>"1400"</f>
        <v>1400</v>
      </c>
      <c r="D336" s="14" t="str">
        <f>""</f>
        <v/>
      </c>
      <c r="E336" s="14" t="s">
        <v>463</v>
      </c>
      <c r="F336" s="14" t="s">
        <v>44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37</v>
      </c>
      <c r="L336" s="14" t="s">
        <v>34</v>
      </c>
      <c r="P336" s="14" t="s">
        <v>25</v>
      </c>
      <c r="Q336" s="14" t="s">
        <v>25</v>
      </c>
      <c r="R336" s="14" t="s">
        <v>38</v>
      </c>
    </row>
    <row r="337" spans="1:18" s="14" customFormat="1" x14ac:dyDescent="0.25">
      <c r="A337" s="14" t="str">
        <f>"11030"</f>
        <v>11030</v>
      </c>
      <c r="B337" s="14" t="str">
        <f>"01780"</f>
        <v>01780</v>
      </c>
      <c r="C337" s="14" t="str">
        <f>"1300"</f>
        <v>1300</v>
      </c>
      <c r="D337" s="14" t="str">
        <f>""</f>
        <v/>
      </c>
      <c r="E337" s="14" t="s">
        <v>464</v>
      </c>
      <c r="F337" s="14" t="s">
        <v>175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37</v>
      </c>
      <c r="L337" s="14" t="s">
        <v>181</v>
      </c>
      <c r="M337" s="14" t="s">
        <v>113</v>
      </c>
      <c r="P337" s="14" t="s">
        <v>25</v>
      </c>
      <c r="Q337" s="14" t="s">
        <v>25</v>
      </c>
      <c r="R337" s="14" t="s">
        <v>115</v>
      </c>
    </row>
    <row r="338" spans="1:18" s="14" customFormat="1" x14ac:dyDescent="0.25">
      <c r="A338" s="14" t="str">
        <f>"11031"</f>
        <v>11031</v>
      </c>
      <c r="B338" s="14" t="str">
        <f>"01300"</f>
        <v>01300</v>
      </c>
      <c r="C338" s="14" t="str">
        <f>"1300"</f>
        <v>1300</v>
      </c>
      <c r="D338" s="14" t="str">
        <f>""</f>
        <v/>
      </c>
      <c r="E338" s="14" t="s">
        <v>465</v>
      </c>
      <c r="F338" s="14" t="s">
        <v>96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48</v>
      </c>
      <c r="L338" s="14" t="s">
        <v>97</v>
      </c>
      <c r="M338" s="14" t="s">
        <v>98</v>
      </c>
      <c r="P338" s="14" t="s">
        <v>25</v>
      </c>
      <c r="Q338" s="14" t="s">
        <v>25</v>
      </c>
      <c r="R338" s="14" t="s">
        <v>49</v>
      </c>
    </row>
    <row r="339" spans="1:18" s="14" customFormat="1" x14ac:dyDescent="0.25">
      <c r="A339" s="14" t="str">
        <f>"11033"</f>
        <v>11033</v>
      </c>
      <c r="B339" s="14" t="str">
        <f>"01400"</f>
        <v>01400</v>
      </c>
      <c r="C339" s="14" t="str">
        <f>"1300"</f>
        <v>1300</v>
      </c>
      <c r="D339" s="14" t="str">
        <f>""</f>
        <v/>
      </c>
      <c r="E339" s="14" t="s">
        <v>466</v>
      </c>
      <c r="F339" s="14" t="s">
        <v>117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69</v>
      </c>
      <c r="L339" s="14" t="s">
        <v>70</v>
      </c>
      <c r="M339" s="14" t="s">
        <v>71</v>
      </c>
      <c r="P339" s="14" t="s">
        <v>31</v>
      </c>
      <c r="Q339" s="14" t="s">
        <v>25</v>
      </c>
      <c r="R339" s="14" t="s">
        <v>467</v>
      </c>
    </row>
    <row r="340" spans="1:18" s="14" customFormat="1" x14ac:dyDescent="0.25">
      <c r="A340" s="14" t="str">
        <f>"11034"</f>
        <v>11034</v>
      </c>
      <c r="B340" s="14" t="str">
        <f>"01660"</f>
        <v>01660</v>
      </c>
      <c r="C340" s="14" t="str">
        <f>"1300"</f>
        <v>1300</v>
      </c>
      <c r="D340" s="14" t="str">
        <f>""</f>
        <v/>
      </c>
      <c r="E340" s="14" t="s">
        <v>468</v>
      </c>
      <c r="F340" s="14" t="s">
        <v>145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147</v>
      </c>
      <c r="L340" s="14" t="s">
        <v>148</v>
      </c>
      <c r="P340" s="14" t="s">
        <v>25</v>
      </c>
      <c r="Q340" s="14" t="s">
        <v>25</v>
      </c>
      <c r="R340" s="14" t="s">
        <v>146</v>
      </c>
    </row>
    <row r="341" spans="1:18" s="14" customFormat="1" x14ac:dyDescent="0.25">
      <c r="A341" s="14" t="str">
        <f>"11035"</f>
        <v>11035</v>
      </c>
      <c r="B341" s="14" t="str">
        <f>"01780"</f>
        <v>01780</v>
      </c>
      <c r="C341" s="14" t="str">
        <f>"1300"</f>
        <v>1300</v>
      </c>
      <c r="D341" s="14" t="str">
        <f>""</f>
        <v/>
      </c>
      <c r="E341" s="14" t="s">
        <v>469</v>
      </c>
      <c r="F341" s="14" t="s">
        <v>175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112</v>
      </c>
      <c r="L341" s="14" t="s">
        <v>113</v>
      </c>
      <c r="M341" s="14" t="s">
        <v>114</v>
      </c>
      <c r="P341" s="14" t="s">
        <v>25</v>
      </c>
      <c r="Q341" s="14" t="s">
        <v>25</v>
      </c>
      <c r="R341" s="14" t="s">
        <v>115</v>
      </c>
    </row>
    <row r="342" spans="1:18" s="14" customFormat="1" x14ac:dyDescent="0.25">
      <c r="A342" s="14" t="str">
        <f>"11036"</f>
        <v>11036</v>
      </c>
      <c r="B342" s="14" t="str">
        <f>"01240"</f>
        <v>01240</v>
      </c>
      <c r="C342" s="14" t="str">
        <f>"1400"</f>
        <v>1400</v>
      </c>
      <c r="D342" s="14" t="str">
        <f>""</f>
        <v/>
      </c>
      <c r="E342" s="14" t="s">
        <v>470</v>
      </c>
      <c r="F342" s="14" t="s">
        <v>80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81</v>
      </c>
      <c r="L342" s="14" t="s">
        <v>37</v>
      </c>
      <c r="P342" s="14" t="s">
        <v>25</v>
      </c>
      <c r="Q342" s="14" t="s">
        <v>25</v>
      </c>
      <c r="R342" s="14" t="s">
        <v>81</v>
      </c>
    </row>
    <row r="343" spans="1:18" s="14" customFormat="1" x14ac:dyDescent="0.25">
      <c r="A343" s="14" t="str">
        <f>"11037"</f>
        <v>11037</v>
      </c>
      <c r="B343" s="14" t="str">
        <f>"01441"</f>
        <v>01441</v>
      </c>
      <c r="C343" s="14" t="str">
        <f>"1300"</f>
        <v>1300</v>
      </c>
      <c r="D343" s="14" t="str">
        <f>""</f>
        <v/>
      </c>
      <c r="E343" s="14" t="s">
        <v>471</v>
      </c>
      <c r="F343" s="14" t="s">
        <v>125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124</v>
      </c>
      <c r="L343" s="14" t="s">
        <v>69</v>
      </c>
      <c r="M343" s="14" t="s">
        <v>70</v>
      </c>
      <c r="N343" s="14" t="s">
        <v>71</v>
      </c>
      <c r="P343" s="14" t="s">
        <v>25</v>
      </c>
      <c r="Q343" s="14" t="s">
        <v>25</v>
      </c>
      <c r="R343" s="14" t="s">
        <v>72</v>
      </c>
    </row>
    <row r="344" spans="1:18" s="14" customFormat="1" x14ac:dyDescent="0.25">
      <c r="A344" s="14" t="str">
        <f>"11038"</f>
        <v>11038</v>
      </c>
      <c r="B344" s="14" t="str">
        <f>"01180"</f>
        <v>01180</v>
      </c>
      <c r="C344" s="14" t="str">
        <f>"1100"</f>
        <v>1100</v>
      </c>
      <c r="D344" s="14" t="str">
        <f>""</f>
        <v/>
      </c>
      <c r="E344" s="14" t="s">
        <v>472</v>
      </c>
      <c r="F344" s="14" t="s">
        <v>65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37</v>
      </c>
      <c r="L344" s="14" t="s">
        <v>34</v>
      </c>
      <c r="P344" s="14" t="s">
        <v>25</v>
      </c>
      <c r="Q344" s="14" t="s">
        <v>25</v>
      </c>
      <c r="R344" s="14" t="s">
        <v>38</v>
      </c>
    </row>
    <row r="345" spans="1:18" s="14" customFormat="1" x14ac:dyDescent="0.25">
      <c r="A345" s="14" t="str">
        <f>"11039"</f>
        <v>11039</v>
      </c>
      <c r="B345" s="14" t="str">
        <f>"05020"</f>
        <v>05020</v>
      </c>
      <c r="C345" s="14" t="str">
        <f>"1700"</f>
        <v>1700</v>
      </c>
      <c r="D345" s="14" t="str">
        <f>""</f>
        <v/>
      </c>
      <c r="E345" s="14" t="s">
        <v>473</v>
      </c>
      <c r="F345" s="14" t="s">
        <v>374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375</v>
      </c>
      <c r="L345" s="14" t="s">
        <v>376</v>
      </c>
      <c r="M345" s="14" t="s">
        <v>47</v>
      </c>
      <c r="N345" s="14" t="s">
        <v>377</v>
      </c>
      <c r="P345" s="14" t="s">
        <v>25</v>
      </c>
      <c r="Q345" s="14" t="s">
        <v>25</v>
      </c>
      <c r="R345" s="14" t="s">
        <v>47</v>
      </c>
    </row>
    <row r="346" spans="1:18" s="14" customFormat="1" x14ac:dyDescent="0.25">
      <c r="A346" s="14" t="str">
        <f>"11040"</f>
        <v>11040</v>
      </c>
      <c r="B346" s="14" t="str">
        <f>"01670"</f>
        <v>01670</v>
      </c>
      <c r="C346" s="14" t="str">
        <f>"1100"</f>
        <v>1100</v>
      </c>
      <c r="D346" s="14" t="str">
        <f>""</f>
        <v/>
      </c>
      <c r="E346" s="14" t="s">
        <v>474</v>
      </c>
      <c r="F346" s="14" t="s">
        <v>151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147</v>
      </c>
      <c r="L346" s="14" t="s">
        <v>148</v>
      </c>
      <c r="P346" s="14" t="s">
        <v>25</v>
      </c>
      <c r="Q346" s="14" t="s">
        <v>25</v>
      </c>
      <c r="R346" s="14" t="s">
        <v>146</v>
      </c>
    </row>
    <row r="347" spans="1:18" s="14" customFormat="1" x14ac:dyDescent="0.25">
      <c r="A347" s="14" t="str">
        <f>"11041"</f>
        <v>11041</v>
      </c>
      <c r="B347" s="14" t="str">
        <f>"01040"</f>
        <v>01040</v>
      </c>
      <c r="C347" s="14" t="str">
        <f>"1100"</f>
        <v>1100</v>
      </c>
      <c r="D347" s="14" t="str">
        <f>""</f>
        <v/>
      </c>
      <c r="E347" s="14" t="s">
        <v>475</v>
      </c>
      <c r="F347" s="14" t="s">
        <v>57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53</v>
      </c>
      <c r="L347" s="14" t="s">
        <v>58</v>
      </c>
      <c r="M347" s="14" t="s">
        <v>55</v>
      </c>
      <c r="P347" s="14" t="s">
        <v>25</v>
      </c>
      <c r="Q347" s="14" t="s">
        <v>25</v>
      </c>
      <c r="R347" s="14" t="s">
        <v>58</v>
      </c>
    </row>
    <row r="348" spans="1:18" s="14" customFormat="1" x14ac:dyDescent="0.25">
      <c r="A348" s="14" t="str">
        <f>"11042"</f>
        <v>11042</v>
      </c>
      <c r="B348" s="14" t="str">
        <f>"01710"</f>
        <v>01710</v>
      </c>
      <c r="C348" s="14" t="str">
        <f>"1100"</f>
        <v>1100</v>
      </c>
      <c r="D348" s="14" t="str">
        <f>""</f>
        <v/>
      </c>
      <c r="E348" s="14" t="s">
        <v>476</v>
      </c>
      <c r="F348" s="14" t="s">
        <v>161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147</v>
      </c>
      <c r="L348" s="14" t="s">
        <v>154</v>
      </c>
      <c r="P348" s="14" t="s">
        <v>25</v>
      </c>
      <c r="Q348" s="14" t="s">
        <v>25</v>
      </c>
      <c r="R348" s="14" t="s">
        <v>146</v>
      </c>
    </row>
    <row r="349" spans="1:18" s="14" customFormat="1" x14ac:dyDescent="0.25">
      <c r="A349" s="14" t="str">
        <f>"11043"</f>
        <v>11043</v>
      </c>
      <c r="B349" s="14" t="str">
        <f>"01390"</f>
        <v>01390</v>
      </c>
      <c r="C349" s="14" t="str">
        <f>"1100"</f>
        <v>1100</v>
      </c>
      <c r="D349" s="14" t="str">
        <f>""</f>
        <v/>
      </c>
      <c r="E349" s="14" t="s">
        <v>477</v>
      </c>
      <c r="F349" s="14" t="s">
        <v>116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112</v>
      </c>
      <c r="L349" s="14" t="s">
        <v>113</v>
      </c>
      <c r="M349" s="14" t="s">
        <v>114</v>
      </c>
      <c r="P349" s="14" t="s">
        <v>25</v>
      </c>
      <c r="Q349" s="14" t="s">
        <v>25</v>
      </c>
      <c r="R349" s="14" t="s">
        <v>115</v>
      </c>
    </row>
    <row r="350" spans="1:18" s="14" customFormat="1" x14ac:dyDescent="0.25">
      <c r="A350" s="14" t="str">
        <f>"11044"</f>
        <v>11044</v>
      </c>
      <c r="B350" s="14" t="str">
        <f>"01780"</f>
        <v>01780</v>
      </c>
      <c r="C350" s="14" t="str">
        <f>"1300"</f>
        <v>1300</v>
      </c>
      <c r="D350" s="14" t="str">
        <f>""</f>
        <v/>
      </c>
      <c r="E350" s="14" t="s">
        <v>478</v>
      </c>
      <c r="F350" s="14" t="s">
        <v>175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112</v>
      </c>
      <c r="L350" s="14" t="s">
        <v>113</v>
      </c>
      <c r="M350" s="14" t="s">
        <v>114</v>
      </c>
      <c r="P350" s="14" t="s">
        <v>25</v>
      </c>
      <c r="Q350" s="14" t="s">
        <v>25</v>
      </c>
      <c r="R350" s="14" t="s">
        <v>115</v>
      </c>
    </row>
    <row r="351" spans="1:18" s="14" customFormat="1" x14ac:dyDescent="0.25">
      <c r="A351" s="14" t="str">
        <f>"11045"</f>
        <v>11045</v>
      </c>
      <c r="B351" s="14" t="str">
        <f>"01320"</f>
        <v>01320</v>
      </c>
      <c r="C351" s="14" t="str">
        <f>"1100"</f>
        <v>1100</v>
      </c>
      <c r="D351" s="14" t="str">
        <f>""</f>
        <v/>
      </c>
      <c r="E351" s="14" t="s">
        <v>479</v>
      </c>
      <c r="F351" s="14" t="s">
        <v>103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48</v>
      </c>
      <c r="L351" s="14" t="s">
        <v>97</v>
      </c>
      <c r="M351" s="14" t="s">
        <v>98</v>
      </c>
      <c r="P351" s="14" t="s">
        <v>25</v>
      </c>
      <c r="Q351" s="14" t="s">
        <v>25</v>
      </c>
      <c r="R351" s="14" t="s">
        <v>49</v>
      </c>
    </row>
    <row r="352" spans="1:18" s="14" customFormat="1" x14ac:dyDescent="0.25">
      <c r="A352" s="14" t="str">
        <f>"11046"</f>
        <v>11046</v>
      </c>
      <c r="B352" s="14" t="str">
        <f>"01780"</f>
        <v>01780</v>
      </c>
      <c r="C352" s="14" t="str">
        <f>"1300"</f>
        <v>1300</v>
      </c>
      <c r="D352" s="14" t="str">
        <f>""</f>
        <v/>
      </c>
      <c r="E352" s="14" t="s">
        <v>480</v>
      </c>
      <c r="F352" s="14" t="s">
        <v>175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112</v>
      </c>
      <c r="L352" s="14" t="s">
        <v>113</v>
      </c>
      <c r="M352" s="14" t="s">
        <v>114</v>
      </c>
      <c r="P352" s="14" t="s">
        <v>25</v>
      </c>
      <c r="Q352" s="14" t="s">
        <v>25</v>
      </c>
      <c r="R352" s="14" t="s">
        <v>115</v>
      </c>
    </row>
    <row r="353" spans="1:18" s="14" customFormat="1" x14ac:dyDescent="0.25">
      <c r="A353" s="14" t="str">
        <f>"11047"</f>
        <v>11047</v>
      </c>
      <c r="B353" s="14" t="str">
        <f>"03120"</f>
        <v>03120</v>
      </c>
      <c r="C353" s="14" t="str">
        <f>"1500"</f>
        <v>1500</v>
      </c>
      <c r="D353" s="14" t="str">
        <f>""</f>
        <v/>
      </c>
      <c r="E353" s="14" t="s">
        <v>481</v>
      </c>
      <c r="F353" s="14" t="s">
        <v>243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244</v>
      </c>
      <c r="P353" s="14" t="s">
        <v>25</v>
      </c>
      <c r="Q353" s="14" t="s">
        <v>25</v>
      </c>
      <c r="R353" s="14" t="s">
        <v>245</v>
      </c>
    </row>
    <row r="354" spans="1:18" s="14" customFormat="1" x14ac:dyDescent="0.25">
      <c r="A354" s="14" t="str">
        <f>"11048"</f>
        <v>11048</v>
      </c>
      <c r="B354" s="14" t="str">
        <f>"01370"</f>
        <v>01370</v>
      </c>
      <c r="C354" s="14" t="str">
        <f>"1300"</f>
        <v>1300</v>
      </c>
      <c r="D354" s="14" t="str">
        <f>""</f>
        <v/>
      </c>
      <c r="E354" s="14" t="s">
        <v>482</v>
      </c>
      <c r="F354" s="14" t="s">
        <v>108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109</v>
      </c>
      <c r="L354" s="14" t="s">
        <v>69</v>
      </c>
      <c r="M354" s="14" t="s">
        <v>70</v>
      </c>
      <c r="N354" s="14" t="s">
        <v>71</v>
      </c>
      <c r="P354" s="14" t="s">
        <v>31</v>
      </c>
      <c r="Q354" s="14" t="s">
        <v>25</v>
      </c>
      <c r="R354" s="14" t="s">
        <v>72</v>
      </c>
    </row>
    <row r="355" spans="1:18" s="14" customFormat="1" x14ac:dyDescent="0.25">
      <c r="A355" s="14" t="str">
        <f>"11049"</f>
        <v>11049</v>
      </c>
      <c r="B355" s="14" t="str">
        <f>"03020"</f>
        <v>03020</v>
      </c>
      <c r="C355" s="14" t="str">
        <f>"1400"</f>
        <v>1400</v>
      </c>
      <c r="D355" s="14" t="str">
        <f>""</f>
        <v/>
      </c>
      <c r="E355" s="14" t="s">
        <v>483</v>
      </c>
      <c r="F355" s="14" t="s">
        <v>220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34</v>
      </c>
      <c r="L355" s="14" t="s">
        <v>25</v>
      </c>
      <c r="P355" s="14" t="s">
        <v>25</v>
      </c>
      <c r="Q355" s="14" t="s">
        <v>25</v>
      </c>
      <c r="R355" s="14" t="s">
        <v>35</v>
      </c>
    </row>
    <row r="356" spans="1:18" s="14" customFormat="1" x14ac:dyDescent="0.25">
      <c r="A356" s="14" t="str">
        <f>"11050"</f>
        <v>11050</v>
      </c>
      <c r="B356" s="14" t="str">
        <f>"03020"</f>
        <v>03020</v>
      </c>
      <c r="C356" s="14" t="str">
        <f>"1400"</f>
        <v>1400</v>
      </c>
      <c r="D356" s="14" t="str">
        <f>""</f>
        <v/>
      </c>
      <c r="E356" s="14" t="s">
        <v>484</v>
      </c>
      <c r="F356" s="14" t="s">
        <v>220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34</v>
      </c>
      <c r="L356" s="14" t="s">
        <v>25</v>
      </c>
      <c r="P356" s="14" t="s">
        <v>25</v>
      </c>
      <c r="Q356" s="14" t="s">
        <v>25</v>
      </c>
      <c r="R356" s="14" t="s">
        <v>35</v>
      </c>
    </row>
    <row r="357" spans="1:18" s="14" customFormat="1" x14ac:dyDescent="0.25">
      <c r="A357" s="14" t="str">
        <f>"11051"</f>
        <v>11051</v>
      </c>
      <c r="B357" s="14" t="str">
        <f>"01770"</f>
        <v>01770</v>
      </c>
      <c r="C357" s="14" t="str">
        <f>"1100"</f>
        <v>1100</v>
      </c>
      <c r="D357" s="14" t="str">
        <f>""</f>
        <v/>
      </c>
      <c r="E357" s="14" t="s">
        <v>485</v>
      </c>
      <c r="F357" s="14" t="s">
        <v>172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147</v>
      </c>
      <c r="L357" s="14" t="s">
        <v>154</v>
      </c>
      <c r="P357" s="14" t="s">
        <v>25</v>
      </c>
      <c r="Q357" s="14" t="s">
        <v>25</v>
      </c>
      <c r="R357" s="14" t="s">
        <v>146</v>
      </c>
    </row>
    <row r="358" spans="1:18" s="14" customFormat="1" x14ac:dyDescent="0.25">
      <c r="A358" s="14" t="str">
        <f>"11052"</f>
        <v>11052</v>
      </c>
      <c r="B358" s="14" t="str">
        <f>"06000"</f>
        <v>06000</v>
      </c>
      <c r="C358" s="14" t="str">
        <f>"1700"</f>
        <v>1700</v>
      </c>
      <c r="D358" s="14" t="str">
        <f>""</f>
        <v/>
      </c>
      <c r="E358" s="14" t="s">
        <v>1921</v>
      </c>
      <c r="F358" s="14" t="s">
        <v>409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34</v>
      </c>
      <c r="L358" s="14" t="s">
        <v>25</v>
      </c>
      <c r="P358" s="14" t="s">
        <v>25</v>
      </c>
      <c r="Q358" s="14" t="s">
        <v>25</v>
      </c>
      <c r="R358" s="14" t="s">
        <v>35</v>
      </c>
    </row>
    <row r="359" spans="1:18" s="14" customFormat="1" x14ac:dyDescent="0.25">
      <c r="A359" s="14" t="str">
        <f>"12001"</f>
        <v>12001</v>
      </c>
      <c r="B359" s="14" t="str">
        <f>"04010"</f>
        <v>04010</v>
      </c>
      <c r="C359" s="14" t="str">
        <f>"1400"</f>
        <v>1400</v>
      </c>
      <c r="D359" s="14" t="str">
        <f>"12001"</f>
        <v>12001</v>
      </c>
      <c r="E359" s="14" t="s">
        <v>486</v>
      </c>
      <c r="F359" s="14" t="s">
        <v>361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30</v>
      </c>
      <c r="L359" s="14" t="s">
        <v>42</v>
      </c>
      <c r="P359" s="14" t="s">
        <v>24</v>
      </c>
      <c r="Q359" s="14" t="s">
        <v>24</v>
      </c>
      <c r="R359" s="14" t="s">
        <v>487</v>
      </c>
    </row>
    <row r="360" spans="1:18" s="14" customFormat="1" x14ac:dyDescent="0.25">
      <c r="A360" s="14" t="str">
        <f>"12002"</f>
        <v>12002</v>
      </c>
      <c r="B360" s="14" t="str">
        <f>"04010"</f>
        <v>04010</v>
      </c>
      <c r="C360" s="14" t="str">
        <f>"1400"</f>
        <v>1400</v>
      </c>
      <c r="D360" s="14" t="str">
        <f>""</f>
        <v/>
      </c>
      <c r="E360" s="14" t="s">
        <v>488</v>
      </c>
      <c r="F360" s="14" t="s">
        <v>361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30</v>
      </c>
      <c r="L360" s="14" t="s">
        <v>42</v>
      </c>
      <c r="P360" s="14" t="s">
        <v>24</v>
      </c>
      <c r="Q360" s="14" t="s">
        <v>24</v>
      </c>
      <c r="R360" s="14" t="s">
        <v>487</v>
      </c>
    </row>
    <row r="361" spans="1:18" s="14" customFormat="1" x14ac:dyDescent="0.25">
      <c r="A361" s="14" t="str">
        <f>"12005"</f>
        <v>12005</v>
      </c>
      <c r="B361" s="14" t="str">
        <f>"03000"</f>
        <v>03000</v>
      </c>
      <c r="C361" s="14" t="str">
        <f>"1400"</f>
        <v>1400</v>
      </c>
      <c r="D361" s="14" t="str">
        <f>""</f>
        <v/>
      </c>
      <c r="E361" s="14" t="s">
        <v>489</v>
      </c>
      <c r="F361" s="14" t="s">
        <v>217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34</v>
      </c>
      <c r="P361" s="14" t="s">
        <v>24</v>
      </c>
      <c r="Q361" s="14" t="s">
        <v>24</v>
      </c>
      <c r="R361" s="14" t="s">
        <v>35</v>
      </c>
    </row>
    <row r="362" spans="1:18" s="14" customFormat="1" x14ac:dyDescent="0.25">
      <c r="A362" s="14" t="str">
        <f>"13003"</f>
        <v>13003</v>
      </c>
      <c r="B362" s="14" t="str">
        <f>"03050"</f>
        <v>03050</v>
      </c>
      <c r="C362" s="14" t="str">
        <f>"1400"</f>
        <v>1400</v>
      </c>
      <c r="D362" s="14" t="str">
        <f>""</f>
        <v/>
      </c>
      <c r="E362" s="14" t="s">
        <v>490</v>
      </c>
      <c r="F362" s="14" t="s">
        <v>225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228</v>
      </c>
      <c r="P362" s="14" t="s">
        <v>260</v>
      </c>
      <c r="Q362" s="14" t="s">
        <v>260</v>
      </c>
      <c r="R362" s="14" t="s">
        <v>229</v>
      </c>
    </row>
    <row r="363" spans="1:18" s="14" customFormat="1" x14ac:dyDescent="0.25">
      <c r="A363" s="14" t="str">
        <f>"13007"</f>
        <v>13007</v>
      </c>
      <c r="B363" s="14" t="str">
        <f>"03050"</f>
        <v>03050</v>
      </c>
      <c r="C363" s="14" t="str">
        <f>"1400"</f>
        <v>1400</v>
      </c>
      <c r="D363" s="14" t="str">
        <f>"13007"</f>
        <v>13007</v>
      </c>
      <c r="E363" s="14" t="s">
        <v>491</v>
      </c>
      <c r="F363" s="14" t="s">
        <v>225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227</v>
      </c>
      <c r="P363" s="14" t="s">
        <v>260</v>
      </c>
      <c r="Q363" s="14" t="s">
        <v>260</v>
      </c>
      <c r="R363" s="14" t="s">
        <v>229</v>
      </c>
    </row>
    <row r="364" spans="1:18" s="14" customFormat="1" x14ac:dyDescent="0.25">
      <c r="A364" s="14" t="str">
        <f>"13008"</f>
        <v>13008</v>
      </c>
      <c r="B364" s="14" t="str">
        <f>"03094"</f>
        <v>03094</v>
      </c>
      <c r="C364" s="14" t="str">
        <f>"1400"</f>
        <v>1400</v>
      </c>
      <c r="D364" s="14" t="str">
        <f>"13008"</f>
        <v>13008</v>
      </c>
      <c r="E364" s="14" t="s">
        <v>492</v>
      </c>
      <c r="F364" s="14" t="s">
        <v>240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241</v>
      </c>
      <c r="L364" s="14" t="s">
        <v>231</v>
      </c>
      <c r="P364" s="14" t="s">
        <v>260</v>
      </c>
      <c r="Q364" s="14" t="s">
        <v>260</v>
      </c>
      <c r="R364" s="14" t="s">
        <v>242</v>
      </c>
    </row>
    <row r="365" spans="1:18" s="14" customFormat="1" x14ac:dyDescent="0.25">
      <c r="A365" s="14" t="str">
        <f>"14001"</f>
        <v>14001</v>
      </c>
      <c r="B365" s="14" t="str">
        <f>"03050"</f>
        <v>03050</v>
      </c>
      <c r="C365" s="14" t="str">
        <f>"1400"</f>
        <v>1400</v>
      </c>
      <c r="D365" s="14" t="str">
        <f>""</f>
        <v/>
      </c>
      <c r="E365" s="14" t="s">
        <v>493</v>
      </c>
      <c r="F365" s="14" t="s">
        <v>225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228</v>
      </c>
      <c r="P365" s="14" t="s">
        <v>260</v>
      </c>
      <c r="Q365" s="14" t="s">
        <v>260</v>
      </c>
      <c r="R365" s="14" t="s">
        <v>229</v>
      </c>
    </row>
    <row r="366" spans="1:18" s="14" customFormat="1" x14ac:dyDescent="0.25">
      <c r="A366" s="14" t="str">
        <f>"14002"</f>
        <v>14002</v>
      </c>
      <c r="B366" s="14" t="str">
        <f>"03050"</f>
        <v>03050</v>
      </c>
      <c r="C366" s="14" t="str">
        <f>"1400"</f>
        <v>1400</v>
      </c>
      <c r="D366" s="14" t="str">
        <f>""</f>
        <v/>
      </c>
      <c r="E366" s="14" t="s">
        <v>494</v>
      </c>
      <c r="F366" s="14" t="s">
        <v>225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228</v>
      </c>
      <c r="P366" s="14" t="s">
        <v>260</v>
      </c>
      <c r="Q366" s="14" t="s">
        <v>260</v>
      </c>
      <c r="R366" s="14" t="s">
        <v>229</v>
      </c>
    </row>
    <row r="367" spans="1:18" s="14" customFormat="1" x14ac:dyDescent="0.25">
      <c r="A367" s="14" t="str">
        <f>"14004"</f>
        <v>14004</v>
      </c>
      <c r="B367" s="14" t="str">
        <f>"03050"</f>
        <v>03050</v>
      </c>
      <c r="C367" s="14" t="str">
        <f>"1400"</f>
        <v>1400</v>
      </c>
      <c r="D367" s="14" t="str">
        <f>""</f>
        <v/>
      </c>
      <c r="E367" s="14" t="s">
        <v>495</v>
      </c>
      <c r="F367" s="14" t="s">
        <v>225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228</v>
      </c>
      <c r="P367" s="14" t="s">
        <v>260</v>
      </c>
      <c r="Q367" s="14" t="s">
        <v>260</v>
      </c>
      <c r="R367" s="14" t="s">
        <v>229</v>
      </c>
    </row>
    <row r="368" spans="1:18" s="14" customFormat="1" x14ac:dyDescent="0.25">
      <c r="A368" s="14" t="str">
        <f>"14006"</f>
        <v>14006</v>
      </c>
      <c r="B368" s="14" t="str">
        <f>"03050"</f>
        <v>03050</v>
      </c>
      <c r="C368" s="14" t="str">
        <f>"1400"</f>
        <v>1400</v>
      </c>
      <c r="D368" s="14" t="str">
        <f>""</f>
        <v/>
      </c>
      <c r="E368" s="14" t="s">
        <v>496</v>
      </c>
      <c r="F368" s="14" t="s">
        <v>225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228</v>
      </c>
      <c r="P368" s="14" t="s">
        <v>260</v>
      </c>
      <c r="Q368" s="14" t="s">
        <v>260</v>
      </c>
      <c r="R368" s="14" t="s">
        <v>229</v>
      </c>
    </row>
    <row r="369" spans="1:18" s="14" customFormat="1" x14ac:dyDescent="0.25">
      <c r="A369" s="14" t="str">
        <f>"14007"</f>
        <v>14007</v>
      </c>
      <c r="B369" s="14" t="str">
        <f>"03050"</f>
        <v>03050</v>
      </c>
      <c r="C369" s="14" t="str">
        <f>"1400"</f>
        <v>1400</v>
      </c>
      <c r="D369" s="14" t="str">
        <f>""</f>
        <v/>
      </c>
      <c r="E369" s="14" t="s">
        <v>497</v>
      </c>
      <c r="F369" s="14" t="s">
        <v>225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228</v>
      </c>
      <c r="P369" s="14" t="s">
        <v>260</v>
      </c>
      <c r="Q369" s="14" t="s">
        <v>260</v>
      </c>
      <c r="R369" s="14" t="s">
        <v>229</v>
      </c>
    </row>
    <row r="370" spans="1:18" s="14" customFormat="1" x14ac:dyDescent="0.25">
      <c r="A370" s="14" t="str">
        <f>"14008"</f>
        <v>14008</v>
      </c>
      <c r="B370" s="14" t="str">
        <f>"03050"</f>
        <v>03050</v>
      </c>
      <c r="C370" s="14" t="str">
        <f>"1400"</f>
        <v>1400</v>
      </c>
      <c r="D370" s="14" t="str">
        <f>""</f>
        <v/>
      </c>
      <c r="E370" s="14" t="s">
        <v>498</v>
      </c>
      <c r="F370" s="14" t="s">
        <v>225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228</v>
      </c>
      <c r="P370" s="14" t="s">
        <v>260</v>
      </c>
      <c r="Q370" s="14" t="s">
        <v>260</v>
      </c>
      <c r="R370" s="14" t="s">
        <v>229</v>
      </c>
    </row>
    <row r="371" spans="1:18" s="14" customFormat="1" x14ac:dyDescent="0.25">
      <c r="A371" s="14" t="str">
        <f>"14009"</f>
        <v>14009</v>
      </c>
      <c r="B371" s="14" t="str">
        <f>"03050"</f>
        <v>03050</v>
      </c>
      <c r="C371" s="14" t="str">
        <f>"1400"</f>
        <v>1400</v>
      </c>
      <c r="D371" s="14" t="str">
        <f>""</f>
        <v/>
      </c>
      <c r="E371" s="14" t="s">
        <v>499</v>
      </c>
      <c r="F371" s="14" t="s">
        <v>225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228</v>
      </c>
      <c r="P371" s="14" t="s">
        <v>260</v>
      </c>
      <c r="Q371" s="14" t="s">
        <v>260</v>
      </c>
      <c r="R371" s="14" t="s">
        <v>229</v>
      </c>
    </row>
    <row r="372" spans="1:18" s="14" customFormat="1" x14ac:dyDescent="0.25">
      <c r="A372" s="14" t="str">
        <f>"14010"</f>
        <v>14010</v>
      </c>
      <c r="B372" s="14" t="str">
        <f>"03050"</f>
        <v>03050</v>
      </c>
      <c r="C372" s="14" t="str">
        <f>"1400"</f>
        <v>1400</v>
      </c>
      <c r="D372" s="14" t="str">
        <f>""</f>
        <v/>
      </c>
      <c r="E372" s="14" t="s">
        <v>500</v>
      </c>
      <c r="F372" s="14" t="s">
        <v>225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228</v>
      </c>
      <c r="P372" s="14" t="s">
        <v>260</v>
      </c>
      <c r="Q372" s="14" t="s">
        <v>260</v>
      </c>
      <c r="R372" s="14" t="s">
        <v>229</v>
      </c>
    </row>
    <row r="373" spans="1:18" s="14" customFormat="1" x14ac:dyDescent="0.25">
      <c r="A373" s="14" t="str">
        <f>"14011"</f>
        <v>14011</v>
      </c>
      <c r="B373" s="14" t="str">
        <f>"03050"</f>
        <v>03050</v>
      </c>
      <c r="C373" s="14" t="str">
        <f>"1400"</f>
        <v>1400</v>
      </c>
      <c r="D373" s="14" t="str">
        <f>""</f>
        <v/>
      </c>
      <c r="E373" s="14" t="s">
        <v>501</v>
      </c>
      <c r="F373" s="14" t="s">
        <v>225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228</v>
      </c>
      <c r="P373" s="14" t="s">
        <v>260</v>
      </c>
      <c r="Q373" s="14" t="s">
        <v>260</v>
      </c>
      <c r="R373" s="14" t="s">
        <v>229</v>
      </c>
    </row>
    <row r="374" spans="1:18" s="14" customFormat="1" x14ac:dyDescent="0.25">
      <c r="A374" s="14" t="str">
        <f>"14012"</f>
        <v>14012</v>
      </c>
      <c r="B374" s="14" t="str">
        <f>"03050"</f>
        <v>03050</v>
      </c>
      <c r="C374" s="14" t="str">
        <f>"1400"</f>
        <v>1400</v>
      </c>
      <c r="D374" s="14" t="str">
        <f>""</f>
        <v/>
      </c>
      <c r="E374" s="14" t="s">
        <v>502</v>
      </c>
      <c r="F374" s="14" t="s">
        <v>225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228</v>
      </c>
      <c r="P374" s="14" t="s">
        <v>260</v>
      </c>
      <c r="Q374" s="14" t="s">
        <v>260</v>
      </c>
      <c r="R374" s="14" t="s">
        <v>229</v>
      </c>
    </row>
    <row r="375" spans="1:18" s="14" customFormat="1" x14ac:dyDescent="0.25">
      <c r="A375" s="14" t="str">
        <f>"14013"</f>
        <v>14013</v>
      </c>
      <c r="B375" s="14" t="str">
        <f>"03050"</f>
        <v>03050</v>
      </c>
      <c r="C375" s="14" t="str">
        <f>"1400"</f>
        <v>1400</v>
      </c>
      <c r="D375" s="14" t="str">
        <f>""</f>
        <v/>
      </c>
      <c r="E375" s="14" t="s">
        <v>503</v>
      </c>
      <c r="F375" s="14" t="s">
        <v>225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228</v>
      </c>
      <c r="P375" s="14" t="s">
        <v>260</v>
      </c>
      <c r="Q375" s="14" t="s">
        <v>260</v>
      </c>
      <c r="R375" s="14" t="s">
        <v>229</v>
      </c>
    </row>
    <row r="376" spans="1:18" s="14" customFormat="1" x14ac:dyDescent="0.25">
      <c r="A376" s="14" t="str">
        <f>"14014"</f>
        <v>14014</v>
      </c>
      <c r="B376" s="14" t="str">
        <f>"03050"</f>
        <v>03050</v>
      </c>
      <c r="C376" s="14" t="str">
        <f>"1400"</f>
        <v>1400</v>
      </c>
      <c r="D376" s="14" t="str">
        <f>""</f>
        <v/>
      </c>
      <c r="E376" s="14" t="s">
        <v>504</v>
      </c>
      <c r="F376" s="14" t="s">
        <v>225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228</v>
      </c>
      <c r="P376" s="14" t="s">
        <v>260</v>
      </c>
      <c r="Q376" s="14" t="s">
        <v>260</v>
      </c>
      <c r="R376" s="14" t="s">
        <v>229</v>
      </c>
    </row>
    <row r="377" spans="1:18" s="14" customFormat="1" x14ac:dyDescent="0.25">
      <c r="A377" s="14" t="str">
        <f>"14015"</f>
        <v>14015</v>
      </c>
      <c r="B377" s="14" t="str">
        <f>"03050"</f>
        <v>03050</v>
      </c>
      <c r="C377" s="14" t="str">
        <f>"1400"</f>
        <v>1400</v>
      </c>
      <c r="D377" s="14" t="str">
        <f>""</f>
        <v/>
      </c>
      <c r="E377" s="14" t="s">
        <v>505</v>
      </c>
      <c r="F377" s="14" t="s">
        <v>225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228</v>
      </c>
      <c r="P377" s="14" t="s">
        <v>260</v>
      </c>
      <c r="Q377" s="14" t="s">
        <v>260</v>
      </c>
      <c r="R377" s="14" t="s">
        <v>229</v>
      </c>
    </row>
    <row r="378" spans="1:18" s="14" customFormat="1" x14ac:dyDescent="0.25">
      <c r="A378" s="14" t="str">
        <f>"14016"</f>
        <v>14016</v>
      </c>
      <c r="B378" s="14" t="str">
        <f>"03050"</f>
        <v>03050</v>
      </c>
      <c r="C378" s="14" t="str">
        <f>"1400"</f>
        <v>1400</v>
      </c>
      <c r="D378" s="14" t="str">
        <f>""</f>
        <v/>
      </c>
      <c r="E378" s="14" t="s">
        <v>506</v>
      </c>
      <c r="F378" s="14" t="s">
        <v>225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228</v>
      </c>
      <c r="P378" s="14" t="s">
        <v>260</v>
      </c>
      <c r="Q378" s="14" t="s">
        <v>260</v>
      </c>
      <c r="R378" s="14" t="s">
        <v>229</v>
      </c>
    </row>
    <row r="379" spans="1:18" s="14" customFormat="1" x14ac:dyDescent="0.25">
      <c r="A379" s="14" t="str">
        <f>"14017"</f>
        <v>14017</v>
      </c>
      <c r="B379" s="14" t="str">
        <f>"03050"</f>
        <v>03050</v>
      </c>
      <c r="C379" s="14" t="str">
        <f>"1400"</f>
        <v>1400</v>
      </c>
      <c r="D379" s="14" t="str">
        <f>""</f>
        <v/>
      </c>
      <c r="E379" s="14" t="s">
        <v>507</v>
      </c>
      <c r="F379" s="14" t="s">
        <v>225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228</v>
      </c>
      <c r="P379" s="14" t="s">
        <v>260</v>
      </c>
      <c r="Q379" s="14" t="s">
        <v>260</v>
      </c>
      <c r="R379" s="14" t="s">
        <v>229</v>
      </c>
    </row>
    <row r="380" spans="1:18" s="14" customFormat="1" x14ac:dyDescent="0.25">
      <c r="A380" s="14" t="str">
        <f>"15001"</f>
        <v>15001</v>
      </c>
      <c r="B380" s="14" t="str">
        <f>"03769"</f>
        <v>03769</v>
      </c>
      <c r="C380" s="14" t="str">
        <f>"1700"</f>
        <v>1700</v>
      </c>
      <c r="D380" s="14" t="str">
        <f>""</f>
        <v/>
      </c>
      <c r="E380" s="14" t="s">
        <v>508</v>
      </c>
      <c r="F380" s="14" t="s">
        <v>509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34</v>
      </c>
      <c r="P380" s="14" t="s">
        <v>260</v>
      </c>
      <c r="Q380" s="14" t="s">
        <v>25</v>
      </c>
      <c r="R380" s="14" t="s">
        <v>35</v>
      </c>
    </row>
    <row r="381" spans="1:18" s="14" customFormat="1" x14ac:dyDescent="0.25">
      <c r="A381" s="14" t="str">
        <f>"15001"</f>
        <v>15001</v>
      </c>
      <c r="B381" s="14" t="str">
        <f>"03954"</f>
        <v>03954</v>
      </c>
      <c r="C381" s="14" t="str">
        <f>"1400"</f>
        <v>1400</v>
      </c>
      <c r="D381" s="14" t="str">
        <f>""</f>
        <v/>
      </c>
      <c r="E381" s="14" t="s">
        <v>508</v>
      </c>
      <c r="F381" s="14" t="s">
        <v>510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318</v>
      </c>
      <c r="L381" s="14" t="s">
        <v>319</v>
      </c>
      <c r="P381" s="14" t="s">
        <v>260</v>
      </c>
      <c r="Q381" s="14" t="s">
        <v>25</v>
      </c>
      <c r="R381" s="14" t="s">
        <v>318</v>
      </c>
    </row>
    <row r="382" spans="1:18" s="14" customFormat="1" x14ac:dyDescent="0.25">
      <c r="A382" s="14" t="str">
        <f>"15001"</f>
        <v>15001</v>
      </c>
      <c r="B382" s="14" t="str">
        <f>"03954"</f>
        <v>03954</v>
      </c>
      <c r="C382" s="14" t="str">
        <f>"1800"</f>
        <v>1800</v>
      </c>
      <c r="D382" s="14" t="str">
        <f>""</f>
        <v/>
      </c>
      <c r="E382" s="14" t="s">
        <v>508</v>
      </c>
      <c r="F382" s="14" t="s">
        <v>510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318</v>
      </c>
      <c r="L382" s="14" t="s">
        <v>319</v>
      </c>
      <c r="P382" s="14" t="s">
        <v>260</v>
      </c>
      <c r="Q382" s="14" t="s">
        <v>25</v>
      </c>
      <c r="R382" s="14" t="s">
        <v>318</v>
      </c>
    </row>
    <row r="383" spans="1:18" s="14" customFormat="1" x14ac:dyDescent="0.25">
      <c r="A383" s="14" t="str">
        <f>"15002"</f>
        <v>15002</v>
      </c>
      <c r="B383" s="14" t="str">
        <f>"03769"</f>
        <v>03769</v>
      </c>
      <c r="C383" s="14" t="str">
        <f>"1400"</f>
        <v>1400</v>
      </c>
      <c r="D383" s="14" t="str">
        <f>""</f>
        <v/>
      </c>
      <c r="E383" s="14" t="s">
        <v>511</v>
      </c>
      <c r="F383" s="14" t="s">
        <v>509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34</v>
      </c>
      <c r="P383" s="14" t="s">
        <v>260</v>
      </c>
      <c r="Q383" s="14" t="s">
        <v>25</v>
      </c>
      <c r="R383" s="14" t="s">
        <v>35</v>
      </c>
    </row>
    <row r="384" spans="1:18" s="14" customFormat="1" x14ac:dyDescent="0.25">
      <c r="A384" s="14" t="str">
        <f>"15002"</f>
        <v>15002</v>
      </c>
      <c r="B384" s="14" t="str">
        <f>"03942"</f>
        <v>03942</v>
      </c>
      <c r="C384" s="14" t="str">
        <f>"1400"</f>
        <v>1400</v>
      </c>
      <c r="D384" s="14" t="str">
        <f>""</f>
        <v/>
      </c>
      <c r="E384" s="14" t="s">
        <v>511</v>
      </c>
      <c r="F384" s="14" t="s">
        <v>512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318</v>
      </c>
      <c r="L384" s="14" t="s">
        <v>319</v>
      </c>
      <c r="P384" s="14" t="s">
        <v>260</v>
      </c>
      <c r="Q384" s="14" t="s">
        <v>25</v>
      </c>
      <c r="R384" s="14" t="s">
        <v>318</v>
      </c>
    </row>
    <row r="385" spans="1:18" s="14" customFormat="1" x14ac:dyDescent="0.25">
      <c r="A385" s="14" t="str">
        <f>"15002"</f>
        <v>15002</v>
      </c>
      <c r="B385" s="14" t="str">
        <f>"03942"</f>
        <v>03942</v>
      </c>
      <c r="C385" s="14" t="str">
        <f>"1800"</f>
        <v>1800</v>
      </c>
      <c r="D385" s="14" t="str">
        <f>""</f>
        <v/>
      </c>
      <c r="E385" s="14" t="s">
        <v>511</v>
      </c>
      <c r="F385" s="14" t="s">
        <v>512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318</v>
      </c>
      <c r="L385" s="14" t="s">
        <v>319</v>
      </c>
      <c r="P385" s="14" t="s">
        <v>260</v>
      </c>
      <c r="Q385" s="14" t="s">
        <v>25</v>
      </c>
      <c r="R385" s="14" t="s">
        <v>318</v>
      </c>
    </row>
    <row r="386" spans="1:18" s="14" customFormat="1" x14ac:dyDescent="0.25">
      <c r="A386" s="14" t="str">
        <f>"15003"</f>
        <v>15003</v>
      </c>
      <c r="B386" s="14" t="str">
        <f>"03769"</f>
        <v>03769</v>
      </c>
      <c r="C386" s="14" t="str">
        <f>"1700"</f>
        <v>1700</v>
      </c>
      <c r="D386" s="14" t="str">
        <f>""</f>
        <v/>
      </c>
      <c r="E386" s="14" t="s">
        <v>513</v>
      </c>
      <c r="F386" s="14" t="s">
        <v>509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34</v>
      </c>
      <c r="P386" s="14" t="s">
        <v>260</v>
      </c>
      <c r="Q386" s="14" t="s">
        <v>25</v>
      </c>
      <c r="R386" s="14" t="s">
        <v>35</v>
      </c>
    </row>
    <row r="387" spans="1:18" s="14" customFormat="1" x14ac:dyDescent="0.25">
      <c r="A387" s="14" t="str">
        <f>"15003"</f>
        <v>15003</v>
      </c>
      <c r="B387" s="14" t="str">
        <f>"03930"</f>
        <v>03930</v>
      </c>
      <c r="C387" s="14" t="str">
        <f>"1400"</f>
        <v>1400</v>
      </c>
      <c r="D387" s="14" t="str">
        <f>""</f>
        <v/>
      </c>
      <c r="E387" s="14" t="s">
        <v>513</v>
      </c>
      <c r="F387" s="14" t="s">
        <v>514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318</v>
      </c>
      <c r="L387" s="14" t="s">
        <v>319</v>
      </c>
      <c r="P387" s="14" t="s">
        <v>260</v>
      </c>
      <c r="Q387" s="14" t="s">
        <v>25</v>
      </c>
      <c r="R387" s="14" t="s">
        <v>318</v>
      </c>
    </row>
    <row r="388" spans="1:18" s="14" customFormat="1" x14ac:dyDescent="0.25">
      <c r="A388" s="14" t="str">
        <f>"15003"</f>
        <v>15003</v>
      </c>
      <c r="B388" s="14" t="str">
        <f>"03930"</f>
        <v>03930</v>
      </c>
      <c r="C388" s="14" t="str">
        <f>"1800"</f>
        <v>1800</v>
      </c>
      <c r="D388" s="14" t="str">
        <f>""</f>
        <v/>
      </c>
      <c r="E388" s="14" t="s">
        <v>513</v>
      </c>
      <c r="F388" s="14" t="s">
        <v>514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318</v>
      </c>
      <c r="L388" s="14" t="s">
        <v>319</v>
      </c>
      <c r="P388" s="14" t="s">
        <v>260</v>
      </c>
      <c r="Q388" s="14" t="s">
        <v>25</v>
      </c>
      <c r="R388" s="14" t="s">
        <v>318</v>
      </c>
    </row>
    <row r="389" spans="1:18" s="14" customFormat="1" x14ac:dyDescent="0.25">
      <c r="A389" s="14" t="str">
        <f>"15004"</f>
        <v>15004</v>
      </c>
      <c r="B389" s="14" t="str">
        <f>"03769"</f>
        <v>03769</v>
      </c>
      <c r="C389" s="14" t="str">
        <f>"1700"</f>
        <v>1700</v>
      </c>
      <c r="D389" s="14" t="str">
        <f>""</f>
        <v/>
      </c>
      <c r="E389" s="14" t="s">
        <v>515</v>
      </c>
      <c r="F389" s="14" t="s">
        <v>509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37</v>
      </c>
      <c r="L389" s="14" t="s">
        <v>38</v>
      </c>
      <c r="P389" s="14" t="s">
        <v>260</v>
      </c>
      <c r="Q389" s="14" t="s">
        <v>25</v>
      </c>
      <c r="R389" s="14" t="s">
        <v>38</v>
      </c>
    </row>
    <row r="390" spans="1:18" s="14" customFormat="1" x14ac:dyDescent="0.25">
      <c r="A390" s="14" t="str">
        <f>"15004"</f>
        <v>15004</v>
      </c>
      <c r="B390" s="14" t="str">
        <f>"03931"</f>
        <v>03931</v>
      </c>
      <c r="C390" s="14" t="str">
        <f>"1400"</f>
        <v>1400</v>
      </c>
      <c r="D390" s="14" t="str">
        <f>""</f>
        <v/>
      </c>
      <c r="E390" s="14" t="s">
        <v>515</v>
      </c>
      <c r="F390" s="14" t="s">
        <v>516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318</v>
      </c>
      <c r="L390" s="14" t="s">
        <v>319</v>
      </c>
      <c r="P390" s="14" t="s">
        <v>260</v>
      </c>
      <c r="Q390" s="14" t="s">
        <v>25</v>
      </c>
      <c r="R390" s="14" t="s">
        <v>318</v>
      </c>
    </row>
    <row r="391" spans="1:18" s="14" customFormat="1" x14ac:dyDescent="0.25">
      <c r="A391" s="14" t="str">
        <f>"15005"</f>
        <v>15005</v>
      </c>
      <c r="B391" s="14" t="str">
        <f>"03769"</f>
        <v>03769</v>
      </c>
      <c r="C391" s="14" t="str">
        <f>"1300"</f>
        <v>1300</v>
      </c>
      <c r="D391" s="14" t="str">
        <f>""</f>
        <v/>
      </c>
      <c r="E391" s="14" t="s">
        <v>517</v>
      </c>
      <c r="F391" s="14" t="s">
        <v>509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34</v>
      </c>
      <c r="P391" s="14" t="s">
        <v>260</v>
      </c>
      <c r="Q391" s="14" t="s">
        <v>25</v>
      </c>
      <c r="R391" s="14" t="s">
        <v>35</v>
      </c>
    </row>
    <row r="392" spans="1:18" s="14" customFormat="1" x14ac:dyDescent="0.25">
      <c r="A392" s="14" t="str">
        <f>"15005"</f>
        <v>15005</v>
      </c>
      <c r="B392" s="14" t="str">
        <f>"03926"</f>
        <v>03926</v>
      </c>
      <c r="C392" s="14" t="str">
        <f>"1400"</f>
        <v>1400</v>
      </c>
      <c r="D392" s="14" t="str">
        <f>""</f>
        <v/>
      </c>
      <c r="E392" s="14" t="s">
        <v>517</v>
      </c>
      <c r="F392" s="14" t="s">
        <v>518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318</v>
      </c>
      <c r="L392" s="14" t="s">
        <v>319</v>
      </c>
      <c r="P392" s="14" t="s">
        <v>260</v>
      </c>
      <c r="Q392" s="14" t="s">
        <v>25</v>
      </c>
      <c r="R392" s="14" t="s">
        <v>318</v>
      </c>
    </row>
    <row r="393" spans="1:18" s="14" customFormat="1" x14ac:dyDescent="0.25">
      <c r="A393" s="14" t="str">
        <f>"15005"</f>
        <v>15005</v>
      </c>
      <c r="B393" s="14" t="str">
        <f>"03926"</f>
        <v>03926</v>
      </c>
      <c r="C393" s="14" t="str">
        <f>"1800"</f>
        <v>1800</v>
      </c>
      <c r="D393" s="14" t="str">
        <f>""</f>
        <v/>
      </c>
      <c r="E393" s="14" t="s">
        <v>517</v>
      </c>
      <c r="F393" s="14" t="s">
        <v>518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318</v>
      </c>
      <c r="L393" s="14" t="s">
        <v>319</v>
      </c>
      <c r="P393" s="14" t="s">
        <v>260</v>
      </c>
      <c r="Q393" s="14" t="s">
        <v>25</v>
      </c>
      <c r="R393" s="14" t="s">
        <v>318</v>
      </c>
    </row>
    <row r="394" spans="1:18" s="14" customFormat="1" x14ac:dyDescent="0.25">
      <c r="A394" s="14" t="str">
        <f>"15009"</f>
        <v>15009</v>
      </c>
      <c r="B394" s="14" t="str">
        <f>"03769"</f>
        <v>03769</v>
      </c>
      <c r="C394" s="14" t="str">
        <f>"1700"</f>
        <v>1700</v>
      </c>
      <c r="D394" s="14" t="str">
        <f>""</f>
        <v/>
      </c>
      <c r="E394" s="14" t="s">
        <v>519</v>
      </c>
      <c r="F394" s="14" t="s">
        <v>509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34</v>
      </c>
      <c r="L394" s="14" t="s">
        <v>25</v>
      </c>
      <c r="M394" s="14" t="s">
        <v>414</v>
      </c>
      <c r="P394" s="14" t="s">
        <v>260</v>
      </c>
      <c r="Q394" s="14" t="s">
        <v>25</v>
      </c>
      <c r="R394" s="14" t="s">
        <v>35</v>
      </c>
    </row>
    <row r="395" spans="1:18" s="14" customFormat="1" x14ac:dyDescent="0.25">
      <c r="A395" s="14" t="str">
        <f>"16001"</f>
        <v>16001</v>
      </c>
      <c r="B395" s="14" t="str">
        <f>"05000"</f>
        <v>05000</v>
      </c>
      <c r="C395" s="14" t="str">
        <f>"1700"</f>
        <v>1700</v>
      </c>
      <c r="D395" s="14" t="str">
        <f>"16001"</f>
        <v>16001</v>
      </c>
      <c r="E395" s="14" t="s">
        <v>520</v>
      </c>
      <c r="F395" s="14" t="s">
        <v>366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47</v>
      </c>
      <c r="L395" s="14" t="s">
        <v>37</v>
      </c>
      <c r="P395" s="14" t="s">
        <v>31</v>
      </c>
      <c r="Q395" s="14" t="s">
        <v>25</v>
      </c>
      <c r="R395" s="14" t="s">
        <v>367</v>
      </c>
    </row>
    <row r="396" spans="1:18" s="14" customFormat="1" x14ac:dyDescent="0.25">
      <c r="A396" s="14" t="str">
        <f>"16002"</f>
        <v>16002</v>
      </c>
      <c r="B396" s="14" t="str">
        <f>"05110"</f>
        <v>05110</v>
      </c>
      <c r="C396" s="14" t="str">
        <f>"1700"</f>
        <v>1700</v>
      </c>
      <c r="D396" s="14" t="str">
        <f>"16002"</f>
        <v>16002</v>
      </c>
      <c r="E396" s="14" t="s">
        <v>521</v>
      </c>
      <c r="F396" s="14" t="s">
        <v>391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392</v>
      </c>
      <c r="L396" s="14" t="s">
        <v>522</v>
      </c>
      <c r="P396" s="14" t="s">
        <v>31</v>
      </c>
      <c r="Q396" s="14" t="s">
        <v>25</v>
      </c>
      <c r="R396" s="14" t="s">
        <v>392</v>
      </c>
    </row>
    <row r="397" spans="1:18" s="14" customFormat="1" x14ac:dyDescent="0.25">
      <c r="A397" s="14" t="str">
        <f>"16004"</f>
        <v>16004</v>
      </c>
      <c r="B397" s="14" t="str">
        <f>"05030"</f>
        <v>05030</v>
      </c>
      <c r="C397" s="14" t="str">
        <f>"1700"</f>
        <v>1700</v>
      </c>
      <c r="D397" s="14" t="str">
        <f>"16004"</f>
        <v>16004</v>
      </c>
      <c r="E397" s="14" t="s">
        <v>523</v>
      </c>
      <c r="F397" s="14" t="s">
        <v>378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377</v>
      </c>
      <c r="L397" s="14" t="s">
        <v>47</v>
      </c>
      <c r="M397" s="14" t="s">
        <v>370</v>
      </c>
      <c r="P397" s="14" t="s">
        <v>31</v>
      </c>
      <c r="Q397" s="14" t="s">
        <v>25</v>
      </c>
      <c r="R397" s="14" t="s">
        <v>379</v>
      </c>
    </row>
    <row r="398" spans="1:18" s="14" customFormat="1" x14ac:dyDescent="0.25">
      <c r="A398" s="14" t="str">
        <f>"16005"</f>
        <v>16005</v>
      </c>
      <c r="B398" s="14" t="str">
        <f>"06000"</f>
        <v>06000</v>
      </c>
      <c r="C398" s="14" t="str">
        <f>"1700"</f>
        <v>1700</v>
      </c>
      <c r="D398" s="14" t="str">
        <f>"16005"</f>
        <v>16005</v>
      </c>
      <c r="E398" s="14" t="s">
        <v>524</v>
      </c>
      <c r="F398" s="14" t="s">
        <v>409</v>
      </c>
      <c r="G398" s="14" t="str">
        <f>""</f>
        <v/>
      </c>
      <c r="H398" s="14" t="str">
        <f>" 10"</f>
        <v xml:space="preserve"> 10</v>
      </c>
      <c r="I398" s="14">
        <v>0.01</v>
      </c>
      <c r="J398" s="14">
        <v>500</v>
      </c>
      <c r="K398" s="14" t="s">
        <v>410</v>
      </c>
      <c r="L398" s="14" t="s">
        <v>411</v>
      </c>
      <c r="M398" s="14" t="s">
        <v>412</v>
      </c>
      <c r="N398" s="14" t="s">
        <v>413</v>
      </c>
      <c r="P398" s="14" t="s">
        <v>39</v>
      </c>
      <c r="Q398" s="14" t="s">
        <v>25</v>
      </c>
      <c r="R398" s="14" t="s">
        <v>410</v>
      </c>
    </row>
    <row r="399" spans="1:18" s="14" customFormat="1" x14ac:dyDescent="0.25">
      <c r="A399" s="14" t="str">
        <f>"16005"</f>
        <v>16005</v>
      </c>
      <c r="B399" s="14" t="str">
        <f>"06000"</f>
        <v>06000</v>
      </c>
      <c r="C399" s="14" t="str">
        <f>"1700"</f>
        <v>1700</v>
      </c>
      <c r="D399" s="14" t="str">
        <f>"16005"</f>
        <v>16005</v>
      </c>
      <c r="E399" s="14" t="s">
        <v>524</v>
      </c>
      <c r="F399" s="14" t="s">
        <v>409</v>
      </c>
      <c r="G399" s="14" t="str">
        <f>""</f>
        <v/>
      </c>
      <c r="H399" s="14" t="str">
        <f>" 20"</f>
        <v xml:space="preserve"> 20</v>
      </c>
      <c r="I399" s="14">
        <v>500.01</v>
      </c>
      <c r="J399" s="14">
        <v>9999999.9900000002</v>
      </c>
      <c r="K399" s="14" t="s">
        <v>414</v>
      </c>
      <c r="L399" s="14" t="s">
        <v>411</v>
      </c>
      <c r="M399" s="14" t="s">
        <v>412</v>
      </c>
      <c r="P399" s="14" t="s">
        <v>39</v>
      </c>
      <c r="Q399" s="14" t="s">
        <v>25</v>
      </c>
      <c r="R399" s="14" t="s">
        <v>410</v>
      </c>
    </row>
    <row r="400" spans="1:18" s="14" customFormat="1" x14ac:dyDescent="0.25">
      <c r="A400" s="14" t="str">
        <f>"16006"</f>
        <v>16006</v>
      </c>
      <c r="B400" s="14" t="str">
        <f>"05110"</f>
        <v>05110</v>
      </c>
      <c r="C400" s="14" t="str">
        <f>"1700"</f>
        <v>1700</v>
      </c>
      <c r="D400" s="14" t="str">
        <f>"16006"</f>
        <v>16006</v>
      </c>
      <c r="E400" s="14" t="s">
        <v>525</v>
      </c>
      <c r="F400" s="14" t="s">
        <v>391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392</v>
      </c>
      <c r="L400" s="14" t="s">
        <v>526</v>
      </c>
      <c r="M400" s="14" t="s">
        <v>522</v>
      </c>
      <c r="P400" s="14" t="s">
        <v>31</v>
      </c>
      <c r="Q400" s="14" t="s">
        <v>25</v>
      </c>
      <c r="R400" s="14" t="s">
        <v>392</v>
      </c>
    </row>
    <row r="401" spans="1:18" s="14" customFormat="1" x14ac:dyDescent="0.25">
      <c r="A401" s="14" t="str">
        <f>"16007"</f>
        <v>16007</v>
      </c>
      <c r="B401" s="14" t="str">
        <f>"05080"</f>
        <v>05080</v>
      </c>
      <c r="C401" s="14" t="str">
        <f>"1700"</f>
        <v>1700</v>
      </c>
      <c r="D401" s="14" t="str">
        <f>"16007"</f>
        <v>16007</v>
      </c>
      <c r="E401" s="14" t="s">
        <v>385</v>
      </c>
      <c r="F401" s="14" t="s">
        <v>385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386</v>
      </c>
      <c r="L401" s="14" t="s">
        <v>47</v>
      </c>
      <c r="M401" s="14" t="s">
        <v>387</v>
      </c>
      <c r="P401" s="14" t="s">
        <v>31</v>
      </c>
      <c r="Q401" s="14" t="s">
        <v>25</v>
      </c>
      <c r="R401" s="14" t="s">
        <v>388</v>
      </c>
    </row>
    <row r="402" spans="1:18" s="14" customFormat="1" x14ac:dyDescent="0.25">
      <c r="A402" s="14" t="str">
        <f>"16008"</f>
        <v>16008</v>
      </c>
      <c r="B402" s="14" t="str">
        <f>"05080"</f>
        <v>05080</v>
      </c>
      <c r="C402" s="14" t="str">
        <f>"1700"</f>
        <v>1700</v>
      </c>
      <c r="D402" s="14" t="str">
        <f>"16008"</f>
        <v>16008</v>
      </c>
      <c r="E402" s="14" t="s">
        <v>527</v>
      </c>
      <c r="F402" s="14" t="s">
        <v>385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386</v>
      </c>
      <c r="L402" s="14" t="s">
        <v>47</v>
      </c>
      <c r="M402" s="14" t="s">
        <v>387</v>
      </c>
      <c r="P402" s="14" t="s">
        <v>31</v>
      </c>
      <c r="Q402" s="14" t="s">
        <v>25</v>
      </c>
      <c r="R402" s="14" t="s">
        <v>388</v>
      </c>
    </row>
    <row r="403" spans="1:18" s="14" customFormat="1" x14ac:dyDescent="0.25">
      <c r="A403" s="14" t="str">
        <f>"16009"</f>
        <v>16009</v>
      </c>
      <c r="B403" s="14" t="str">
        <f>"05110"</f>
        <v>05110</v>
      </c>
      <c r="C403" s="14" t="str">
        <f>"1700"</f>
        <v>1700</v>
      </c>
      <c r="D403" s="14" t="str">
        <f>"16009"</f>
        <v>16009</v>
      </c>
      <c r="E403" s="14" t="s">
        <v>528</v>
      </c>
      <c r="F403" s="14" t="s">
        <v>391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392</v>
      </c>
      <c r="L403" s="14" t="s">
        <v>526</v>
      </c>
      <c r="M403" s="14" t="s">
        <v>522</v>
      </c>
      <c r="P403" s="14" t="s">
        <v>31</v>
      </c>
      <c r="Q403" s="14" t="s">
        <v>25</v>
      </c>
      <c r="R403" s="14" t="s">
        <v>392</v>
      </c>
    </row>
    <row r="404" spans="1:18" s="14" customFormat="1" x14ac:dyDescent="0.25">
      <c r="A404" s="14" t="str">
        <f>"16010"</f>
        <v>16010</v>
      </c>
      <c r="B404" s="14" t="str">
        <f>"05115"</f>
        <v>05115</v>
      </c>
      <c r="C404" s="14" t="str">
        <f>"1700"</f>
        <v>1700</v>
      </c>
      <c r="D404" s="14" t="str">
        <f>"16010"</f>
        <v>16010</v>
      </c>
      <c r="E404" s="14" t="s">
        <v>529</v>
      </c>
      <c r="F404" s="14" t="s">
        <v>393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394</v>
      </c>
      <c r="L404" s="14" t="s">
        <v>395</v>
      </c>
      <c r="M404" s="14" t="s">
        <v>396</v>
      </c>
      <c r="N404" s="14" t="s">
        <v>90</v>
      </c>
      <c r="P404" s="14" t="s">
        <v>31</v>
      </c>
      <c r="Q404" s="14" t="s">
        <v>25</v>
      </c>
      <c r="R404" s="14" t="s">
        <v>394</v>
      </c>
    </row>
    <row r="405" spans="1:18" s="14" customFormat="1" x14ac:dyDescent="0.25">
      <c r="A405" s="14" t="str">
        <f>"16011"</f>
        <v>16011</v>
      </c>
      <c r="B405" s="14" t="str">
        <f>"05110"</f>
        <v>05110</v>
      </c>
      <c r="C405" s="14" t="str">
        <f>"1700"</f>
        <v>1700</v>
      </c>
      <c r="D405" s="14" t="str">
        <f>"16011"</f>
        <v>16011</v>
      </c>
      <c r="E405" s="14" t="s">
        <v>530</v>
      </c>
      <c r="F405" s="14" t="s">
        <v>391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392</v>
      </c>
      <c r="L405" s="14" t="s">
        <v>522</v>
      </c>
      <c r="P405" s="14" t="s">
        <v>31</v>
      </c>
      <c r="Q405" s="14" t="s">
        <v>25</v>
      </c>
      <c r="R405" s="14" t="s">
        <v>392</v>
      </c>
    </row>
    <row r="406" spans="1:18" s="14" customFormat="1" x14ac:dyDescent="0.25">
      <c r="A406" s="14" t="str">
        <f>"16012"</f>
        <v>16012</v>
      </c>
      <c r="B406" s="14" t="str">
        <f>"05030"</f>
        <v>05030</v>
      </c>
      <c r="C406" s="14" t="str">
        <f>"1700"</f>
        <v>1700</v>
      </c>
      <c r="D406" s="14" t="str">
        <f>"16012"</f>
        <v>16012</v>
      </c>
      <c r="E406" s="14" t="s">
        <v>531</v>
      </c>
      <c r="F406" s="14" t="s">
        <v>378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377</v>
      </c>
      <c r="L406" s="14" t="s">
        <v>47</v>
      </c>
      <c r="M406" s="14" t="s">
        <v>370</v>
      </c>
      <c r="P406" s="14" t="s">
        <v>31</v>
      </c>
      <c r="Q406" s="14" t="s">
        <v>25</v>
      </c>
      <c r="R406" s="14" t="s">
        <v>532</v>
      </c>
    </row>
    <row r="407" spans="1:18" s="14" customFormat="1" x14ac:dyDescent="0.25">
      <c r="A407" s="14" t="str">
        <f>"16014"</f>
        <v>16014</v>
      </c>
      <c r="B407" s="14" t="str">
        <f>"05100"</f>
        <v>05100</v>
      </c>
      <c r="C407" s="14" t="str">
        <f>"1700"</f>
        <v>1700</v>
      </c>
      <c r="D407" s="14" t="str">
        <f>"16014"</f>
        <v>16014</v>
      </c>
      <c r="E407" s="14" t="s">
        <v>533</v>
      </c>
      <c r="F407" s="14" t="s">
        <v>534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47</v>
      </c>
      <c r="L407" s="14" t="s">
        <v>377</v>
      </c>
      <c r="P407" s="14" t="s">
        <v>31</v>
      </c>
      <c r="Q407" s="14" t="s">
        <v>25</v>
      </c>
      <c r="R407" s="14" t="s">
        <v>377</v>
      </c>
    </row>
    <row r="408" spans="1:18" s="14" customFormat="1" x14ac:dyDescent="0.25">
      <c r="A408" s="14" t="str">
        <f>"16015"</f>
        <v>16015</v>
      </c>
      <c r="B408" s="14" t="str">
        <f>"05100"</f>
        <v>05100</v>
      </c>
      <c r="C408" s="14" t="str">
        <f>"1700"</f>
        <v>1700</v>
      </c>
      <c r="D408" s="14" t="str">
        <f>"16015"</f>
        <v>16015</v>
      </c>
      <c r="E408" s="14" t="s">
        <v>535</v>
      </c>
      <c r="F408" s="14" t="s">
        <v>534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47</v>
      </c>
      <c r="L408" s="14" t="s">
        <v>377</v>
      </c>
      <c r="M408" s="14" t="s">
        <v>536</v>
      </c>
      <c r="P408" s="14" t="s">
        <v>31</v>
      </c>
      <c r="Q408" s="14" t="s">
        <v>25</v>
      </c>
      <c r="R408" s="14" t="s">
        <v>367</v>
      </c>
    </row>
    <row r="409" spans="1:18" s="14" customFormat="1" x14ac:dyDescent="0.25">
      <c r="A409" s="14" t="str">
        <f>"16017"</f>
        <v>16017</v>
      </c>
      <c r="B409" s="14" t="str">
        <f>"05115"</f>
        <v>05115</v>
      </c>
      <c r="C409" s="14" t="str">
        <f>"1700"</f>
        <v>1700</v>
      </c>
      <c r="D409" s="14" t="str">
        <f>"16017"</f>
        <v>16017</v>
      </c>
      <c r="E409" s="14" t="s">
        <v>537</v>
      </c>
      <c r="F409" s="14" t="s">
        <v>393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394</v>
      </c>
      <c r="L409" s="14" t="s">
        <v>395</v>
      </c>
      <c r="M409" s="14" t="s">
        <v>396</v>
      </c>
      <c r="N409" s="14" t="s">
        <v>90</v>
      </c>
      <c r="P409" s="14" t="s">
        <v>31</v>
      </c>
      <c r="Q409" s="14" t="s">
        <v>25</v>
      </c>
      <c r="R409" s="14" t="s">
        <v>394</v>
      </c>
    </row>
    <row r="410" spans="1:18" s="14" customFormat="1" x14ac:dyDescent="0.25">
      <c r="A410" s="14" t="str">
        <f>"16018"</f>
        <v>16018</v>
      </c>
      <c r="B410" s="14" t="str">
        <f>"05150"</f>
        <v>05150</v>
      </c>
      <c r="C410" s="14" t="str">
        <f>"1700"</f>
        <v>1700</v>
      </c>
      <c r="D410" s="14" t="str">
        <f>"16018"</f>
        <v>16018</v>
      </c>
      <c r="E410" s="14" t="s">
        <v>538</v>
      </c>
      <c r="F410" s="14" t="s">
        <v>402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405</v>
      </c>
      <c r="L410" s="14" t="s">
        <v>404</v>
      </c>
      <c r="P410" s="14" t="s">
        <v>39</v>
      </c>
      <c r="Q410" s="14" t="s">
        <v>25</v>
      </c>
      <c r="R410" s="14" t="s">
        <v>403</v>
      </c>
    </row>
    <row r="411" spans="1:18" s="14" customFormat="1" x14ac:dyDescent="0.25">
      <c r="A411" s="14" t="str">
        <f>"16019"</f>
        <v>16019</v>
      </c>
      <c r="B411" s="14" t="str">
        <f>"05150"</f>
        <v>05150</v>
      </c>
      <c r="C411" s="14" t="str">
        <f>"1700"</f>
        <v>1700</v>
      </c>
      <c r="D411" s="14" t="str">
        <f>"16019"</f>
        <v>16019</v>
      </c>
      <c r="E411" s="14" t="s">
        <v>539</v>
      </c>
      <c r="F411" s="14" t="s">
        <v>402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405</v>
      </c>
      <c r="L411" s="14" t="s">
        <v>404</v>
      </c>
      <c r="P411" s="14" t="s">
        <v>39</v>
      </c>
      <c r="Q411" s="14" t="s">
        <v>25</v>
      </c>
      <c r="R411" s="14" t="s">
        <v>403</v>
      </c>
    </row>
    <row r="412" spans="1:18" s="14" customFormat="1" x14ac:dyDescent="0.25">
      <c r="A412" s="14" t="str">
        <f>"16020"</f>
        <v>16020</v>
      </c>
      <c r="B412" s="14" t="str">
        <f>"05150"</f>
        <v>05150</v>
      </c>
      <c r="C412" s="14" t="str">
        <f>"1700"</f>
        <v>1700</v>
      </c>
      <c r="D412" s="14" t="str">
        <f>"16020"</f>
        <v>16020</v>
      </c>
      <c r="E412" s="14" t="s">
        <v>540</v>
      </c>
      <c r="F412" s="14" t="s">
        <v>402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404</v>
      </c>
      <c r="L412" s="14" t="s">
        <v>405</v>
      </c>
      <c r="P412" s="14" t="s">
        <v>39</v>
      </c>
      <c r="Q412" s="14" t="s">
        <v>25</v>
      </c>
      <c r="R412" s="14" t="s">
        <v>403</v>
      </c>
    </row>
    <row r="413" spans="1:18" s="14" customFormat="1" x14ac:dyDescent="0.25">
      <c r="A413" s="14" t="str">
        <f>"16021"</f>
        <v>16021</v>
      </c>
      <c r="B413" s="14" t="str">
        <f>"05140"</f>
        <v>05140</v>
      </c>
      <c r="C413" s="14" t="str">
        <f>"1700"</f>
        <v>1700</v>
      </c>
      <c r="D413" s="14" t="str">
        <f>"05140A"</f>
        <v>05140A</v>
      </c>
      <c r="E413" s="14" t="s">
        <v>541</v>
      </c>
      <c r="F413" s="14" t="s">
        <v>400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37</v>
      </c>
      <c r="L413" s="14" t="s">
        <v>34</v>
      </c>
      <c r="P413" s="14" t="s">
        <v>39</v>
      </c>
      <c r="Q413" s="14" t="s">
        <v>25</v>
      </c>
      <c r="R413" s="14" t="s">
        <v>401</v>
      </c>
    </row>
    <row r="414" spans="1:18" s="14" customFormat="1" x14ac:dyDescent="0.25">
      <c r="A414" s="14" t="str">
        <f>"16021"</f>
        <v>16021</v>
      </c>
      <c r="B414" s="14" t="str">
        <f>"05141"</f>
        <v>05141</v>
      </c>
      <c r="C414" s="14" t="str">
        <f>"1700"</f>
        <v>1700</v>
      </c>
      <c r="D414" s="14" t="str">
        <f>"05141"</f>
        <v>05141</v>
      </c>
      <c r="E414" s="14" t="s">
        <v>541</v>
      </c>
      <c r="F414" s="14" t="s">
        <v>542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37</v>
      </c>
      <c r="L414" s="14" t="s">
        <v>34</v>
      </c>
      <c r="P414" s="14" t="s">
        <v>39</v>
      </c>
      <c r="Q414" s="14" t="s">
        <v>25</v>
      </c>
      <c r="R414" s="14" t="s">
        <v>401</v>
      </c>
    </row>
    <row r="415" spans="1:18" s="14" customFormat="1" x14ac:dyDescent="0.25">
      <c r="A415" s="14" t="str">
        <f>"16021"</f>
        <v>16021</v>
      </c>
      <c r="B415" s="14" t="str">
        <f>"05143"</f>
        <v>05143</v>
      </c>
      <c r="C415" s="14" t="str">
        <f>"1700"</f>
        <v>1700</v>
      </c>
      <c r="D415" s="14" t="str">
        <f>"05143"</f>
        <v>05143</v>
      </c>
      <c r="E415" s="14" t="s">
        <v>541</v>
      </c>
      <c r="F415" s="14" t="s">
        <v>543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37</v>
      </c>
      <c r="L415" s="14" t="s">
        <v>34</v>
      </c>
      <c r="P415" s="14" t="s">
        <v>39</v>
      </c>
      <c r="Q415" s="14" t="s">
        <v>25</v>
      </c>
      <c r="R415" s="14" t="s">
        <v>401</v>
      </c>
    </row>
    <row r="416" spans="1:18" s="14" customFormat="1" x14ac:dyDescent="0.25">
      <c r="A416" s="14" t="str">
        <f>"16021"</f>
        <v>16021</v>
      </c>
      <c r="B416" s="14" t="str">
        <f>"05144"</f>
        <v>05144</v>
      </c>
      <c r="C416" s="14" t="str">
        <f>"1700"</f>
        <v>1700</v>
      </c>
      <c r="D416" s="14" t="str">
        <f>"05144"</f>
        <v>05144</v>
      </c>
      <c r="E416" s="14" t="s">
        <v>541</v>
      </c>
      <c r="F416" s="14" t="s">
        <v>544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37</v>
      </c>
      <c r="L416" s="14" t="s">
        <v>34</v>
      </c>
      <c r="P416" s="14" t="s">
        <v>39</v>
      </c>
      <c r="Q416" s="14" t="s">
        <v>25</v>
      </c>
      <c r="R416" s="14" t="s">
        <v>401</v>
      </c>
    </row>
    <row r="417" spans="1:18" s="14" customFormat="1" x14ac:dyDescent="0.25">
      <c r="A417" s="14" t="str">
        <f>"16023"</f>
        <v>16023</v>
      </c>
      <c r="B417" s="14" t="str">
        <f>"05150"</f>
        <v>05150</v>
      </c>
      <c r="C417" s="14" t="str">
        <f>"1800"</f>
        <v>1800</v>
      </c>
      <c r="D417" s="14" t="str">
        <f>"16023"</f>
        <v>16023</v>
      </c>
      <c r="E417" s="14" t="s">
        <v>545</v>
      </c>
      <c r="F417" s="14" t="s">
        <v>402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404</v>
      </c>
      <c r="L417" s="14" t="s">
        <v>405</v>
      </c>
      <c r="P417" s="14" t="s">
        <v>39</v>
      </c>
      <c r="Q417" s="14" t="s">
        <v>25</v>
      </c>
      <c r="R417" s="14" t="s">
        <v>403</v>
      </c>
    </row>
    <row r="418" spans="1:18" s="14" customFormat="1" x14ac:dyDescent="0.25">
      <c r="A418" s="14" t="str">
        <f>"16024"</f>
        <v>16024</v>
      </c>
      <c r="B418" s="14" t="str">
        <f>"05150"</f>
        <v>05150</v>
      </c>
      <c r="C418" s="14" t="str">
        <f>"1100"</f>
        <v>1100</v>
      </c>
      <c r="D418" s="14" t="str">
        <f>"16024"</f>
        <v>16024</v>
      </c>
      <c r="E418" s="14" t="s">
        <v>546</v>
      </c>
      <c r="F418" s="14" t="s">
        <v>402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405</v>
      </c>
      <c r="L418" s="14" t="s">
        <v>404</v>
      </c>
      <c r="P418" s="14" t="s">
        <v>39</v>
      </c>
      <c r="Q418" s="14" t="s">
        <v>25</v>
      </c>
      <c r="R418" s="14" t="s">
        <v>403</v>
      </c>
    </row>
    <row r="419" spans="1:18" s="14" customFormat="1" x14ac:dyDescent="0.25">
      <c r="A419" s="14" t="str">
        <f>"16025"</f>
        <v>16025</v>
      </c>
      <c r="B419" s="14" t="str">
        <f>"05150"</f>
        <v>05150</v>
      </c>
      <c r="C419" s="14" t="str">
        <f>"1100"</f>
        <v>1100</v>
      </c>
      <c r="D419" s="14" t="str">
        <f>"16025"</f>
        <v>16025</v>
      </c>
      <c r="E419" s="14" t="s">
        <v>547</v>
      </c>
      <c r="F419" s="14" t="s">
        <v>402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405</v>
      </c>
      <c r="L419" s="14" t="s">
        <v>404</v>
      </c>
      <c r="P419" s="14" t="s">
        <v>39</v>
      </c>
      <c r="Q419" s="14" t="s">
        <v>25</v>
      </c>
      <c r="R419" s="14" t="s">
        <v>403</v>
      </c>
    </row>
    <row r="420" spans="1:18" s="14" customFormat="1" x14ac:dyDescent="0.25">
      <c r="A420" s="14" t="str">
        <f>"16026"</f>
        <v>16026</v>
      </c>
      <c r="B420" s="14" t="str">
        <f>"05150"</f>
        <v>05150</v>
      </c>
      <c r="C420" s="14" t="str">
        <f>"1100"</f>
        <v>1100</v>
      </c>
      <c r="D420" s="14" t="str">
        <f>"16026"</f>
        <v>16026</v>
      </c>
      <c r="E420" s="14" t="s">
        <v>548</v>
      </c>
      <c r="F420" s="14" t="s">
        <v>402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405</v>
      </c>
      <c r="L420" s="14" t="s">
        <v>404</v>
      </c>
      <c r="P420" s="14" t="s">
        <v>39</v>
      </c>
      <c r="Q420" s="14" t="s">
        <v>25</v>
      </c>
      <c r="R420" s="14" t="s">
        <v>403</v>
      </c>
    </row>
    <row r="421" spans="1:18" s="14" customFormat="1" x14ac:dyDescent="0.25">
      <c r="A421" s="14" t="str">
        <f>"16028"</f>
        <v>16028</v>
      </c>
      <c r="B421" s="14" t="str">
        <f>"05150"</f>
        <v>05150</v>
      </c>
      <c r="C421" s="14" t="str">
        <f>"1100"</f>
        <v>1100</v>
      </c>
      <c r="D421" s="14" t="str">
        <f>"16028"</f>
        <v>16028</v>
      </c>
      <c r="E421" s="14" t="s">
        <v>549</v>
      </c>
      <c r="F421" s="14" t="s">
        <v>402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405</v>
      </c>
      <c r="L421" s="14" t="s">
        <v>404</v>
      </c>
      <c r="P421" s="14" t="s">
        <v>39</v>
      </c>
      <c r="Q421" s="14" t="s">
        <v>25</v>
      </c>
      <c r="R421" s="14" t="s">
        <v>403</v>
      </c>
    </row>
    <row r="422" spans="1:18" s="14" customFormat="1" x14ac:dyDescent="0.25">
      <c r="A422" s="14" t="str">
        <f>"16029"</f>
        <v>16029</v>
      </c>
      <c r="B422" s="14" t="str">
        <f>"05150"</f>
        <v>05150</v>
      </c>
      <c r="C422" s="14" t="str">
        <f>"1800"</f>
        <v>1800</v>
      </c>
      <c r="D422" s="14" t="str">
        <f>"16029"</f>
        <v>16029</v>
      </c>
      <c r="E422" s="14" t="s">
        <v>550</v>
      </c>
      <c r="F422" s="14" t="s">
        <v>402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405</v>
      </c>
      <c r="L422" s="14" t="s">
        <v>404</v>
      </c>
      <c r="P422" s="14" t="s">
        <v>39</v>
      </c>
      <c r="Q422" s="14" t="s">
        <v>25</v>
      </c>
      <c r="R422" s="14" t="s">
        <v>403</v>
      </c>
    </row>
    <row r="423" spans="1:18" s="14" customFormat="1" x14ac:dyDescent="0.25">
      <c r="A423" s="14" t="str">
        <f>"16030"</f>
        <v>16030</v>
      </c>
      <c r="B423" s="14" t="str">
        <f>"05150"</f>
        <v>05150</v>
      </c>
      <c r="C423" s="14" t="str">
        <f>"1800"</f>
        <v>1800</v>
      </c>
      <c r="D423" s="14" t="str">
        <f>"16030"</f>
        <v>16030</v>
      </c>
      <c r="E423" s="14" t="s">
        <v>551</v>
      </c>
      <c r="F423" s="14" t="s">
        <v>402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405</v>
      </c>
      <c r="L423" s="14" t="s">
        <v>404</v>
      </c>
      <c r="P423" s="14" t="s">
        <v>39</v>
      </c>
      <c r="Q423" s="14" t="s">
        <v>25</v>
      </c>
      <c r="R423" s="14" t="s">
        <v>403</v>
      </c>
    </row>
    <row r="424" spans="1:18" s="14" customFormat="1" x14ac:dyDescent="0.25">
      <c r="A424" s="14" t="str">
        <f>"16033"</f>
        <v>16033</v>
      </c>
      <c r="B424" s="14" t="str">
        <f>"05150"</f>
        <v>05150</v>
      </c>
      <c r="C424" s="14" t="str">
        <f>"1800"</f>
        <v>1800</v>
      </c>
      <c r="D424" s="14" t="str">
        <f>"16033"</f>
        <v>16033</v>
      </c>
      <c r="E424" s="14" t="s">
        <v>552</v>
      </c>
      <c r="F424" s="14" t="s">
        <v>402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405</v>
      </c>
      <c r="L424" s="14" t="s">
        <v>404</v>
      </c>
      <c r="P424" s="14" t="s">
        <v>39</v>
      </c>
      <c r="Q424" s="14" t="s">
        <v>25</v>
      </c>
      <c r="R424" s="14" t="s">
        <v>403</v>
      </c>
    </row>
    <row r="425" spans="1:18" s="14" customFormat="1" x14ac:dyDescent="0.25">
      <c r="A425" s="14" t="str">
        <f>"16034"</f>
        <v>16034</v>
      </c>
      <c r="B425" s="14" t="str">
        <f>"05150"</f>
        <v>05150</v>
      </c>
      <c r="C425" s="14" t="str">
        <f>"1800"</f>
        <v>1800</v>
      </c>
      <c r="D425" s="14" t="str">
        <f>"16034"</f>
        <v>16034</v>
      </c>
      <c r="E425" s="14" t="s">
        <v>553</v>
      </c>
      <c r="F425" s="14" t="s">
        <v>402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405</v>
      </c>
      <c r="L425" s="14" t="s">
        <v>404</v>
      </c>
      <c r="P425" s="14" t="s">
        <v>39</v>
      </c>
      <c r="Q425" s="14" t="s">
        <v>25</v>
      </c>
      <c r="R425" s="14" t="s">
        <v>403</v>
      </c>
    </row>
    <row r="426" spans="1:18" s="14" customFormat="1" x14ac:dyDescent="0.25">
      <c r="A426" s="14" t="str">
        <f>"16035"</f>
        <v>16035</v>
      </c>
      <c r="B426" s="14" t="str">
        <f>"05150"</f>
        <v>05150</v>
      </c>
      <c r="C426" s="14" t="str">
        <f>"1100"</f>
        <v>1100</v>
      </c>
      <c r="D426" s="14" t="str">
        <f>"16035"</f>
        <v>16035</v>
      </c>
      <c r="E426" s="14" t="s">
        <v>554</v>
      </c>
      <c r="F426" s="14" t="s">
        <v>402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405</v>
      </c>
      <c r="L426" s="14" t="s">
        <v>404</v>
      </c>
      <c r="P426" s="14" t="s">
        <v>39</v>
      </c>
      <c r="Q426" s="14" t="s">
        <v>25</v>
      </c>
      <c r="R426" s="14" t="s">
        <v>403</v>
      </c>
    </row>
    <row r="427" spans="1:18" s="14" customFormat="1" x14ac:dyDescent="0.25">
      <c r="A427" s="14" t="str">
        <f>"16036"</f>
        <v>16036</v>
      </c>
      <c r="B427" s="14" t="str">
        <f>"05150"</f>
        <v>05150</v>
      </c>
      <c r="C427" s="14" t="str">
        <f>"1800"</f>
        <v>1800</v>
      </c>
      <c r="D427" s="14" t="str">
        <f>"16036"</f>
        <v>16036</v>
      </c>
      <c r="E427" s="14" t="s">
        <v>555</v>
      </c>
      <c r="F427" s="14" t="s">
        <v>402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405</v>
      </c>
      <c r="L427" s="14" t="s">
        <v>404</v>
      </c>
      <c r="P427" s="14" t="s">
        <v>39</v>
      </c>
      <c r="Q427" s="14" t="s">
        <v>25</v>
      </c>
      <c r="R427" s="14" t="s">
        <v>403</v>
      </c>
    </row>
    <row r="428" spans="1:18" s="14" customFormat="1" x14ac:dyDescent="0.25">
      <c r="A428" s="14" t="str">
        <f>"16037"</f>
        <v>16037</v>
      </c>
      <c r="B428" s="14" t="str">
        <f>"05150"</f>
        <v>05150</v>
      </c>
      <c r="C428" s="14" t="str">
        <f>"1100"</f>
        <v>1100</v>
      </c>
      <c r="D428" s="14" t="str">
        <f>"16037"</f>
        <v>16037</v>
      </c>
      <c r="E428" s="14" t="s">
        <v>556</v>
      </c>
      <c r="F428" s="14" t="s">
        <v>402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405</v>
      </c>
      <c r="L428" s="14" t="s">
        <v>404</v>
      </c>
      <c r="P428" s="14" t="s">
        <v>39</v>
      </c>
      <c r="Q428" s="14" t="s">
        <v>25</v>
      </c>
      <c r="R428" s="14" t="s">
        <v>403</v>
      </c>
    </row>
    <row r="429" spans="1:18" s="14" customFormat="1" x14ac:dyDescent="0.25">
      <c r="A429" s="14" t="str">
        <f>"16041"</f>
        <v>16041</v>
      </c>
      <c r="B429" s="14" t="str">
        <f>"05150"</f>
        <v>05150</v>
      </c>
      <c r="C429" s="14" t="str">
        <f>"1100"</f>
        <v>1100</v>
      </c>
      <c r="D429" s="14" t="str">
        <f>"16041"</f>
        <v>16041</v>
      </c>
      <c r="E429" s="14" t="s">
        <v>557</v>
      </c>
      <c r="F429" s="14" t="s">
        <v>402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405</v>
      </c>
      <c r="L429" s="14" t="s">
        <v>404</v>
      </c>
      <c r="P429" s="14" t="s">
        <v>39</v>
      </c>
      <c r="Q429" s="14" t="s">
        <v>25</v>
      </c>
      <c r="R429" s="14" t="s">
        <v>403</v>
      </c>
    </row>
    <row r="430" spans="1:18" s="14" customFormat="1" x14ac:dyDescent="0.25">
      <c r="A430" s="14" t="str">
        <f>"16042"</f>
        <v>16042</v>
      </c>
      <c r="B430" s="14" t="str">
        <f>"06000"</f>
        <v>06000</v>
      </c>
      <c r="C430" s="14" t="str">
        <f>"1700"</f>
        <v>1700</v>
      </c>
      <c r="D430" s="14" t="str">
        <f>"16042"</f>
        <v>16042</v>
      </c>
      <c r="E430" s="14" t="s">
        <v>558</v>
      </c>
      <c r="F430" s="14" t="s">
        <v>409</v>
      </c>
      <c r="G430" s="14" t="str">
        <f>""</f>
        <v/>
      </c>
      <c r="H430" s="14" t="str">
        <f>" 10"</f>
        <v xml:space="preserve"> 10</v>
      </c>
      <c r="I430" s="14">
        <v>0.01</v>
      </c>
      <c r="J430" s="14">
        <v>500</v>
      </c>
      <c r="K430" s="14" t="s">
        <v>410</v>
      </c>
      <c r="L430" s="14" t="s">
        <v>411</v>
      </c>
      <c r="M430" s="14" t="s">
        <v>412</v>
      </c>
      <c r="N430" s="14" t="s">
        <v>413</v>
      </c>
      <c r="P430" s="14" t="s">
        <v>39</v>
      </c>
      <c r="Q430" s="14" t="s">
        <v>25</v>
      </c>
      <c r="R430" s="14" t="s">
        <v>410</v>
      </c>
    </row>
    <row r="431" spans="1:18" s="14" customFormat="1" x14ac:dyDescent="0.25">
      <c r="A431" s="14" t="str">
        <f>"16042"</f>
        <v>16042</v>
      </c>
      <c r="B431" s="14" t="str">
        <f>"06000"</f>
        <v>06000</v>
      </c>
      <c r="C431" s="14" t="str">
        <f>"1700"</f>
        <v>1700</v>
      </c>
      <c r="D431" s="14" t="str">
        <f>"16042"</f>
        <v>16042</v>
      </c>
      <c r="E431" s="14" t="s">
        <v>558</v>
      </c>
      <c r="F431" s="14" t="s">
        <v>409</v>
      </c>
      <c r="G431" s="14" t="str">
        <f>""</f>
        <v/>
      </c>
      <c r="H431" s="14" t="str">
        <f>" 20"</f>
        <v xml:space="preserve"> 20</v>
      </c>
      <c r="I431" s="14">
        <v>500.01</v>
      </c>
      <c r="J431" s="14">
        <v>9999999.9900000002</v>
      </c>
      <c r="K431" s="14" t="s">
        <v>414</v>
      </c>
      <c r="L431" s="14" t="s">
        <v>411</v>
      </c>
      <c r="M431" s="14" t="s">
        <v>412</v>
      </c>
      <c r="P431" s="14" t="s">
        <v>39</v>
      </c>
      <c r="Q431" s="14" t="s">
        <v>25</v>
      </c>
      <c r="R431" s="14" t="s">
        <v>410</v>
      </c>
    </row>
    <row r="432" spans="1:18" s="14" customFormat="1" x14ac:dyDescent="0.25">
      <c r="A432" s="14" t="str">
        <f>"16043"</f>
        <v>16043</v>
      </c>
      <c r="B432" s="14" t="str">
        <f>"06000"</f>
        <v>06000</v>
      </c>
      <c r="C432" s="14" t="str">
        <f>"1700"</f>
        <v>1700</v>
      </c>
      <c r="D432" s="14" t="str">
        <f>"16043"</f>
        <v>16043</v>
      </c>
      <c r="E432" s="14" t="s">
        <v>559</v>
      </c>
      <c r="F432" s="14" t="s">
        <v>409</v>
      </c>
      <c r="G432" s="14" t="str">
        <f>""</f>
        <v/>
      </c>
      <c r="H432" s="14" t="str">
        <f>" 10"</f>
        <v xml:space="preserve"> 10</v>
      </c>
      <c r="I432" s="14">
        <v>0.01</v>
      </c>
      <c r="J432" s="14">
        <v>500</v>
      </c>
      <c r="K432" s="14" t="s">
        <v>410</v>
      </c>
      <c r="L432" s="14" t="s">
        <v>411</v>
      </c>
      <c r="M432" s="14" t="s">
        <v>412</v>
      </c>
      <c r="N432" s="14" t="s">
        <v>413</v>
      </c>
      <c r="P432" s="14" t="s">
        <v>39</v>
      </c>
      <c r="Q432" s="14" t="s">
        <v>25</v>
      </c>
      <c r="R432" s="14" t="s">
        <v>410</v>
      </c>
    </row>
    <row r="433" spans="1:18" s="14" customFormat="1" x14ac:dyDescent="0.25">
      <c r="A433" s="14" t="str">
        <f>"16043"</f>
        <v>16043</v>
      </c>
      <c r="B433" s="14" t="str">
        <f>"06000"</f>
        <v>06000</v>
      </c>
      <c r="C433" s="14" t="str">
        <f>"1700"</f>
        <v>1700</v>
      </c>
      <c r="D433" s="14" t="str">
        <f>"16043"</f>
        <v>16043</v>
      </c>
      <c r="E433" s="14" t="s">
        <v>559</v>
      </c>
      <c r="F433" s="14" t="s">
        <v>409</v>
      </c>
      <c r="G433" s="14" t="str">
        <f>""</f>
        <v/>
      </c>
      <c r="H433" s="14" t="str">
        <f>" 20"</f>
        <v xml:space="preserve"> 20</v>
      </c>
      <c r="I433" s="14">
        <v>500.01</v>
      </c>
      <c r="J433" s="14">
        <v>9999999.9900000002</v>
      </c>
      <c r="K433" s="14" t="s">
        <v>414</v>
      </c>
      <c r="L433" s="14" t="s">
        <v>411</v>
      </c>
      <c r="M433" s="14" t="s">
        <v>412</v>
      </c>
      <c r="P433" s="14" t="s">
        <v>39</v>
      </c>
      <c r="Q433" s="14" t="s">
        <v>25</v>
      </c>
      <c r="R433" s="14" t="s">
        <v>410</v>
      </c>
    </row>
    <row r="434" spans="1:18" s="14" customFormat="1" x14ac:dyDescent="0.25">
      <c r="A434" s="14" t="str">
        <f>"16044"</f>
        <v>16044</v>
      </c>
      <c r="B434" s="14" t="str">
        <f>"06000"</f>
        <v>06000</v>
      </c>
      <c r="C434" s="14" t="str">
        <f>"1700"</f>
        <v>1700</v>
      </c>
      <c r="D434" s="14" t="str">
        <f>"16044"</f>
        <v>16044</v>
      </c>
      <c r="E434" s="14" t="s">
        <v>560</v>
      </c>
      <c r="F434" s="14" t="s">
        <v>409</v>
      </c>
      <c r="G434" s="14" t="str">
        <f>""</f>
        <v/>
      </c>
      <c r="H434" s="14" t="str">
        <f>" 10"</f>
        <v xml:space="preserve"> 10</v>
      </c>
      <c r="I434" s="14">
        <v>0.01</v>
      </c>
      <c r="J434" s="14">
        <v>500</v>
      </c>
      <c r="K434" s="14" t="s">
        <v>410</v>
      </c>
      <c r="L434" s="14" t="s">
        <v>411</v>
      </c>
      <c r="M434" s="14" t="s">
        <v>412</v>
      </c>
      <c r="N434" s="14" t="s">
        <v>413</v>
      </c>
      <c r="P434" s="14" t="s">
        <v>39</v>
      </c>
      <c r="Q434" s="14" t="s">
        <v>25</v>
      </c>
      <c r="R434" s="14" t="s">
        <v>410</v>
      </c>
    </row>
    <row r="435" spans="1:18" s="14" customFormat="1" x14ac:dyDescent="0.25">
      <c r="A435" s="14" t="str">
        <f>"16044"</f>
        <v>16044</v>
      </c>
      <c r="B435" s="14" t="str">
        <f>"06000"</f>
        <v>06000</v>
      </c>
      <c r="C435" s="14" t="str">
        <f>"1700"</f>
        <v>1700</v>
      </c>
      <c r="D435" s="14" t="str">
        <f>"16044"</f>
        <v>16044</v>
      </c>
      <c r="E435" s="14" t="s">
        <v>560</v>
      </c>
      <c r="F435" s="14" t="s">
        <v>409</v>
      </c>
      <c r="G435" s="14" t="str">
        <f>""</f>
        <v/>
      </c>
      <c r="H435" s="14" t="str">
        <f>" 20"</f>
        <v xml:space="preserve"> 20</v>
      </c>
      <c r="I435" s="14">
        <v>500.01</v>
      </c>
      <c r="J435" s="14">
        <v>9999999.9900000002</v>
      </c>
      <c r="K435" s="14" t="s">
        <v>414</v>
      </c>
      <c r="L435" s="14" t="s">
        <v>411</v>
      </c>
      <c r="M435" s="14" t="s">
        <v>412</v>
      </c>
      <c r="P435" s="14" t="s">
        <v>39</v>
      </c>
      <c r="Q435" s="14" t="s">
        <v>25</v>
      </c>
      <c r="R435" s="14" t="s">
        <v>410</v>
      </c>
    </row>
    <row r="436" spans="1:18" s="14" customFormat="1" x14ac:dyDescent="0.25">
      <c r="A436" s="14" t="str">
        <f>"16047"</f>
        <v>16047</v>
      </c>
      <c r="B436" s="14" t="str">
        <f>"05000"</f>
        <v>05000</v>
      </c>
      <c r="C436" s="14" t="str">
        <f>"1700"</f>
        <v>1700</v>
      </c>
      <c r="D436" s="14" t="str">
        <f>"16047"</f>
        <v>16047</v>
      </c>
      <c r="E436" s="14" t="s">
        <v>561</v>
      </c>
      <c r="F436" s="14" t="s">
        <v>366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47</v>
      </c>
      <c r="L436" s="14" t="s">
        <v>37</v>
      </c>
      <c r="P436" s="14" t="s">
        <v>31</v>
      </c>
      <c r="Q436" s="14" t="s">
        <v>25</v>
      </c>
      <c r="R436" s="14" t="s">
        <v>367</v>
      </c>
    </row>
    <row r="437" spans="1:18" s="14" customFormat="1" x14ac:dyDescent="0.25">
      <c r="A437" s="14" t="str">
        <f>"16048"</f>
        <v>16048</v>
      </c>
      <c r="B437" s="14" t="str">
        <f>"05050"</f>
        <v>05050</v>
      </c>
      <c r="C437" s="14" t="str">
        <f>"1700"</f>
        <v>1700</v>
      </c>
      <c r="D437" s="14" t="str">
        <f>"16048"</f>
        <v>16048</v>
      </c>
      <c r="E437" s="14" t="s">
        <v>562</v>
      </c>
      <c r="F437" s="14" t="s">
        <v>563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381</v>
      </c>
      <c r="L437" s="14" t="s">
        <v>382</v>
      </c>
      <c r="P437" s="14" t="s">
        <v>31</v>
      </c>
      <c r="Q437" s="14" t="s">
        <v>25</v>
      </c>
      <c r="R437" s="14" t="s">
        <v>383</v>
      </c>
    </row>
    <row r="438" spans="1:18" s="14" customFormat="1" x14ac:dyDescent="0.25">
      <c r="A438" s="14" t="str">
        <f>"16049"</f>
        <v>16049</v>
      </c>
      <c r="B438" s="14" t="str">
        <f>"05150"</f>
        <v>05150</v>
      </c>
      <c r="C438" s="14" t="str">
        <f>"1100"</f>
        <v>1100</v>
      </c>
      <c r="D438" s="14" t="str">
        <f>"16049"</f>
        <v>16049</v>
      </c>
      <c r="E438" s="14" t="s">
        <v>564</v>
      </c>
      <c r="F438" s="14" t="s">
        <v>402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405</v>
      </c>
      <c r="L438" s="14" t="s">
        <v>404</v>
      </c>
      <c r="P438" s="14" t="s">
        <v>39</v>
      </c>
      <c r="Q438" s="14" t="s">
        <v>25</v>
      </c>
      <c r="R438" s="14" t="s">
        <v>403</v>
      </c>
    </row>
    <row r="439" spans="1:18" s="14" customFormat="1" x14ac:dyDescent="0.25">
      <c r="A439" s="14" t="str">
        <f>"16050"</f>
        <v>16050</v>
      </c>
      <c r="B439" s="14" t="str">
        <f>"05150"</f>
        <v>05150</v>
      </c>
      <c r="C439" s="14" t="str">
        <f>"1100"</f>
        <v>1100</v>
      </c>
      <c r="D439" s="14" t="str">
        <f>"16050"</f>
        <v>16050</v>
      </c>
      <c r="E439" s="14" t="s">
        <v>565</v>
      </c>
      <c r="F439" s="14" t="s">
        <v>402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405</v>
      </c>
      <c r="L439" s="14" t="s">
        <v>404</v>
      </c>
      <c r="P439" s="14" t="s">
        <v>39</v>
      </c>
      <c r="Q439" s="14" t="s">
        <v>25</v>
      </c>
      <c r="R439" s="14" t="s">
        <v>403</v>
      </c>
    </row>
    <row r="440" spans="1:18" s="14" customFormat="1" x14ac:dyDescent="0.25">
      <c r="A440" s="14" t="str">
        <f>"16051"</f>
        <v>16051</v>
      </c>
      <c r="B440" s="14" t="str">
        <f>"05150"</f>
        <v>05150</v>
      </c>
      <c r="C440" s="14" t="str">
        <f>"1800"</f>
        <v>1800</v>
      </c>
      <c r="D440" s="14" t="str">
        <f>"16051"</f>
        <v>16051</v>
      </c>
      <c r="E440" s="14" t="s">
        <v>566</v>
      </c>
      <c r="F440" s="14" t="s">
        <v>402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405</v>
      </c>
      <c r="L440" s="14" t="s">
        <v>404</v>
      </c>
      <c r="P440" s="14" t="s">
        <v>39</v>
      </c>
      <c r="Q440" s="14" t="s">
        <v>25</v>
      </c>
      <c r="R440" s="14" t="s">
        <v>403</v>
      </c>
    </row>
    <row r="441" spans="1:18" s="14" customFormat="1" x14ac:dyDescent="0.25">
      <c r="A441" s="14" t="str">
        <f>"16052"</f>
        <v>16052</v>
      </c>
      <c r="B441" s="14" t="str">
        <f>"05060"</f>
        <v>05060</v>
      </c>
      <c r="C441" s="14" t="str">
        <f>"1700"</f>
        <v>1700</v>
      </c>
      <c r="D441" s="14" t="str">
        <f>"05060B"</f>
        <v>05060B</v>
      </c>
      <c r="E441" s="14" t="s">
        <v>567</v>
      </c>
      <c r="F441" s="14" t="s">
        <v>380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382</v>
      </c>
      <c r="L441" s="14" t="s">
        <v>381</v>
      </c>
      <c r="P441" s="14" t="s">
        <v>31</v>
      </c>
      <c r="Q441" s="14" t="s">
        <v>25</v>
      </c>
      <c r="R441" s="14" t="s">
        <v>383</v>
      </c>
    </row>
    <row r="442" spans="1:18" s="14" customFormat="1" x14ac:dyDescent="0.25">
      <c r="A442" s="14" t="str">
        <f>"16052"</f>
        <v>16052</v>
      </c>
      <c r="B442" s="14" t="str">
        <f>"05061"</f>
        <v>05061</v>
      </c>
      <c r="C442" s="14" t="str">
        <f>"1700"</f>
        <v>1700</v>
      </c>
      <c r="D442" s="14" t="str">
        <f>"05061"</f>
        <v>05061</v>
      </c>
      <c r="E442" s="14" t="s">
        <v>567</v>
      </c>
      <c r="F442" s="14" t="s">
        <v>568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382</v>
      </c>
      <c r="L442" s="14" t="s">
        <v>381</v>
      </c>
      <c r="P442" s="14" t="s">
        <v>31</v>
      </c>
      <c r="Q442" s="14" t="s">
        <v>25</v>
      </c>
      <c r="R442" s="14" t="s">
        <v>383</v>
      </c>
    </row>
    <row r="443" spans="1:18" s="14" customFormat="1" x14ac:dyDescent="0.25">
      <c r="A443" s="14" t="str">
        <f>"16053"</f>
        <v>16053</v>
      </c>
      <c r="B443" s="14" t="str">
        <f>"05060"</f>
        <v>05060</v>
      </c>
      <c r="C443" s="14" t="str">
        <f>"1700"</f>
        <v>1700</v>
      </c>
      <c r="D443" s="14" t="str">
        <f>"16053"</f>
        <v>16053</v>
      </c>
      <c r="E443" s="14" t="s">
        <v>569</v>
      </c>
      <c r="F443" s="14" t="s">
        <v>380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382</v>
      </c>
      <c r="L443" s="14" t="s">
        <v>381</v>
      </c>
      <c r="P443" s="14" t="s">
        <v>31</v>
      </c>
      <c r="Q443" s="14" t="s">
        <v>25</v>
      </c>
      <c r="R443" s="14" t="s">
        <v>383</v>
      </c>
    </row>
    <row r="444" spans="1:18" s="14" customFormat="1" x14ac:dyDescent="0.25">
      <c r="A444" s="14" t="str">
        <f>"16056"</f>
        <v>16056</v>
      </c>
      <c r="B444" s="14" t="str">
        <f>"06000"</f>
        <v>06000</v>
      </c>
      <c r="C444" s="14" t="str">
        <f>"1700"</f>
        <v>1700</v>
      </c>
      <c r="D444" s="14" t="str">
        <f>"16056"</f>
        <v>16056</v>
      </c>
      <c r="E444" s="14" t="s">
        <v>570</v>
      </c>
      <c r="F444" s="14" t="s">
        <v>409</v>
      </c>
      <c r="G444" s="14" t="str">
        <f>""</f>
        <v/>
      </c>
      <c r="H444" s="14" t="str">
        <f>" 10"</f>
        <v xml:space="preserve"> 10</v>
      </c>
      <c r="I444" s="14">
        <v>0.01</v>
      </c>
      <c r="J444" s="14">
        <v>500</v>
      </c>
      <c r="K444" s="14" t="s">
        <v>410</v>
      </c>
      <c r="L444" s="14" t="s">
        <v>411</v>
      </c>
      <c r="M444" s="14" t="s">
        <v>412</v>
      </c>
      <c r="N444" s="14" t="s">
        <v>413</v>
      </c>
      <c r="P444" s="14" t="s">
        <v>39</v>
      </c>
      <c r="Q444" s="14" t="s">
        <v>25</v>
      </c>
      <c r="R444" s="14" t="s">
        <v>410</v>
      </c>
    </row>
    <row r="445" spans="1:18" s="14" customFormat="1" x14ac:dyDescent="0.25">
      <c r="A445" s="14" t="str">
        <f>"16056"</f>
        <v>16056</v>
      </c>
      <c r="B445" s="14" t="str">
        <f>"06000"</f>
        <v>06000</v>
      </c>
      <c r="C445" s="14" t="str">
        <f>"1700"</f>
        <v>1700</v>
      </c>
      <c r="D445" s="14" t="str">
        <f>"16056"</f>
        <v>16056</v>
      </c>
      <c r="E445" s="14" t="s">
        <v>570</v>
      </c>
      <c r="F445" s="14" t="s">
        <v>409</v>
      </c>
      <c r="G445" s="14" t="str">
        <f>""</f>
        <v/>
      </c>
      <c r="H445" s="14" t="str">
        <f>" 20"</f>
        <v xml:space="preserve"> 20</v>
      </c>
      <c r="I445" s="14">
        <v>500.01</v>
      </c>
      <c r="J445" s="14">
        <v>9999999.9900000002</v>
      </c>
      <c r="K445" s="14" t="s">
        <v>414</v>
      </c>
      <c r="L445" s="14" t="s">
        <v>411</v>
      </c>
      <c r="M445" s="14" t="s">
        <v>412</v>
      </c>
      <c r="P445" s="14" t="s">
        <v>39</v>
      </c>
      <c r="Q445" s="14" t="s">
        <v>25</v>
      </c>
      <c r="R445" s="14" t="s">
        <v>410</v>
      </c>
    </row>
    <row r="446" spans="1:18" s="14" customFormat="1" x14ac:dyDescent="0.25">
      <c r="A446" s="14" t="str">
        <f>"16057"</f>
        <v>16057</v>
      </c>
      <c r="B446" s="14" t="str">
        <f>"05110"</f>
        <v>05110</v>
      </c>
      <c r="C446" s="14" t="str">
        <f>"1700"</f>
        <v>1700</v>
      </c>
      <c r="D446" s="14" t="str">
        <f>"16057"</f>
        <v>16057</v>
      </c>
      <c r="E446" s="14" t="s">
        <v>571</v>
      </c>
      <c r="F446" s="14" t="s">
        <v>391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47</v>
      </c>
      <c r="L446" s="14" t="s">
        <v>392</v>
      </c>
      <c r="P446" s="14" t="s">
        <v>31</v>
      </c>
      <c r="Q446" s="14" t="s">
        <v>25</v>
      </c>
      <c r="R446" s="14" t="s">
        <v>392</v>
      </c>
    </row>
    <row r="447" spans="1:18" s="14" customFormat="1" x14ac:dyDescent="0.25">
      <c r="A447" s="14" t="str">
        <f>"16058"</f>
        <v>16058</v>
      </c>
      <c r="B447" s="14" t="str">
        <f>"05110"</f>
        <v>05110</v>
      </c>
      <c r="C447" s="14" t="str">
        <f>"1700"</f>
        <v>1700</v>
      </c>
      <c r="D447" s="14" t="str">
        <f>"16058"</f>
        <v>16058</v>
      </c>
      <c r="E447" s="14" t="s">
        <v>572</v>
      </c>
      <c r="F447" s="14" t="s">
        <v>391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392</v>
      </c>
      <c r="L447" s="14" t="s">
        <v>522</v>
      </c>
      <c r="P447" s="14" t="s">
        <v>31</v>
      </c>
      <c r="Q447" s="14" t="s">
        <v>25</v>
      </c>
      <c r="R447" s="14" t="s">
        <v>392</v>
      </c>
    </row>
    <row r="448" spans="1:18" s="14" customFormat="1" x14ac:dyDescent="0.25">
      <c r="A448" s="14" t="str">
        <f>"16059"</f>
        <v>16059</v>
      </c>
      <c r="B448" s="14" t="str">
        <f>"05000"</f>
        <v>05000</v>
      </c>
      <c r="C448" s="14" t="str">
        <f>"1700"</f>
        <v>1700</v>
      </c>
      <c r="D448" s="14" t="str">
        <f>"16059"</f>
        <v>16059</v>
      </c>
      <c r="E448" s="14" t="s">
        <v>573</v>
      </c>
      <c r="F448" s="14" t="s">
        <v>366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47</v>
      </c>
      <c r="L448" s="14" t="s">
        <v>377</v>
      </c>
      <c r="P448" s="14" t="s">
        <v>31</v>
      </c>
      <c r="Q448" s="14" t="s">
        <v>25</v>
      </c>
      <c r="R448" s="14" t="s">
        <v>377</v>
      </c>
    </row>
    <row r="449" spans="1:18" s="14" customFormat="1" x14ac:dyDescent="0.25">
      <c r="A449" s="14" t="str">
        <f>"16060"</f>
        <v>16060</v>
      </c>
      <c r="B449" s="14" t="str">
        <f>"05050"</f>
        <v>05050</v>
      </c>
      <c r="C449" s="14" t="str">
        <f>"1700"</f>
        <v>1700</v>
      </c>
      <c r="D449" s="14" t="str">
        <f>"16060"</f>
        <v>16060</v>
      </c>
      <c r="E449" s="14" t="s">
        <v>574</v>
      </c>
      <c r="F449" s="14" t="s">
        <v>563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381</v>
      </c>
      <c r="L449" s="14" t="s">
        <v>382</v>
      </c>
      <c r="P449" s="14" t="s">
        <v>31</v>
      </c>
      <c r="Q449" s="14" t="s">
        <v>25</v>
      </c>
      <c r="R449" s="14" t="s">
        <v>383</v>
      </c>
    </row>
    <row r="450" spans="1:18" s="14" customFormat="1" x14ac:dyDescent="0.25">
      <c r="A450" s="14" t="str">
        <f>"16061"</f>
        <v>16061</v>
      </c>
      <c r="B450" s="14" t="str">
        <f>"05080"</f>
        <v>05080</v>
      </c>
      <c r="C450" s="14" t="str">
        <f>"1700"</f>
        <v>1700</v>
      </c>
      <c r="D450" s="14" t="str">
        <f>"16061"</f>
        <v>16061</v>
      </c>
      <c r="E450" s="14" t="s">
        <v>575</v>
      </c>
      <c r="F450" s="14" t="s">
        <v>385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386</v>
      </c>
      <c r="L450" s="14" t="s">
        <v>47</v>
      </c>
      <c r="M450" s="14" t="s">
        <v>387</v>
      </c>
      <c r="P450" s="14" t="s">
        <v>31</v>
      </c>
      <c r="Q450" s="14" t="s">
        <v>25</v>
      </c>
      <c r="R450" s="14" t="s">
        <v>388</v>
      </c>
    </row>
    <row r="451" spans="1:18" s="14" customFormat="1" x14ac:dyDescent="0.25">
      <c r="A451" s="14" t="str">
        <f>"16062"</f>
        <v>16062</v>
      </c>
      <c r="B451" s="14" t="str">
        <f>"03050"</f>
        <v>03050</v>
      </c>
      <c r="C451" s="14" t="str">
        <f>"1700"</f>
        <v>1700</v>
      </c>
      <c r="D451" s="14" t="str">
        <f>"16062"</f>
        <v>16062</v>
      </c>
      <c r="E451" s="14" t="s">
        <v>576</v>
      </c>
      <c r="F451" s="14" t="s">
        <v>225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226</v>
      </c>
      <c r="L451" s="14" t="s">
        <v>228</v>
      </c>
      <c r="P451" s="14" t="s">
        <v>31</v>
      </c>
      <c r="Q451" s="14" t="s">
        <v>25</v>
      </c>
      <c r="R451" s="14" t="s">
        <v>229</v>
      </c>
    </row>
    <row r="452" spans="1:18" s="14" customFormat="1" x14ac:dyDescent="0.25">
      <c r="A452" s="14" t="str">
        <f>"16063"</f>
        <v>16063</v>
      </c>
      <c r="B452" s="14" t="str">
        <f>"05000"</f>
        <v>05000</v>
      </c>
      <c r="C452" s="14" t="str">
        <f>"1700"</f>
        <v>1700</v>
      </c>
      <c r="D452" s="14" t="str">
        <f>""</f>
        <v/>
      </c>
      <c r="E452" s="14" t="s">
        <v>577</v>
      </c>
      <c r="F452" s="14" t="s">
        <v>366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47</v>
      </c>
      <c r="L452" s="14" t="s">
        <v>37</v>
      </c>
      <c r="P452" s="14" t="s">
        <v>31</v>
      </c>
      <c r="Q452" s="14" t="s">
        <v>25</v>
      </c>
      <c r="R452" s="14" t="s">
        <v>367</v>
      </c>
    </row>
    <row r="453" spans="1:18" s="14" customFormat="1" x14ac:dyDescent="0.25">
      <c r="A453" s="14" t="str">
        <f>"17001"</f>
        <v>17001</v>
      </c>
      <c r="B453" s="14" t="str">
        <f>"01000"</f>
        <v>01000</v>
      </c>
      <c r="C453" s="14" t="str">
        <f>"1200"</f>
        <v>1200</v>
      </c>
      <c r="D453" s="14" t="str">
        <f>""</f>
        <v/>
      </c>
      <c r="E453" s="14" t="s">
        <v>578</v>
      </c>
      <c r="F453" s="14" t="s">
        <v>44</v>
      </c>
      <c r="G453" s="14" t="str">
        <f>"GR0017001"</f>
        <v>GR0017001</v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37</v>
      </c>
      <c r="L453" s="14" t="s">
        <v>38</v>
      </c>
      <c r="O453" s="14" t="s">
        <v>579</v>
      </c>
      <c r="P453" s="14" t="s">
        <v>39</v>
      </c>
      <c r="Q453" s="14" t="s">
        <v>25</v>
      </c>
      <c r="R453" s="14" t="s">
        <v>38</v>
      </c>
    </row>
    <row r="454" spans="1:18" s="14" customFormat="1" x14ac:dyDescent="0.25">
      <c r="A454" s="14" t="str">
        <f>"17002"</f>
        <v>17002</v>
      </c>
      <c r="B454" s="14" t="str">
        <f>"01290"</f>
        <v>01290</v>
      </c>
      <c r="C454" s="14" t="str">
        <f>"1300"</f>
        <v>1300</v>
      </c>
      <c r="D454" s="14" t="str">
        <f>""</f>
        <v/>
      </c>
      <c r="E454" s="14" t="s">
        <v>580</v>
      </c>
      <c r="F454" s="14" t="s">
        <v>95</v>
      </c>
      <c r="G454" s="14" t="str">
        <f>"GR0017002"</f>
        <v>GR0017002</v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37</v>
      </c>
      <c r="L454" s="14" t="s">
        <v>38</v>
      </c>
      <c r="O454" s="14" t="s">
        <v>37</v>
      </c>
      <c r="P454" s="14" t="s">
        <v>39</v>
      </c>
      <c r="Q454" s="14" t="s">
        <v>25</v>
      </c>
      <c r="R454" s="14" t="s">
        <v>38</v>
      </c>
    </row>
    <row r="455" spans="1:18" s="14" customFormat="1" x14ac:dyDescent="0.25">
      <c r="A455" s="14" t="str">
        <f>"17003"</f>
        <v>17003</v>
      </c>
      <c r="B455" s="14" t="str">
        <f>"01000"</f>
        <v>01000</v>
      </c>
      <c r="C455" s="14" t="str">
        <f>"1200"</f>
        <v>1200</v>
      </c>
      <c r="D455" s="14" t="str">
        <f>""</f>
        <v/>
      </c>
      <c r="E455" s="14" t="s">
        <v>581</v>
      </c>
      <c r="F455" s="14" t="s">
        <v>44</v>
      </c>
      <c r="G455" s="14" t="str">
        <f>"GR0017003"</f>
        <v>GR0017003</v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37</v>
      </c>
      <c r="L455" s="14" t="s">
        <v>34</v>
      </c>
      <c r="O455" s="14" t="s">
        <v>38</v>
      </c>
      <c r="P455" s="14" t="s">
        <v>39</v>
      </c>
      <c r="Q455" s="14" t="s">
        <v>25</v>
      </c>
      <c r="R455" s="14" t="s">
        <v>38</v>
      </c>
    </row>
    <row r="456" spans="1:18" s="14" customFormat="1" x14ac:dyDescent="0.25">
      <c r="A456" s="14" t="str">
        <f>"17004"</f>
        <v>17004</v>
      </c>
      <c r="B456" s="14" t="str">
        <f>"01000"</f>
        <v>01000</v>
      </c>
      <c r="C456" s="14" t="str">
        <f>"1700"</f>
        <v>1700</v>
      </c>
      <c r="D456" s="14" t="str">
        <f>"17004"</f>
        <v>17004</v>
      </c>
      <c r="E456" s="14" t="s">
        <v>582</v>
      </c>
      <c r="F456" s="14" t="s">
        <v>44</v>
      </c>
      <c r="G456" s="14" t="str">
        <f>"GR0017004"</f>
        <v>GR0017004</v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37</v>
      </c>
      <c r="L456" s="14" t="s">
        <v>34</v>
      </c>
      <c r="O456" s="14" t="s">
        <v>38</v>
      </c>
      <c r="P456" s="14" t="s">
        <v>39</v>
      </c>
      <c r="Q456" s="14" t="s">
        <v>25</v>
      </c>
      <c r="R456" s="14" t="s">
        <v>38</v>
      </c>
    </row>
    <row r="457" spans="1:18" s="14" customFormat="1" x14ac:dyDescent="0.25">
      <c r="A457" s="14" t="str">
        <f>"17292"</f>
        <v>17292</v>
      </c>
      <c r="B457" s="14" t="str">
        <f>"01160"</f>
        <v>01160</v>
      </c>
      <c r="C457" s="14" t="str">
        <f>"1600"</f>
        <v>1600</v>
      </c>
      <c r="D457" s="14" t="str">
        <f>"17292"</f>
        <v>17292</v>
      </c>
      <c r="E457" s="14" t="s">
        <v>583</v>
      </c>
      <c r="F457" s="14" t="s">
        <v>63</v>
      </c>
      <c r="G457" s="14" t="str">
        <f>"GR0017292"</f>
        <v>GR0017292</v>
      </c>
      <c r="H457" s="14" t="str">
        <f>" 10"</f>
        <v xml:space="preserve"> 10</v>
      </c>
      <c r="I457" s="14">
        <v>0.01</v>
      </c>
      <c r="J457" s="14">
        <v>500</v>
      </c>
      <c r="K457" s="14" t="s">
        <v>64</v>
      </c>
      <c r="P457" s="14" t="s">
        <v>31</v>
      </c>
      <c r="Q457" s="14" t="s">
        <v>31</v>
      </c>
      <c r="R457" s="14" t="s">
        <v>55</v>
      </c>
    </row>
    <row r="458" spans="1:18" s="14" customFormat="1" x14ac:dyDescent="0.25">
      <c r="A458" s="14" t="str">
        <f>"17292"</f>
        <v>17292</v>
      </c>
      <c r="B458" s="14" t="str">
        <f>"01160"</f>
        <v>01160</v>
      </c>
      <c r="C458" s="14" t="str">
        <f>"1600"</f>
        <v>1600</v>
      </c>
      <c r="D458" s="14" t="str">
        <f>"17292"</f>
        <v>17292</v>
      </c>
      <c r="E458" s="14" t="s">
        <v>583</v>
      </c>
      <c r="F458" s="14" t="s">
        <v>63</v>
      </c>
      <c r="G458" s="14" t="str">
        <f>"GR0017292"</f>
        <v>GR0017292</v>
      </c>
      <c r="H458" s="14" t="str">
        <f>" 20"</f>
        <v xml:space="preserve"> 20</v>
      </c>
      <c r="I458" s="14">
        <v>500.01</v>
      </c>
      <c r="J458" s="14">
        <v>9999999.9900000002</v>
      </c>
      <c r="K458" s="14" t="s">
        <v>55</v>
      </c>
      <c r="L458" s="14" t="s">
        <v>53</v>
      </c>
      <c r="M458" s="14" t="s">
        <v>54</v>
      </c>
      <c r="P458" s="14" t="s">
        <v>31</v>
      </c>
      <c r="Q458" s="14" t="s">
        <v>31</v>
      </c>
      <c r="R458" s="14" t="s">
        <v>55</v>
      </c>
    </row>
    <row r="459" spans="1:18" s="14" customFormat="1" x14ac:dyDescent="0.25">
      <c r="A459" s="14" t="str">
        <f>"18001"</f>
        <v>18001</v>
      </c>
      <c r="B459" s="14" t="str">
        <f>"01000"</f>
        <v>01000</v>
      </c>
      <c r="C459" s="14" t="str">
        <f>"1300"</f>
        <v>1300</v>
      </c>
      <c r="D459" s="14" t="str">
        <f>"18001"</f>
        <v>18001</v>
      </c>
      <c r="E459" s="14" t="s">
        <v>584</v>
      </c>
      <c r="F459" s="14" t="s">
        <v>44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37</v>
      </c>
      <c r="L459" s="14" t="s">
        <v>601</v>
      </c>
      <c r="P459" s="14" t="s">
        <v>39</v>
      </c>
      <c r="Q459" s="14" t="s">
        <v>25</v>
      </c>
      <c r="R459" s="14" t="s">
        <v>38</v>
      </c>
    </row>
    <row r="460" spans="1:18" s="14" customFormat="1" x14ac:dyDescent="0.25">
      <c r="A460" s="14" t="str">
        <f>"18002"</f>
        <v>18002</v>
      </c>
      <c r="B460" s="14" t="str">
        <f>"02010"</f>
        <v>02010</v>
      </c>
      <c r="C460" s="14" t="str">
        <f>"1400"</f>
        <v>1400</v>
      </c>
      <c r="D460" s="14" t="str">
        <f>"18002"</f>
        <v>18002</v>
      </c>
      <c r="E460" s="14" t="s">
        <v>585</v>
      </c>
      <c r="F460" s="14" t="s">
        <v>191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192</v>
      </c>
      <c r="L460" s="14" t="s">
        <v>193</v>
      </c>
      <c r="M460" s="14" t="s">
        <v>194</v>
      </c>
      <c r="P460" s="14" t="s">
        <v>31</v>
      </c>
      <c r="Q460" s="14" t="s">
        <v>25</v>
      </c>
      <c r="R460" s="14" t="s">
        <v>192</v>
      </c>
    </row>
    <row r="461" spans="1:18" s="14" customFormat="1" x14ac:dyDescent="0.25">
      <c r="A461" s="14" t="str">
        <f>"18003"</f>
        <v>18003</v>
      </c>
      <c r="B461" s="14" t="str">
        <f>"03130"</f>
        <v>03130</v>
      </c>
      <c r="C461" s="14" t="str">
        <f>"1400"</f>
        <v>1400</v>
      </c>
      <c r="D461" s="14" t="str">
        <f>"18003"</f>
        <v>18003</v>
      </c>
      <c r="E461" s="14" t="s">
        <v>586</v>
      </c>
      <c r="F461" s="14" t="s">
        <v>246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244</v>
      </c>
      <c r="P461" s="14" t="s">
        <v>31</v>
      </c>
      <c r="Q461" s="14" t="s">
        <v>25</v>
      </c>
      <c r="R461" s="14" t="s">
        <v>245</v>
      </c>
    </row>
    <row r="462" spans="1:18" s="14" customFormat="1" x14ac:dyDescent="0.25">
      <c r="A462" s="14" t="str">
        <f>"18004"</f>
        <v>18004</v>
      </c>
      <c r="B462" s="14" t="str">
        <f>"01090"</f>
        <v>01090</v>
      </c>
      <c r="C462" s="14" t="str">
        <f>"1600"</f>
        <v>1600</v>
      </c>
      <c r="D462" s="14" t="str">
        <f>"18004"</f>
        <v>18004</v>
      </c>
      <c r="E462" s="14" t="s">
        <v>587</v>
      </c>
      <c r="F462" s="14" t="s">
        <v>62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53</v>
      </c>
      <c r="L462" s="14" t="s">
        <v>54</v>
      </c>
      <c r="M462" s="14" t="s">
        <v>55</v>
      </c>
      <c r="P462" s="14" t="s">
        <v>31</v>
      </c>
      <c r="Q462" s="14" t="s">
        <v>25</v>
      </c>
      <c r="R462" s="14" t="s">
        <v>54</v>
      </c>
    </row>
    <row r="463" spans="1:18" s="14" customFormat="1" x14ac:dyDescent="0.25">
      <c r="A463" s="14" t="str">
        <f>"18005"</f>
        <v>18005</v>
      </c>
      <c r="B463" s="14" t="str">
        <f>"01160"</f>
        <v>01160</v>
      </c>
      <c r="C463" s="14" t="str">
        <f>"1600"</f>
        <v>1600</v>
      </c>
      <c r="D463" s="14" t="str">
        <f>"18005"</f>
        <v>18005</v>
      </c>
      <c r="E463" s="14" t="s">
        <v>588</v>
      </c>
      <c r="F463" s="14" t="s">
        <v>63</v>
      </c>
      <c r="G463" s="14" t="str">
        <f>""</f>
        <v/>
      </c>
      <c r="H463" s="14" t="str">
        <f>" 10"</f>
        <v xml:space="preserve"> 10</v>
      </c>
      <c r="I463" s="14">
        <v>0.01</v>
      </c>
      <c r="J463" s="14">
        <v>500</v>
      </c>
      <c r="K463" s="14" t="s">
        <v>64</v>
      </c>
      <c r="P463" s="14" t="s">
        <v>31</v>
      </c>
      <c r="Q463" s="14" t="s">
        <v>25</v>
      </c>
      <c r="R463" s="14" t="s">
        <v>55</v>
      </c>
    </row>
    <row r="464" spans="1:18" s="14" customFormat="1" x14ac:dyDescent="0.25">
      <c r="A464" s="14" t="str">
        <f>"18005"</f>
        <v>18005</v>
      </c>
      <c r="B464" s="14" t="str">
        <f>"01160"</f>
        <v>01160</v>
      </c>
      <c r="C464" s="14" t="str">
        <f>"1600"</f>
        <v>1600</v>
      </c>
      <c r="D464" s="14" t="str">
        <f>"18005"</f>
        <v>18005</v>
      </c>
      <c r="E464" s="14" t="s">
        <v>588</v>
      </c>
      <c r="F464" s="14" t="s">
        <v>63</v>
      </c>
      <c r="G464" s="14" t="str">
        <f>""</f>
        <v/>
      </c>
      <c r="H464" s="14" t="str">
        <f>" 20"</f>
        <v xml:space="preserve"> 20</v>
      </c>
      <c r="I464" s="14">
        <v>500.01</v>
      </c>
      <c r="J464" s="14">
        <v>9999999.9900000002</v>
      </c>
      <c r="K464" s="14" t="s">
        <v>55</v>
      </c>
      <c r="L464" s="14" t="s">
        <v>53</v>
      </c>
      <c r="P464" s="14" t="s">
        <v>31</v>
      </c>
      <c r="Q464" s="14" t="s">
        <v>25</v>
      </c>
      <c r="R464" s="14" t="s">
        <v>55</v>
      </c>
    </row>
    <row r="465" spans="1:18" s="14" customFormat="1" x14ac:dyDescent="0.25">
      <c r="A465" s="14" t="str">
        <f>"18006"</f>
        <v>18006</v>
      </c>
      <c r="B465" s="14" t="str">
        <f>"01687"</f>
        <v>01687</v>
      </c>
      <c r="C465" s="14" t="str">
        <f>"1600"</f>
        <v>1600</v>
      </c>
      <c r="D465" s="14" t="str">
        <f>"18006"</f>
        <v>18006</v>
      </c>
      <c r="E465" s="14" t="s">
        <v>589</v>
      </c>
      <c r="F465" s="14" t="s">
        <v>590</v>
      </c>
      <c r="G465" s="14" t="str">
        <f>""</f>
        <v/>
      </c>
      <c r="H465" s="14" t="str">
        <f>" 10"</f>
        <v xml:space="preserve"> 10</v>
      </c>
      <c r="I465" s="14">
        <v>0.01</v>
      </c>
      <c r="J465" s="14">
        <v>500</v>
      </c>
      <c r="K465" s="14" t="s">
        <v>146</v>
      </c>
      <c r="L465" s="14" t="s">
        <v>147</v>
      </c>
      <c r="P465" s="14" t="s">
        <v>39</v>
      </c>
      <c r="Q465" s="14" t="s">
        <v>25</v>
      </c>
      <c r="R465" s="14" t="s">
        <v>146</v>
      </c>
    </row>
    <row r="466" spans="1:18" s="14" customFormat="1" x14ac:dyDescent="0.25">
      <c r="A466" s="14" t="str">
        <f>"18006"</f>
        <v>18006</v>
      </c>
      <c r="B466" s="14" t="str">
        <f>"01687"</f>
        <v>01687</v>
      </c>
      <c r="C466" s="14" t="str">
        <f>"1600"</f>
        <v>1600</v>
      </c>
      <c r="D466" s="14" t="str">
        <f>"18006"</f>
        <v>18006</v>
      </c>
      <c r="E466" s="14" t="s">
        <v>589</v>
      </c>
      <c r="F466" s="14" t="s">
        <v>590</v>
      </c>
      <c r="G466" s="14" t="str">
        <f>""</f>
        <v/>
      </c>
      <c r="H466" s="14" t="str">
        <f>" 20"</f>
        <v xml:space="preserve"> 20</v>
      </c>
      <c r="I466" s="14">
        <v>500.01</v>
      </c>
      <c r="J466" s="14">
        <v>9999999.9900000002</v>
      </c>
      <c r="K466" s="14" t="s">
        <v>591</v>
      </c>
      <c r="L466" s="14" t="s">
        <v>147</v>
      </c>
      <c r="P466" s="14" t="s">
        <v>39</v>
      </c>
      <c r="Q466" s="14" t="s">
        <v>25</v>
      </c>
      <c r="R466" s="14" t="s">
        <v>146</v>
      </c>
    </row>
    <row r="467" spans="1:18" s="14" customFormat="1" x14ac:dyDescent="0.25">
      <c r="A467" s="14" t="str">
        <f>"18007"</f>
        <v>18007</v>
      </c>
      <c r="B467" s="14" t="str">
        <f>"01090"</f>
        <v>01090</v>
      </c>
      <c r="C467" s="14" t="str">
        <f>"1100"</f>
        <v>1100</v>
      </c>
      <c r="D467" s="14" t="str">
        <f>"18007"</f>
        <v>18007</v>
      </c>
      <c r="E467" s="14" t="s">
        <v>592</v>
      </c>
      <c r="F467" s="14" t="s">
        <v>62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53</v>
      </c>
      <c r="L467" s="14" t="s">
        <v>54</v>
      </c>
      <c r="M467" s="14" t="s">
        <v>55</v>
      </c>
      <c r="P467" s="14" t="s">
        <v>31</v>
      </c>
      <c r="Q467" s="14" t="s">
        <v>25</v>
      </c>
      <c r="R467" s="14" t="s">
        <v>54</v>
      </c>
    </row>
    <row r="468" spans="1:18" s="14" customFormat="1" x14ac:dyDescent="0.25">
      <c r="A468" s="14" t="str">
        <f>"18008"</f>
        <v>18008</v>
      </c>
      <c r="B468" s="14" t="str">
        <f>"01090"</f>
        <v>01090</v>
      </c>
      <c r="C468" s="14" t="str">
        <f>"1600"</f>
        <v>1600</v>
      </c>
      <c r="D468" s="14" t="str">
        <f>"18008"</f>
        <v>18008</v>
      </c>
      <c r="E468" s="14" t="s">
        <v>593</v>
      </c>
      <c r="F468" s="14" t="s">
        <v>62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53</v>
      </c>
      <c r="L468" s="14" t="s">
        <v>54</v>
      </c>
      <c r="M468" s="14" t="s">
        <v>55</v>
      </c>
      <c r="P468" s="14" t="s">
        <v>31</v>
      </c>
      <c r="Q468" s="14" t="s">
        <v>25</v>
      </c>
      <c r="R468" s="14" t="s">
        <v>54</v>
      </c>
    </row>
    <row r="469" spans="1:18" s="14" customFormat="1" x14ac:dyDescent="0.25">
      <c r="A469" s="14" t="str">
        <f>"18009"</f>
        <v>18009</v>
      </c>
      <c r="B469" s="14" t="str">
        <f>"01090"</f>
        <v>01090</v>
      </c>
      <c r="C469" s="14" t="str">
        <f>"1100"</f>
        <v>1100</v>
      </c>
      <c r="D469" s="14" t="str">
        <f>"18009"</f>
        <v>18009</v>
      </c>
      <c r="E469" s="14" t="s">
        <v>594</v>
      </c>
      <c r="F469" s="14" t="s">
        <v>62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53</v>
      </c>
      <c r="L469" s="14" t="s">
        <v>54</v>
      </c>
      <c r="M469" s="14" t="s">
        <v>55</v>
      </c>
      <c r="P469" s="14" t="s">
        <v>31</v>
      </c>
      <c r="Q469" s="14" t="s">
        <v>25</v>
      </c>
      <c r="R469" s="14" t="s">
        <v>54</v>
      </c>
    </row>
    <row r="470" spans="1:18" s="14" customFormat="1" x14ac:dyDescent="0.25">
      <c r="A470" s="14" t="str">
        <f>"18010"</f>
        <v>18010</v>
      </c>
      <c r="B470" s="14" t="str">
        <f>"01687"</f>
        <v>01687</v>
      </c>
      <c r="C470" s="14" t="str">
        <f>"1600"</f>
        <v>1600</v>
      </c>
      <c r="D470" s="14" t="str">
        <f>"18010"</f>
        <v>18010</v>
      </c>
      <c r="E470" s="14" t="s">
        <v>595</v>
      </c>
      <c r="F470" s="14" t="s">
        <v>590</v>
      </c>
      <c r="G470" s="14" t="str">
        <f>""</f>
        <v/>
      </c>
      <c r="H470" s="14" t="str">
        <f>" 10"</f>
        <v xml:space="preserve"> 10</v>
      </c>
      <c r="I470" s="14">
        <v>0.01</v>
      </c>
      <c r="J470" s="14">
        <v>500</v>
      </c>
      <c r="K470" s="14" t="s">
        <v>146</v>
      </c>
      <c r="L470" s="14" t="s">
        <v>147</v>
      </c>
      <c r="P470" s="14" t="s">
        <v>39</v>
      </c>
      <c r="Q470" s="14" t="s">
        <v>25</v>
      </c>
      <c r="R470" s="14" t="s">
        <v>146</v>
      </c>
    </row>
    <row r="471" spans="1:18" s="14" customFormat="1" x14ac:dyDescent="0.25">
      <c r="A471" s="14" t="str">
        <f>"18010"</f>
        <v>18010</v>
      </c>
      <c r="B471" s="14" t="str">
        <f>"01687"</f>
        <v>01687</v>
      </c>
      <c r="C471" s="14" t="str">
        <f>"1600"</f>
        <v>1600</v>
      </c>
      <c r="D471" s="14" t="str">
        <f>"18010"</f>
        <v>18010</v>
      </c>
      <c r="E471" s="14" t="s">
        <v>595</v>
      </c>
      <c r="F471" s="14" t="s">
        <v>590</v>
      </c>
      <c r="G471" s="14" t="str">
        <f>""</f>
        <v/>
      </c>
      <c r="H471" s="14" t="str">
        <f>" 20"</f>
        <v xml:space="preserve"> 20</v>
      </c>
      <c r="I471" s="14">
        <v>500.01</v>
      </c>
      <c r="J471" s="14">
        <v>9999999.9900000002</v>
      </c>
      <c r="K471" s="14" t="s">
        <v>591</v>
      </c>
      <c r="L471" s="14" t="s">
        <v>147</v>
      </c>
      <c r="P471" s="14" t="s">
        <v>39</v>
      </c>
      <c r="Q471" s="14" t="s">
        <v>25</v>
      </c>
      <c r="R471" s="14" t="s">
        <v>146</v>
      </c>
    </row>
    <row r="472" spans="1:18" s="14" customFormat="1" x14ac:dyDescent="0.25">
      <c r="A472" s="14" t="str">
        <f>"18013"</f>
        <v>18013</v>
      </c>
      <c r="B472" s="14" t="str">
        <f>"01400"</f>
        <v>01400</v>
      </c>
      <c r="C472" s="14" t="str">
        <f>"1600"</f>
        <v>1600</v>
      </c>
      <c r="D472" s="14" t="str">
        <f>"18013"</f>
        <v>18013</v>
      </c>
      <c r="E472" s="14" t="s">
        <v>596</v>
      </c>
      <c r="F472" s="14" t="s">
        <v>117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69</v>
      </c>
      <c r="L472" s="14" t="s">
        <v>70</v>
      </c>
      <c r="M472" s="14" t="s">
        <v>71</v>
      </c>
      <c r="P472" s="14" t="s">
        <v>31</v>
      </c>
      <c r="Q472" s="14" t="s">
        <v>25</v>
      </c>
      <c r="R472" s="14" t="s">
        <v>72</v>
      </c>
    </row>
    <row r="473" spans="1:18" s="14" customFormat="1" x14ac:dyDescent="0.25">
      <c r="A473" s="14" t="str">
        <f>"18014"</f>
        <v>18014</v>
      </c>
      <c r="B473" s="14" t="str">
        <f>"01000"</f>
        <v>01000</v>
      </c>
      <c r="C473" s="14" t="str">
        <f>"1300"</f>
        <v>1300</v>
      </c>
      <c r="D473" s="14" t="str">
        <f>"18014"</f>
        <v>18014</v>
      </c>
      <c r="E473" s="14" t="s">
        <v>597</v>
      </c>
      <c r="F473" s="14" t="s">
        <v>44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37</v>
      </c>
      <c r="L473" s="14" t="s">
        <v>34</v>
      </c>
      <c r="P473" s="14" t="s">
        <v>39</v>
      </c>
      <c r="Q473" s="14" t="s">
        <v>25</v>
      </c>
      <c r="R473" s="14" t="s">
        <v>38</v>
      </c>
    </row>
    <row r="474" spans="1:18" s="14" customFormat="1" x14ac:dyDescent="0.25">
      <c r="A474" s="14" t="str">
        <f>"18015"</f>
        <v>18015</v>
      </c>
      <c r="B474" s="14" t="str">
        <f>"01000"</f>
        <v>01000</v>
      </c>
      <c r="C474" s="14" t="str">
        <f>"1300"</f>
        <v>1300</v>
      </c>
      <c r="D474" s="14" t="str">
        <f>"18015"</f>
        <v>18015</v>
      </c>
      <c r="E474" s="14" t="s">
        <v>598</v>
      </c>
      <c r="F474" s="14" t="s">
        <v>44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37</v>
      </c>
      <c r="L474" s="14" t="s">
        <v>38</v>
      </c>
      <c r="P474" s="14" t="s">
        <v>39</v>
      </c>
      <c r="Q474" s="14" t="s">
        <v>25</v>
      </c>
      <c r="R474" s="14" t="s">
        <v>38</v>
      </c>
    </row>
    <row r="475" spans="1:18" s="14" customFormat="1" x14ac:dyDescent="0.25">
      <c r="A475" s="14" t="str">
        <f>"18016"</f>
        <v>18016</v>
      </c>
      <c r="B475" s="14" t="str">
        <f>"01000"</f>
        <v>01000</v>
      </c>
      <c r="C475" s="14" t="str">
        <f>"1300"</f>
        <v>1300</v>
      </c>
      <c r="D475" s="14" t="str">
        <f>"18016"</f>
        <v>18016</v>
      </c>
      <c r="E475" s="14" t="s">
        <v>599</v>
      </c>
      <c r="F475" s="14" t="s">
        <v>44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37</v>
      </c>
      <c r="L475" s="14" t="s">
        <v>34</v>
      </c>
      <c r="P475" s="14" t="s">
        <v>39</v>
      </c>
      <c r="Q475" s="14" t="s">
        <v>25</v>
      </c>
      <c r="R475" s="14" t="s">
        <v>38</v>
      </c>
    </row>
    <row r="476" spans="1:18" s="14" customFormat="1" x14ac:dyDescent="0.25">
      <c r="A476" s="14" t="str">
        <f>"18017"</f>
        <v>18017</v>
      </c>
      <c r="B476" s="14" t="str">
        <f>"01000"</f>
        <v>01000</v>
      </c>
      <c r="C476" s="14" t="str">
        <f>"1300"</f>
        <v>1300</v>
      </c>
      <c r="D476" s="14" t="str">
        <f>"18017"</f>
        <v>18017</v>
      </c>
      <c r="E476" s="14" t="s">
        <v>600</v>
      </c>
      <c r="F476" s="14" t="s">
        <v>44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37</v>
      </c>
      <c r="L476" s="14" t="s">
        <v>601</v>
      </c>
      <c r="M476" s="14" t="s">
        <v>38</v>
      </c>
      <c r="P476" s="14" t="s">
        <v>39</v>
      </c>
      <c r="Q476" s="14" t="s">
        <v>25</v>
      </c>
      <c r="R476" s="14" t="s">
        <v>45</v>
      </c>
    </row>
    <row r="477" spans="1:18" s="14" customFormat="1" x14ac:dyDescent="0.25">
      <c r="A477" s="14" t="str">
        <f>"18018"</f>
        <v>18018</v>
      </c>
      <c r="B477" s="14" t="str">
        <f>"01400"</f>
        <v>01400</v>
      </c>
      <c r="C477" s="14" t="str">
        <f>"1300"</f>
        <v>1300</v>
      </c>
      <c r="D477" s="14" t="str">
        <f>"18018"</f>
        <v>18018</v>
      </c>
      <c r="E477" s="14" t="s">
        <v>602</v>
      </c>
      <c r="F477" s="14" t="s">
        <v>117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69</v>
      </c>
      <c r="L477" s="14" t="s">
        <v>70</v>
      </c>
      <c r="M477" s="14" t="s">
        <v>71</v>
      </c>
      <c r="P477" s="14" t="s">
        <v>31</v>
      </c>
      <c r="Q477" s="14" t="s">
        <v>25</v>
      </c>
      <c r="R477" s="14" t="s">
        <v>72</v>
      </c>
    </row>
    <row r="478" spans="1:18" s="14" customFormat="1" x14ac:dyDescent="0.25">
      <c r="A478" s="14" t="str">
        <f>"18019"</f>
        <v>18019</v>
      </c>
      <c r="B478" s="14" t="str">
        <f>"01780"</f>
        <v>01780</v>
      </c>
      <c r="C478" s="14" t="str">
        <f>"1300"</f>
        <v>1300</v>
      </c>
      <c r="D478" s="14" t="str">
        <f>"18019"</f>
        <v>18019</v>
      </c>
      <c r="E478" s="14" t="s">
        <v>603</v>
      </c>
      <c r="F478" s="14" t="s">
        <v>175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112</v>
      </c>
      <c r="L478" s="14" t="s">
        <v>113</v>
      </c>
      <c r="M478" s="14" t="s">
        <v>114</v>
      </c>
      <c r="P478" s="14" t="s">
        <v>31</v>
      </c>
      <c r="Q478" s="14" t="s">
        <v>25</v>
      </c>
      <c r="R478" s="14" t="s">
        <v>115</v>
      </c>
    </row>
    <row r="479" spans="1:18" s="14" customFormat="1" x14ac:dyDescent="0.25">
      <c r="A479" s="14" t="str">
        <f>"18020"</f>
        <v>18020</v>
      </c>
      <c r="B479" s="14" t="str">
        <f>"01660"</f>
        <v>01660</v>
      </c>
      <c r="C479" s="14" t="str">
        <f>"1300"</f>
        <v>1300</v>
      </c>
      <c r="D479" s="14" t="str">
        <f>"18020"</f>
        <v>18020</v>
      </c>
      <c r="E479" s="14" t="s">
        <v>604</v>
      </c>
      <c r="F479" s="14" t="s">
        <v>145</v>
      </c>
      <c r="G479" s="14" t="str">
        <f>""</f>
        <v/>
      </c>
      <c r="H479" s="14" t="str">
        <f>" 10"</f>
        <v xml:space="preserve"> 10</v>
      </c>
      <c r="I479" s="14">
        <v>0.01</v>
      </c>
      <c r="J479" s="14">
        <v>500</v>
      </c>
      <c r="K479" s="14" t="s">
        <v>146</v>
      </c>
      <c r="L479" s="14" t="s">
        <v>147</v>
      </c>
      <c r="P479" s="14" t="s">
        <v>39</v>
      </c>
      <c r="Q479" s="14" t="s">
        <v>25</v>
      </c>
      <c r="R479" s="14" t="s">
        <v>146</v>
      </c>
    </row>
    <row r="480" spans="1:18" s="14" customFormat="1" x14ac:dyDescent="0.25">
      <c r="A480" s="14" t="str">
        <f>"18020"</f>
        <v>18020</v>
      </c>
      <c r="B480" s="14" t="str">
        <f>"01660"</f>
        <v>01660</v>
      </c>
      <c r="C480" s="14" t="str">
        <f>"1300"</f>
        <v>1300</v>
      </c>
      <c r="D480" s="14" t="str">
        <f>"18020"</f>
        <v>18020</v>
      </c>
      <c r="E480" s="14" t="s">
        <v>604</v>
      </c>
      <c r="F480" s="14" t="s">
        <v>145</v>
      </c>
      <c r="G480" s="14" t="str">
        <f>""</f>
        <v/>
      </c>
      <c r="H480" s="14" t="str">
        <f>" 20"</f>
        <v xml:space="preserve"> 20</v>
      </c>
      <c r="I480" s="14">
        <v>500.01</v>
      </c>
      <c r="J480" s="14">
        <v>9999999.9900000002</v>
      </c>
      <c r="K480" s="14" t="s">
        <v>147</v>
      </c>
      <c r="L480" s="14" t="s">
        <v>148</v>
      </c>
      <c r="P480" s="14" t="s">
        <v>39</v>
      </c>
      <c r="Q480" s="14" t="s">
        <v>25</v>
      </c>
      <c r="R480" s="14" t="s">
        <v>146</v>
      </c>
    </row>
    <row r="481" spans="1:18" s="14" customFormat="1" x14ac:dyDescent="0.25">
      <c r="A481" s="14" t="str">
        <f>"18021"</f>
        <v>18021</v>
      </c>
      <c r="B481" s="14" t="str">
        <f>"01300"</f>
        <v>01300</v>
      </c>
      <c r="C481" s="14" t="str">
        <f>"1300"</f>
        <v>1300</v>
      </c>
      <c r="D481" s="14" t="str">
        <f>"18021"</f>
        <v>18021</v>
      </c>
      <c r="E481" s="14" t="s">
        <v>605</v>
      </c>
      <c r="F481" s="14" t="s">
        <v>96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48</v>
      </c>
      <c r="L481" s="14" t="s">
        <v>97</v>
      </c>
      <c r="M481" s="14" t="s">
        <v>98</v>
      </c>
      <c r="P481" s="14" t="s">
        <v>39</v>
      </c>
      <c r="Q481" s="14" t="s">
        <v>25</v>
      </c>
      <c r="R481" s="14" t="s">
        <v>49</v>
      </c>
    </row>
    <row r="482" spans="1:18" s="14" customFormat="1" x14ac:dyDescent="0.25">
      <c r="A482" s="14" t="str">
        <f>"18024"</f>
        <v>18024</v>
      </c>
      <c r="B482" s="14" t="str">
        <f>"01660"</f>
        <v>01660</v>
      </c>
      <c r="C482" s="14" t="str">
        <f>"1300"</f>
        <v>1300</v>
      </c>
      <c r="D482" s="14" t="str">
        <f>"18024"</f>
        <v>18024</v>
      </c>
      <c r="E482" s="14" t="s">
        <v>606</v>
      </c>
      <c r="F482" s="14" t="s">
        <v>145</v>
      </c>
      <c r="G482" s="14" t="str">
        <f>""</f>
        <v/>
      </c>
      <c r="H482" s="14" t="str">
        <f>" 10"</f>
        <v xml:space="preserve"> 10</v>
      </c>
      <c r="I482" s="14">
        <v>0.01</v>
      </c>
      <c r="J482" s="14">
        <v>500</v>
      </c>
      <c r="K482" s="14" t="s">
        <v>146</v>
      </c>
      <c r="L482" s="14" t="s">
        <v>147</v>
      </c>
      <c r="P482" s="14" t="s">
        <v>39</v>
      </c>
      <c r="Q482" s="14" t="s">
        <v>25</v>
      </c>
      <c r="R482" s="14" t="s">
        <v>146</v>
      </c>
    </row>
    <row r="483" spans="1:18" s="14" customFormat="1" x14ac:dyDescent="0.25">
      <c r="A483" s="14" t="str">
        <f>"18024"</f>
        <v>18024</v>
      </c>
      <c r="B483" s="14" t="str">
        <f>"01660"</f>
        <v>01660</v>
      </c>
      <c r="C483" s="14" t="str">
        <f>"1300"</f>
        <v>1300</v>
      </c>
      <c r="D483" s="14" t="str">
        <f>"18024"</f>
        <v>18024</v>
      </c>
      <c r="E483" s="14" t="s">
        <v>606</v>
      </c>
      <c r="F483" s="14" t="s">
        <v>145</v>
      </c>
      <c r="G483" s="14" t="str">
        <f>""</f>
        <v/>
      </c>
      <c r="H483" s="14" t="str">
        <f>" 20"</f>
        <v xml:space="preserve"> 20</v>
      </c>
      <c r="I483" s="14">
        <v>500.01</v>
      </c>
      <c r="J483" s="14">
        <v>9999999.9900000002</v>
      </c>
      <c r="K483" s="14" t="s">
        <v>147</v>
      </c>
      <c r="L483" s="14" t="s">
        <v>148</v>
      </c>
      <c r="P483" s="14" t="s">
        <v>39</v>
      </c>
      <c r="Q483" s="14" t="s">
        <v>25</v>
      </c>
      <c r="R483" s="14" t="s">
        <v>146</v>
      </c>
    </row>
    <row r="484" spans="1:18" s="14" customFormat="1" x14ac:dyDescent="0.25">
      <c r="A484" s="14" t="str">
        <f>"18032"</f>
        <v>18032</v>
      </c>
      <c r="B484" s="14" t="str">
        <f>"01400"</f>
        <v>01400</v>
      </c>
      <c r="C484" s="14" t="str">
        <f>"1300"</f>
        <v>1300</v>
      </c>
      <c r="D484" s="14" t="str">
        <f>"18032"</f>
        <v>18032</v>
      </c>
      <c r="E484" s="14" t="s">
        <v>607</v>
      </c>
      <c r="F484" s="14" t="s">
        <v>117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69</v>
      </c>
      <c r="L484" s="14" t="s">
        <v>70</v>
      </c>
      <c r="M484" s="14" t="s">
        <v>71</v>
      </c>
      <c r="P484" s="14" t="s">
        <v>31</v>
      </c>
      <c r="Q484" s="14" t="s">
        <v>25</v>
      </c>
      <c r="R484" s="14" t="s">
        <v>72</v>
      </c>
    </row>
    <row r="485" spans="1:18" s="14" customFormat="1" x14ac:dyDescent="0.25">
      <c r="A485" s="14" t="str">
        <f>"18038"</f>
        <v>18038</v>
      </c>
      <c r="B485" s="14" t="str">
        <f>"03094"</f>
        <v>03094</v>
      </c>
      <c r="C485" s="14" t="str">
        <f>"1400"</f>
        <v>1400</v>
      </c>
      <c r="D485" s="14" t="str">
        <f>"18038"</f>
        <v>18038</v>
      </c>
      <c r="E485" s="14" t="s">
        <v>240</v>
      </c>
      <c r="F485" s="14" t="s">
        <v>240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241</v>
      </c>
      <c r="L485" s="14" t="s">
        <v>231</v>
      </c>
      <c r="P485" s="14" t="s">
        <v>31</v>
      </c>
      <c r="Q485" s="14" t="s">
        <v>25</v>
      </c>
      <c r="R485" s="14" t="s">
        <v>242</v>
      </c>
    </row>
    <row r="486" spans="1:18" s="14" customFormat="1" x14ac:dyDescent="0.25">
      <c r="A486" s="14" t="str">
        <f>"18039"</f>
        <v>18039</v>
      </c>
      <c r="B486" s="14" t="str">
        <f>"03170"</f>
        <v>03170</v>
      </c>
      <c r="C486" s="14" t="str">
        <f>"1400"</f>
        <v>1400</v>
      </c>
      <c r="D486" s="14" t="str">
        <f>"18039"</f>
        <v>18039</v>
      </c>
      <c r="E486" s="14" t="s">
        <v>608</v>
      </c>
      <c r="F486" s="14" t="s">
        <v>251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252</v>
      </c>
      <c r="L486" s="14" t="s">
        <v>253</v>
      </c>
      <c r="P486" s="14" t="s">
        <v>31</v>
      </c>
      <c r="Q486" s="14" t="s">
        <v>25</v>
      </c>
      <c r="R486" s="14" t="s">
        <v>254</v>
      </c>
    </row>
    <row r="487" spans="1:18" s="14" customFormat="1" x14ac:dyDescent="0.25">
      <c r="A487" s="14" t="str">
        <f>"18041"</f>
        <v>18041</v>
      </c>
      <c r="B487" s="14" t="str">
        <f>"03094"</f>
        <v>03094</v>
      </c>
      <c r="C487" s="14" t="str">
        <f>"1400"</f>
        <v>1400</v>
      </c>
      <c r="D487" s="14" t="str">
        <f>"18041"</f>
        <v>18041</v>
      </c>
      <c r="E487" s="14" t="s">
        <v>609</v>
      </c>
      <c r="F487" s="14" t="s">
        <v>240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241</v>
      </c>
      <c r="L487" s="14" t="s">
        <v>231</v>
      </c>
      <c r="P487" s="14" t="s">
        <v>31</v>
      </c>
      <c r="Q487" s="14" t="s">
        <v>25</v>
      </c>
      <c r="R487" s="14" t="s">
        <v>242</v>
      </c>
    </row>
    <row r="488" spans="1:18" s="14" customFormat="1" x14ac:dyDescent="0.25">
      <c r="A488" s="14" t="str">
        <f>"18042"</f>
        <v>18042</v>
      </c>
      <c r="B488" s="14" t="str">
        <f>"03170"</f>
        <v>03170</v>
      </c>
      <c r="C488" s="14" t="str">
        <f>"1400"</f>
        <v>1400</v>
      </c>
      <c r="D488" s="14" t="str">
        <f>"18042"</f>
        <v>18042</v>
      </c>
      <c r="E488" s="14" t="s">
        <v>610</v>
      </c>
      <c r="F488" s="14" t="s">
        <v>251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252</v>
      </c>
      <c r="L488" s="14" t="s">
        <v>253</v>
      </c>
      <c r="P488" s="14" t="s">
        <v>31</v>
      </c>
      <c r="Q488" s="14" t="s">
        <v>25</v>
      </c>
      <c r="R488" s="14" t="s">
        <v>254</v>
      </c>
    </row>
    <row r="489" spans="1:18" s="14" customFormat="1" x14ac:dyDescent="0.25">
      <c r="A489" s="14" t="str">
        <f>"18044"</f>
        <v>18044</v>
      </c>
      <c r="B489" s="14" t="str">
        <f>"04010"</f>
        <v>04010</v>
      </c>
      <c r="C489" s="14" t="str">
        <f>"1400"</f>
        <v>1400</v>
      </c>
      <c r="D489" s="14" t="str">
        <f>"18044"</f>
        <v>18044</v>
      </c>
      <c r="E489" s="14" t="s">
        <v>611</v>
      </c>
      <c r="F489" s="14" t="s">
        <v>361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30</v>
      </c>
      <c r="L489" s="14" t="s">
        <v>42</v>
      </c>
      <c r="P489" s="14" t="s">
        <v>24</v>
      </c>
      <c r="Q489" s="14" t="s">
        <v>25</v>
      </c>
      <c r="R489" s="14" t="s">
        <v>612</v>
      </c>
    </row>
    <row r="490" spans="1:18" s="14" customFormat="1" x14ac:dyDescent="0.25">
      <c r="A490" s="14" t="str">
        <f>"18048"</f>
        <v>18048</v>
      </c>
      <c r="B490" s="14" t="str">
        <f>"05115"</f>
        <v>05115</v>
      </c>
      <c r="C490" s="14" t="str">
        <f>"1700"</f>
        <v>1700</v>
      </c>
      <c r="D490" s="14" t="str">
        <f>"18048"</f>
        <v>18048</v>
      </c>
      <c r="E490" s="14" t="s">
        <v>613</v>
      </c>
      <c r="F490" s="14" t="s">
        <v>393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394</v>
      </c>
      <c r="L490" s="14" t="s">
        <v>395</v>
      </c>
      <c r="M490" s="14" t="s">
        <v>396</v>
      </c>
      <c r="N490" s="14" t="s">
        <v>90</v>
      </c>
      <c r="P490" s="14" t="s">
        <v>31</v>
      </c>
      <c r="Q490" s="14" t="s">
        <v>25</v>
      </c>
      <c r="R490" s="14" t="s">
        <v>394</v>
      </c>
    </row>
    <row r="491" spans="1:18" s="14" customFormat="1" x14ac:dyDescent="0.25">
      <c r="A491" s="14" t="str">
        <f>"18049"</f>
        <v>18049</v>
      </c>
      <c r="B491" s="14" t="str">
        <f>"01687"</f>
        <v>01687</v>
      </c>
      <c r="C491" s="14" t="str">
        <f>"1600"</f>
        <v>1600</v>
      </c>
      <c r="D491" s="14" t="str">
        <f>"18049"</f>
        <v>18049</v>
      </c>
      <c r="E491" s="14" t="s">
        <v>614</v>
      </c>
      <c r="F491" s="14" t="s">
        <v>590</v>
      </c>
      <c r="G491" s="14" t="str">
        <f>""</f>
        <v/>
      </c>
      <c r="H491" s="14" t="str">
        <f>" 10"</f>
        <v xml:space="preserve"> 10</v>
      </c>
      <c r="I491" s="14">
        <v>0.01</v>
      </c>
      <c r="J491" s="14">
        <v>500</v>
      </c>
      <c r="K491" s="14" t="s">
        <v>146</v>
      </c>
      <c r="L491" s="14" t="s">
        <v>147</v>
      </c>
      <c r="P491" s="14" t="s">
        <v>39</v>
      </c>
      <c r="Q491" s="14" t="s">
        <v>25</v>
      </c>
      <c r="R491" s="14" t="s">
        <v>146</v>
      </c>
    </row>
    <row r="492" spans="1:18" s="14" customFormat="1" x14ac:dyDescent="0.25">
      <c r="A492" s="14" t="str">
        <f>"18049"</f>
        <v>18049</v>
      </c>
      <c r="B492" s="14" t="str">
        <f>"01687"</f>
        <v>01687</v>
      </c>
      <c r="C492" s="14" t="str">
        <f>"1600"</f>
        <v>1600</v>
      </c>
      <c r="D492" s="14" t="str">
        <f>"18049"</f>
        <v>18049</v>
      </c>
      <c r="E492" s="14" t="s">
        <v>614</v>
      </c>
      <c r="F492" s="14" t="s">
        <v>590</v>
      </c>
      <c r="G492" s="14" t="str">
        <f>""</f>
        <v/>
      </c>
      <c r="H492" s="14" t="str">
        <f>" 20"</f>
        <v xml:space="preserve"> 20</v>
      </c>
      <c r="I492" s="14">
        <v>500.01</v>
      </c>
      <c r="J492" s="14">
        <v>9999999.9900000002</v>
      </c>
      <c r="K492" s="14" t="s">
        <v>591</v>
      </c>
      <c r="L492" s="14" t="s">
        <v>147</v>
      </c>
      <c r="P492" s="14" t="s">
        <v>39</v>
      </c>
      <c r="Q492" s="14" t="s">
        <v>25</v>
      </c>
      <c r="R492" s="14" t="s">
        <v>146</v>
      </c>
    </row>
    <row r="493" spans="1:18" s="14" customFormat="1" x14ac:dyDescent="0.25">
      <c r="A493" s="14" t="str">
        <f>"18054"</f>
        <v>18054</v>
      </c>
      <c r="B493" s="14" t="str">
        <f>"01662"</f>
        <v>01662</v>
      </c>
      <c r="C493" s="14" t="str">
        <f>"1100"</f>
        <v>1100</v>
      </c>
      <c r="D493" s="14" t="str">
        <f>"01662"</f>
        <v>01662</v>
      </c>
      <c r="E493" s="14" t="s">
        <v>615</v>
      </c>
      <c r="F493" s="14" t="s">
        <v>615</v>
      </c>
      <c r="G493" s="14" t="str">
        <f>""</f>
        <v/>
      </c>
      <c r="H493" s="14" t="str">
        <f>" 10"</f>
        <v xml:space="preserve"> 10</v>
      </c>
      <c r="I493" s="14">
        <v>0.01</v>
      </c>
      <c r="J493" s="14">
        <v>500</v>
      </c>
      <c r="K493" s="14" t="s">
        <v>146</v>
      </c>
      <c r="L493" s="14" t="s">
        <v>147</v>
      </c>
      <c r="P493" s="14" t="s">
        <v>39</v>
      </c>
      <c r="Q493" s="14" t="s">
        <v>25</v>
      </c>
      <c r="R493" s="14" t="s">
        <v>146</v>
      </c>
    </row>
    <row r="494" spans="1:18" s="14" customFormat="1" x14ac:dyDescent="0.25">
      <c r="A494" s="14" t="str">
        <f>"18054"</f>
        <v>18054</v>
      </c>
      <c r="B494" s="14" t="str">
        <f>"01662"</f>
        <v>01662</v>
      </c>
      <c r="C494" s="14" t="str">
        <f>"1100"</f>
        <v>1100</v>
      </c>
      <c r="D494" s="14" t="str">
        <f>"01662"</f>
        <v>01662</v>
      </c>
      <c r="E494" s="14" t="s">
        <v>615</v>
      </c>
      <c r="F494" s="14" t="s">
        <v>615</v>
      </c>
      <c r="G494" s="14" t="str">
        <f>""</f>
        <v/>
      </c>
      <c r="H494" s="14" t="str">
        <f>" 20"</f>
        <v xml:space="preserve"> 20</v>
      </c>
      <c r="I494" s="14">
        <v>500.01</v>
      </c>
      <c r="J494" s="14">
        <v>9999999.9900000002</v>
      </c>
      <c r="K494" s="14" t="s">
        <v>591</v>
      </c>
      <c r="L494" s="14" t="s">
        <v>147</v>
      </c>
      <c r="P494" s="14" t="s">
        <v>39</v>
      </c>
      <c r="Q494" s="14" t="s">
        <v>25</v>
      </c>
      <c r="R494" s="14" t="s">
        <v>146</v>
      </c>
    </row>
    <row r="495" spans="1:18" s="14" customFormat="1" x14ac:dyDescent="0.25">
      <c r="A495" s="14" t="str">
        <f>"18054"</f>
        <v>18054</v>
      </c>
      <c r="B495" s="14" t="str">
        <f>"01663"</f>
        <v>01663</v>
      </c>
      <c r="C495" s="14" t="str">
        <f>"1100"</f>
        <v>1100</v>
      </c>
      <c r="D495" s="14" t="str">
        <f>"01663"</f>
        <v>01663</v>
      </c>
      <c r="E495" s="14" t="s">
        <v>615</v>
      </c>
      <c r="F495" s="14" t="s">
        <v>616</v>
      </c>
      <c r="G495" s="14" t="str">
        <f>""</f>
        <v/>
      </c>
      <c r="H495" s="14" t="str">
        <f>" 10"</f>
        <v xml:space="preserve"> 10</v>
      </c>
      <c r="I495" s="14">
        <v>0.01</v>
      </c>
      <c r="J495" s="14">
        <v>500</v>
      </c>
      <c r="K495" s="14" t="s">
        <v>146</v>
      </c>
      <c r="L495" s="14" t="s">
        <v>147</v>
      </c>
      <c r="P495" s="14" t="s">
        <v>39</v>
      </c>
      <c r="Q495" s="14" t="s">
        <v>25</v>
      </c>
      <c r="R495" s="14" t="s">
        <v>146</v>
      </c>
    </row>
    <row r="496" spans="1:18" s="14" customFormat="1" x14ac:dyDescent="0.25">
      <c r="A496" s="14" t="str">
        <f>"18054"</f>
        <v>18054</v>
      </c>
      <c r="B496" s="14" t="str">
        <f>"01663"</f>
        <v>01663</v>
      </c>
      <c r="C496" s="14" t="str">
        <f>"1100"</f>
        <v>1100</v>
      </c>
      <c r="D496" s="14" t="str">
        <f>"01663"</f>
        <v>01663</v>
      </c>
      <c r="E496" s="14" t="s">
        <v>615</v>
      </c>
      <c r="F496" s="14" t="s">
        <v>616</v>
      </c>
      <c r="G496" s="14" t="str">
        <f>""</f>
        <v/>
      </c>
      <c r="H496" s="14" t="str">
        <f>" 20"</f>
        <v xml:space="preserve"> 20</v>
      </c>
      <c r="I496" s="14">
        <v>500.01</v>
      </c>
      <c r="J496" s="14">
        <v>9999999.9900000002</v>
      </c>
      <c r="K496" s="14" t="s">
        <v>591</v>
      </c>
      <c r="L496" s="14" t="s">
        <v>147</v>
      </c>
      <c r="P496" s="14" t="s">
        <v>39</v>
      </c>
      <c r="Q496" s="14" t="s">
        <v>25</v>
      </c>
      <c r="R496" s="14" t="s">
        <v>146</v>
      </c>
    </row>
    <row r="497" spans="1:18" s="14" customFormat="1" x14ac:dyDescent="0.25">
      <c r="A497" s="14" t="str">
        <f>"18054"</f>
        <v>18054</v>
      </c>
      <c r="B497" s="14" t="str">
        <f>"01664"</f>
        <v>01664</v>
      </c>
      <c r="C497" s="14" t="str">
        <f>"1100"</f>
        <v>1100</v>
      </c>
      <c r="D497" s="14" t="str">
        <f>"01664"</f>
        <v>01664</v>
      </c>
      <c r="E497" s="14" t="s">
        <v>615</v>
      </c>
      <c r="F497" s="14" t="s">
        <v>617</v>
      </c>
      <c r="G497" s="14" t="str">
        <f>""</f>
        <v/>
      </c>
      <c r="H497" s="14" t="str">
        <f>" 10"</f>
        <v xml:space="preserve"> 10</v>
      </c>
      <c r="I497" s="14">
        <v>0.01</v>
      </c>
      <c r="J497" s="14">
        <v>500</v>
      </c>
      <c r="K497" s="14" t="s">
        <v>146</v>
      </c>
      <c r="L497" s="14" t="s">
        <v>147</v>
      </c>
      <c r="P497" s="14" t="s">
        <v>39</v>
      </c>
      <c r="Q497" s="14" t="s">
        <v>25</v>
      </c>
      <c r="R497" s="14" t="s">
        <v>146</v>
      </c>
    </row>
    <row r="498" spans="1:18" s="14" customFormat="1" x14ac:dyDescent="0.25">
      <c r="A498" s="14" t="str">
        <f>"18054"</f>
        <v>18054</v>
      </c>
      <c r="B498" s="14" t="str">
        <f>"01664"</f>
        <v>01664</v>
      </c>
      <c r="C498" s="14" t="str">
        <f>"1100"</f>
        <v>1100</v>
      </c>
      <c r="D498" s="14" t="str">
        <f>"01664"</f>
        <v>01664</v>
      </c>
      <c r="E498" s="14" t="s">
        <v>615</v>
      </c>
      <c r="F498" s="14" t="s">
        <v>617</v>
      </c>
      <c r="G498" s="14" t="str">
        <f>""</f>
        <v/>
      </c>
      <c r="H498" s="14" t="str">
        <f>" 20"</f>
        <v xml:space="preserve"> 20</v>
      </c>
      <c r="I498" s="14">
        <v>500.01</v>
      </c>
      <c r="J498" s="14">
        <v>9999999.9900000002</v>
      </c>
      <c r="K498" s="14" t="s">
        <v>591</v>
      </c>
      <c r="L498" s="14" t="s">
        <v>147</v>
      </c>
      <c r="P498" s="14" t="s">
        <v>39</v>
      </c>
      <c r="Q498" s="14" t="s">
        <v>25</v>
      </c>
      <c r="R498" s="14" t="s">
        <v>146</v>
      </c>
    </row>
    <row r="499" spans="1:18" s="14" customFormat="1" x14ac:dyDescent="0.25">
      <c r="A499" s="14" t="str">
        <f>"18054"</f>
        <v>18054</v>
      </c>
      <c r="B499" s="14" t="str">
        <f>"01665"</f>
        <v>01665</v>
      </c>
      <c r="C499" s="14" t="str">
        <f>"1100"</f>
        <v>1100</v>
      </c>
      <c r="D499" s="14" t="str">
        <f>"01665"</f>
        <v>01665</v>
      </c>
      <c r="E499" s="14" t="s">
        <v>615</v>
      </c>
      <c r="F499" s="14" t="s">
        <v>618</v>
      </c>
      <c r="G499" s="14" t="str">
        <f>""</f>
        <v/>
      </c>
      <c r="H499" s="14" t="str">
        <f>" 10"</f>
        <v xml:space="preserve"> 10</v>
      </c>
      <c r="I499" s="14">
        <v>0.01</v>
      </c>
      <c r="J499" s="14">
        <v>500</v>
      </c>
      <c r="K499" s="14" t="s">
        <v>146</v>
      </c>
      <c r="L499" s="14" t="s">
        <v>147</v>
      </c>
      <c r="P499" s="14" t="s">
        <v>39</v>
      </c>
      <c r="Q499" s="14" t="s">
        <v>25</v>
      </c>
      <c r="R499" s="14" t="s">
        <v>146</v>
      </c>
    </row>
    <row r="500" spans="1:18" s="14" customFormat="1" x14ac:dyDescent="0.25">
      <c r="A500" s="14" t="str">
        <f>"18054"</f>
        <v>18054</v>
      </c>
      <c r="B500" s="14" t="str">
        <f>"01665"</f>
        <v>01665</v>
      </c>
      <c r="C500" s="14" t="str">
        <f>"1100"</f>
        <v>1100</v>
      </c>
      <c r="D500" s="14" t="str">
        <f>"01665"</f>
        <v>01665</v>
      </c>
      <c r="E500" s="14" t="s">
        <v>615</v>
      </c>
      <c r="F500" s="14" t="s">
        <v>618</v>
      </c>
      <c r="G500" s="14" t="str">
        <f>""</f>
        <v/>
      </c>
      <c r="H500" s="14" t="str">
        <f>" 20"</f>
        <v xml:space="preserve"> 20</v>
      </c>
      <c r="I500" s="14">
        <v>500.01</v>
      </c>
      <c r="J500" s="14">
        <v>9999999.9900000002</v>
      </c>
      <c r="K500" s="14" t="s">
        <v>591</v>
      </c>
      <c r="L500" s="14" t="s">
        <v>147</v>
      </c>
      <c r="P500" s="14" t="s">
        <v>39</v>
      </c>
      <c r="Q500" s="14" t="s">
        <v>25</v>
      </c>
      <c r="R500" s="14" t="s">
        <v>146</v>
      </c>
    </row>
    <row r="501" spans="1:18" s="14" customFormat="1" x14ac:dyDescent="0.25">
      <c r="A501" s="14" t="str">
        <f>"18054"</f>
        <v>18054</v>
      </c>
      <c r="B501" s="14" t="str">
        <f>"01666"</f>
        <v>01666</v>
      </c>
      <c r="C501" s="14" t="str">
        <f>"1100"</f>
        <v>1100</v>
      </c>
      <c r="D501" s="14" t="str">
        <f>"01666"</f>
        <v>01666</v>
      </c>
      <c r="E501" s="14" t="s">
        <v>615</v>
      </c>
      <c r="F501" s="14" t="s">
        <v>619</v>
      </c>
      <c r="G501" s="14" t="str">
        <f>""</f>
        <v/>
      </c>
      <c r="H501" s="14" t="str">
        <f>" 10"</f>
        <v xml:space="preserve"> 10</v>
      </c>
      <c r="I501" s="14">
        <v>0.01</v>
      </c>
      <c r="J501" s="14">
        <v>500</v>
      </c>
      <c r="K501" s="14" t="s">
        <v>146</v>
      </c>
      <c r="L501" s="14" t="s">
        <v>147</v>
      </c>
      <c r="P501" s="14" t="s">
        <v>39</v>
      </c>
      <c r="Q501" s="14" t="s">
        <v>25</v>
      </c>
      <c r="R501" s="14" t="s">
        <v>146</v>
      </c>
    </row>
    <row r="502" spans="1:18" s="14" customFormat="1" x14ac:dyDescent="0.25">
      <c r="A502" s="14" t="str">
        <f>"18054"</f>
        <v>18054</v>
      </c>
      <c r="B502" s="14" t="str">
        <f>"01666"</f>
        <v>01666</v>
      </c>
      <c r="C502" s="14" t="str">
        <f>"1100"</f>
        <v>1100</v>
      </c>
      <c r="D502" s="14" t="str">
        <f>"01666"</f>
        <v>01666</v>
      </c>
      <c r="E502" s="14" t="s">
        <v>615</v>
      </c>
      <c r="F502" s="14" t="s">
        <v>619</v>
      </c>
      <c r="G502" s="14" t="str">
        <f>""</f>
        <v/>
      </c>
      <c r="H502" s="14" t="str">
        <f>" 20"</f>
        <v xml:space="preserve"> 20</v>
      </c>
      <c r="I502" s="14">
        <v>500.01</v>
      </c>
      <c r="J502" s="14">
        <v>9999999.9900000002</v>
      </c>
      <c r="K502" s="14" t="s">
        <v>591</v>
      </c>
      <c r="L502" s="14" t="s">
        <v>147</v>
      </c>
      <c r="P502" s="14" t="s">
        <v>39</v>
      </c>
      <c r="Q502" s="14" t="s">
        <v>25</v>
      </c>
      <c r="R502" s="14" t="s">
        <v>146</v>
      </c>
    </row>
    <row r="503" spans="1:18" s="14" customFormat="1" x14ac:dyDescent="0.25">
      <c r="A503" s="14" t="str">
        <f>"18054"</f>
        <v>18054</v>
      </c>
      <c r="B503" s="14" t="str">
        <f>"01667"</f>
        <v>01667</v>
      </c>
      <c r="C503" s="14" t="str">
        <f>"1100"</f>
        <v>1100</v>
      </c>
      <c r="D503" s="14" t="str">
        <f>"01667"</f>
        <v>01667</v>
      </c>
      <c r="E503" s="14" t="s">
        <v>615</v>
      </c>
      <c r="F503" s="14" t="s">
        <v>620</v>
      </c>
      <c r="G503" s="14" t="str">
        <f>""</f>
        <v/>
      </c>
      <c r="H503" s="14" t="str">
        <f>" 10"</f>
        <v xml:space="preserve"> 10</v>
      </c>
      <c r="I503" s="14">
        <v>0.01</v>
      </c>
      <c r="J503" s="14">
        <v>500</v>
      </c>
      <c r="K503" s="14" t="s">
        <v>146</v>
      </c>
      <c r="L503" s="14" t="s">
        <v>147</v>
      </c>
      <c r="P503" s="14" t="s">
        <v>39</v>
      </c>
      <c r="Q503" s="14" t="s">
        <v>25</v>
      </c>
      <c r="R503" s="14" t="s">
        <v>146</v>
      </c>
    </row>
    <row r="504" spans="1:18" s="14" customFormat="1" x14ac:dyDescent="0.25">
      <c r="A504" s="14" t="str">
        <f>"18054"</f>
        <v>18054</v>
      </c>
      <c r="B504" s="14" t="str">
        <f>"01667"</f>
        <v>01667</v>
      </c>
      <c r="C504" s="14" t="str">
        <f>"1100"</f>
        <v>1100</v>
      </c>
      <c r="D504" s="14" t="str">
        <f>"01667"</f>
        <v>01667</v>
      </c>
      <c r="E504" s="14" t="s">
        <v>615</v>
      </c>
      <c r="F504" s="14" t="s">
        <v>620</v>
      </c>
      <c r="G504" s="14" t="str">
        <f>""</f>
        <v/>
      </c>
      <c r="H504" s="14" t="str">
        <f>" 20"</f>
        <v xml:space="preserve"> 20</v>
      </c>
      <c r="I504" s="14">
        <v>500.01</v>
      </c>
      <c r="J504" s="14">
        <v>9999999.9900000002</v>
      </c>
      <c r="K504" s="14" t="s">
        <v>591</v>
      </c>
      <c r="L504" s="14" t="s">
        <v>147</v>
      </c>
      <c r="P504" s="14" t="s">
        <v>39</v>
      </c>
      <c r="Q504" s="14" t="s">
        <v>25</v>
      </c>
      <c r="R504" s="14" t="s">
        <v>146</v>
      </c>
    </row>
    <row r="505" spans="1:18" s="14" customFormat="1" x14ac:dyDescent="0.25">
      <c r="A505" s="14" t="str">
        <f>"18054"</f>
        <v>18054</v>
      </c>
      <c r="B505" s="14" t="str">
        <f>"01668"</f>
        <v>01668</v>
      </c>
      <c r="C505" s="14" t="str">
        <f>"1100"</f>
        <v>1100</v>
      </c>
      <c r="D505" s="14" t="str">
        <f>"01668"</f>
        <v>01668</v>
      </c>
      <c r="E505" s="14" t="s">
        <v>615</v>
      </c>
      <c r="F505" s="14" t="s">
        <v>621</v>
      </c>
      <c r="G505" s="14" t="str">
        <f>""</f>
        <v/>
      </c>
      <c r="H505" s="14" t="str">
        <f>" 10"</f>
        <v xml:space="preserve"> 10</v>
      </c>
      <c r="I505" s="14">
        <v>0.01</v>
      </c>
      <c r="J505" s="14">
        <v>500</v>
      </c>
      <c r="K505" s="14" t="s">
        <v>146</v>
      </c>
      <c r="L505" s="14" t="s">
        <v>147</v>
      </c>
      <c r="P505" s="14" t="s">
        <v>39</v>
      </c>
      <c r="Q505" s="14" t="s">
        <v>25</v>
      </c>
      <c r="R505" s="14" t="s">
        <v>146</v>
      </c>
    </row>
    <row r="506" spans="1:18" s="14" customFormat="1" x14ac:dyDescent="0.25">
      <c r="A506" s="14" t="str">
        <f>"18054"</f>
        <v>18054</v>
      </c>
      <c r="B506" s="14" t="str">
        <f>"01668"</f>
        <v>01668</v>
      </c>
      <c r="C506" s="14" t="str">
        <f>"1100"</f>
        <v>1100</v>
      </c>
      <c r="D506" s="14" t="str">
        <f>"01668"</f>
        <v>01668</v>
      </c>
      <c r="E506" s="14" t="s">
        <v>615</v>
      </c>
      <c r="F506" s="14" t="s">
        <v>621</v>
      </c>
      <c r="G506" s="14" t="str">
        <f>""</f>
        <v/>
      </c>
      <c r="H506" s="14" t="str">
        <f>" 20"</f>
        <v xml:space="preserve"> 20</v>
      </c>
      <c r="I506" s="14">
        <v>500.01</v>
      </c>
      <c r="J506" s="14">
        <v>9999999.9900000002</v>
      </c>
      <c r="K506" s="14" t="s">
        <v>591</v>
      </c>
      <c r="L506" s="14" t="s">
        <v>147</v>
      </c>
      <c r="P506" s="14" t="s">
        <v>39</v>
      </c>
      <c r="Q506" s="14" t="s">
        <v>25</v>
      </c>
      <c r="R506" s="14" t="s">
        <v>146</v>
      </c>
    </row>
    <row r="507" spans="1:18" s="14" customFormat="1" x14ac:dyDescent="0.25">
      <c r="A507" s="14" t="str">
        <f>"18054"</f>
        <v>18054</v>
      </c>
      <c r="B507" s="14" t="str">
        <f>"01669"</f>
        <v>01669</v>
      </c>
      <c r="C507" s="14" t="str">
        <f>"1100"</f>
        <v>1100</v>
      </c>
      <c r="D507" s="14" t="str">
        <f>"01669"</f>
        <v>01669</v>
      </c>
      <c r="E507" s="14" t="s">
        <v>615</v>
      </c>
      <c r="F507" s="14" t="s">
        <v>622</v>
      </c>
      <c r="G507" s="14" t="str">
        <f>""</f>
        <v/>
      </c>
      <c r="H507" s="14" t="str">
        <f>" 10"</f>
        <v xml:space="preserve"> 10</v>
      </c>
      <c r="I507" s="14">
        <v>0.01</v>
      </c>
      <c r="J507" s="14">
        <v>500</v>
      </c>
      <c r="K507" s="14" t="s">
        <v>146</v>
      </c>
      <c r="L507" s="14" t="s">
        <v>147</v>
      </c>
      <c r="P507" s="14" t="s">
        <v>39</v>
      </c>
      <c r="Q507" s="14" t="s">
        <v>25</v>
      </c>
      <c r="R507" s="14" t="s">
        <v>146</v>
      </c>
    </row>
    <row r="508" spans="1:18" s="14" customFormat="1" x14ac:dyDescent="0.25">
      <c r="A508" s="14" t="str">
        <f>"18054"</f>
        <v>18054</v>
      </c>
      <c r="B508" s="14" t="str">
        <f>"01669"</f>
        <v>01669</v>
      </c>
      <c r="C508" s="14" t="str">
        <f>"1100"</f>
        <v>1100</v>
      </c>
      <c r="D508" s="14" t="str">
        <f>"01669"</f>
        <v>01669</v>
      </c>
      <c r="E508" s="14" t="s">
        <v>615</v>
      </c>
      <c r="F508" s="14" t="s">
        <v>622</v>
      </c>
      <c r="G508" s="14" t="str">
        <f>""</f>
        <v/>
      </c>
      <c r="H508" s="14" t="str">
        <f>" 20"</f>
        <v xml:space="preserve"> 20</v>
      </c>
      <c r="I508" s="14">
        <v>500.01</v>
      </c>
      <c r="J508" s="14">
        <v>9999999.9900000002</v>
      </c>
      <c r="K508" s="14" t="s">
        <v>591</v>
      </c>
      <c r="L508" s="14" t="s">
        <v>147</v>
      </c>
      <c r="P508" s="14" t="s">
        <v>39</v>
      </c>
      <c r="Q508" s="14" t="s">
        <v>25</v>
      </c>
      <c r="R508" s="14" t="s">
        <v>146</v>
      </c>
    </row>
    <row r="509" spans="1:18" s="14" customFormat="1" x14ac:dyDescent="0.25">
      <c r="A509" s="14" t="str">
        <f>"18054"</f>
        <v>18054</v>
      </c>
      <c r="B509" s="14" t="str">
        <f>"01671"</f>
        <v>01671</v>
      </c>
      <c r="C509" s="14" t="str">
        <f>"1100"</f>
        <v>1100</v>
      </c>
      <c r="D509" s="14" t="str">
        <f>"01671"</f>
        <v>01671</v>
      </c>
      <c r="E509" s="14" t="s">
        <v>615</v>
      </c>
      <c r="F509" s="14" t="s">
        <v>623</v>
      </c>
      <c r="G509" s="14" t="str">
        <f>""</f>
        <v/>
      </c>
      <c r="H509" s="14" t="str">
        <f>" 10"</f>
        <v xml:space="preserve"> 10</v>
      </c>
      <c r="I509" s="14">
        <v>0.01</v>
      </c>
      <c r="J509" s="14">
        <v>500</v>
      </c>
      <c r="K509" s="14" t="s">
        <v>146</v>
      </c>
      <c r="L509" s="14" t="s">
        <v>147</v>
      </c>
      <c r="P509" s="14" t="s">
        <v>39</v>
      </c>
      <c r="Q509" s="14" t="s">
        <v>25</v>
      </c>
      <c r="R509" s="14" t="s">
        <v>146</v>
      </c>
    </row>
    <row r="510" spans="1:18" s="14" customFormat="1" x14ac:dyDescent="0.25">
      <c r="A510" s="14" t="str">
        <f>"18054"</f>
        <v>18054</v>
      </c>
      <c r="B510" s="14" t="str">
        <f>"01671"</f>
        <v>01671</v>
      </c>
      <c r="C510" s="14" t="str">
        <f>"1100"</f>
        <v>1100</v>
      </c>
      <c r="D510" s="14" t="str">
        <f>"01671"</f>
        <v>01671</v>
      </c>
      <c r="E510" s="14" t="s">
        <v>615</v>
      </c>
      <c r="F510" s="14" t="s">
        <v>623</v>
      </c>
      <c r="G510" s="14" t="str">
        <f>""</f>
        <v/>
      </c>
      <c r="H510" s="14" t="str">
        <f>" 20"</f>
        <v xml:space="preserve"> 20</v>
      </c>
      <c r="I510" s="14">
        <v>500.01</v>
      </c>
      <c r="J510" s="14">
        <v>9999999.9900000002</v>
      </c>
      <c r="K510" s="14" t="s">
        <v>591</v>
      </c>
      <c r="L510" s="14" t="s">
        <v>147</v>
      </c>
      <c r="P510" s="14" t="s">
        <v>39</v>
      </c>
      <c r="Q510" s="14" t="s">
        <v>25</v>
      </c>
      <c r="R510" s="14" t="s">
        <v>146</v>
      </c>
    </row>
    <row r="511" spans="1:18" s="14" customFormat="1" x14ac:dyDescent="0.25">
      <c r="A511" s="14" t="str">
        <f>"18054"</f>
        <v>18054</v>
      </c>
      <c r="B511" s="14" t="str">
        <f>"01672"</f>
        <v>01672</v>
      </c>
      <c r="C511" s="14" t="str">
        <f>"1100"</f>
        <v>1100</v>
      </c>
      <c r="D511" s="14" t="str">
        <f>"01672"</f>
        <v>01672</v>
      </c>
      <c r="E511" s="14" t="s">
        <v>615</v>
      </c>
      <c r="F511" s="14" t="s">
        <v>624</v>
      </c>
      <c r="G511" s="14" t="str">
        <f>""</f>
        <v/>
      </c>
      <c r="H511" s="14" t="str">
        <f>" 10"</f>
        <v xml:space="preserve"> 10</v>
      </c>
      <c r="I511" s="14">
        <v>0.01</v>
      </c>
      <c r="J511" s="14">
        <v>500</v>
      </c>
      <c r="K511" s="14" t="s">
        <v>146</v>
      </c>
      <c r="L511" s="14" t="s">
        <v>147</v>
      </c>
      <c r="P511" s="14" t="s">
        <v>39</v>
      </c>
      <c r="Q511" s="14" t="s">
        <v>25</v>
      </c>
      <c r="R511" s="14" t="s">
        <v>146</v>
      </c>
    </row>
    <row r="512" spans="1:18" s="14" customFormat="1" x14ac:dyDescent="0.25">
      <c r="A512" s="14" t="str">
        <f>"18054"</f>
        <v>18054</v>
      </c>
      <c r="B512" s="14" t="str">
        <f>"01672"</f>
        <v>01672</v>
      </c>
      <c r="C512" s="14" t="str">
        <f>"1100"</f>
        <v>1100</v>
      </c>
      <c r="D512" s="14" t="str">
        <f>"01672"</f>
        <v>01672</v>
      </c>
      <c r="E512" s="14" t="s">
        <v>615</v>
      </c>
      <c r="F512" s="14" t="s">
        <v>624</v>
      </c>
      <c r="G512" s="14" t="str">
        <f>""</f>
        <v/>
      </c>
      <c r="H512" s="14" t="str">
        <f>" 20"</f>
        <v xml:space="preserve"> 20</v>
      </c>
      <c r="I512" s="14">
        <v>500.01</v>
      </c>
      <c r="J512" s="14">
        <v>9999999.9900000002</v>
      </c>
      <c r="K512" s="14" t="s">
        <v>591</v>
      </c>
      <c r="L512" s="14" t="s">
        <v>147</v>
      </c>
      <c r="P512" s="14" t="s">
        <v>39</v>
      </c>
      <c r="Q512" s="14" t="s">
        <v>25</v>
      </c>
      <c r="R512" s="14" t="s">
        <v>146</v>
      </c>
    </row>
    <row r="513" spans="1:18" s="14" customFormat="1" x14ac:dyDescent="0.25">
      <c r="A513" s="14" t="str">
        <f>"18054"</f>
        <v>18054</v>
      </c>
      <c r="B513" s="14" t="str">
        <f>"01674"</f>
        <v>01674</v>
      </c>
      <c r="C513" s="14" t="str">
        <f>"1100"</f>
        <v>1100</v>
      </c>
      <c r="D513" s="14" t="str">
        <f>"01674"</f>
        <v>01674</v>
      </c>
      <c r="E513" s="14" t="s">
        <v>615</v>
      </c>
      <c r="F513" s="14" t="s">
        <v>625</v>
      </c>
      <c r="G513" s="14" t="str">
        <f>""</f>
        <v/>
      </c>
      <c r="H513" s="14" t="str">
        <f>" 10"</f>
        <v xml:space="preserve"> 10</v>
      </c>
      <c r="I513" s="14">
        <v>0.01</v>
      </c>
      <c r="J513" s="14">
        <v>500</v>
      </c>
      <c r="K513" s="14" t="s">
        <v>146</v>
      </c>
      <c r="L513" s="14" t="s">
        <v>147</v>
      </c>
      <c r="P513" s="14" t="s">
        <v>39</v>
      </c>
      <c r="Q513" s="14" t="s">
        <v>25</v>
      </c>
      <c r="R513" s="14" t="s">
        <v>146</v>
      </c>
    </row>
    <row r="514" spans="1:18" s="14" customFormat="1" x14ac:dyDescent="0.25">
      <c r="A514" s="14" t="str">
        <f>"18054"</f>
        <v>18054</v>
      </c>
      <c r="B514" s="14" t="str">
        <f>"01674"</f>
        <v>01674</v>
      </c>
      <c r="C514" s="14" t="str">
        <f>"1100"</f>
        <v>1100</v>
      </c>
      <c r="D514" s="14" t="str">
        <f>"01674"</f>
        <v>01674</v>
      </c>
      <c r="E514" s="14" t="s">
        <v>615</v>
      </c>
      <c r="F514" s="14" t="s">
        <v>625</v>
      </c>
      <c r="G514" s="14" t="str">
        <f>""</f>
        <v/>
      </c>
      <c r="H514" s="14" t="str">
        <f>" 20"</f>
        <v xml:space="preserve"> 20</v>
      </c>
      <c r="I514" s="14">
        <v>500.01</v>
      </c>
      <c r="J514" s="14">
        <v>9999999.9900000002</v>
      </c>
      <c r="K514" s="14" t="s">
        <v>591</v>
      </c>
      <c r="L514" s="14" t="s">
        <v>147</v>
      </c>
      <c r="P514" s="14" t="s">
        <v>39</v>
      </c>
      <c r="Q514" s="14" t="s">
        <v>25</v>
      </c>
      <c r="R514" s="14" t="s">
        <v>146</v>
      </c>
    </row>
    <row r="515" spans="1:18" s="14" customFormat="1" x14ac:dyDescent="0.25">
      <c r="A515" s="14" t="str">
        <f>"18054"</f>
        <v>18054</v>
      </c>
      <c r="B515" s="14" t="str">
        <f>"01675"</f>
        <v>01675</v>
      </c>
      <c r="C515" s="14" t="str">
        <f>"1100"</f>
        <v>1100</v>
      </c>
      <c r="D515" s="14" t="str">
        <f>"01675"</f>
        <v>01675</v>
      </c>
      <c r="E515" s="14" t="s">
        <v>615</v>
      </c>
      <c r="F515" s="14" t="s">
        <v>626</v>
      </c>
      <c r="G515" s="14" t="str">
        <f>""</f>
        <v/>
      </c>
      <c r="H515" s="14" t="str">
        <f>" 10"</f>
        <v xml:space="preserve"> 10</v>
      </c>
      <c r="I515" s="14">
        <v>0.01</v>
      </c>
      <c r="J515" s="14">
        <v>500</v>
      </c>
      <c r="K515" s="14" t="s">
        <v>146</v>
      </c>
      <c r="L515" s="14" t="s">
        <v>147</v>
      </c>
      <c r="P515" s="14" t="s">
        <v>39</v>
      </c>
      <c r="Q515" s="14" t="s">
        <v>25</v>
      </c>
      <c r="R515" s="14" t="s">
        <v>146</v>
      </c>
    </row>
    <row r="516" spans="1:18" s="14" customFormat="1" x14ac:dyDescent="0.25">
      <c r="A516" s="14" t="str">
        <f>"18054"</f>
        <v>18054</v>
      </c>
      <c r="B516" s="14" t="str">
        <f>"01675"</f>
        <v>01675</v>
      </c>
      <c r="C516" s="14" t="str">
        <f>"1100"</f>
        <v>1100</v>
      </c>
      <c r="D516" s="14" t="str">
        <f>"01675"</f>
        <v>01675</v>
      </c>
      <c r="E516" s="14" t="s">
        <v>615</v>
      </c>
      <c r="F516" s="14" t="s">
        <v>626</v>
      </c>
      <c r="G516" s="14" t="str">
        <f>""</f>
        <v/>
      </c>
      <c r="H516" s="14" t="str">
        <f>" 20"</f>
        <v xml:space="preserve"> 20</v>
      </c>
      <c r="I516" s="14">
        <v>500.01</v>
      </c>
      <c r="J516" s="14">
        <v>9999999.9900000002</v>
      </c>
      <c r="K516" s="14" t="s">
        <v>591</v>
      </c>
      <c r="L516" s="14" t="s">
        <v>147</v>
      </c>
      <c r="P516" s="14" t="s">
        <v>39</v>
      </c>
      <c r="Q516" s="14" t="s">
        <v>25</v>
      </c>
      <c r="R516" s="14" t="s">
        <v>146</v>
      </c>
    </row>
    <row r="517" spans="1:18" s="14" customFormat="1" x14ac:dyDescent="0.25">
      <c r="A517" s="14" t="str">
        <f>"18054"</f>
        <v>18054</v>
      </c>
      <c r="B517" s="14" t="str">
        <f>"01676"</f>
        <v>01676</v>
      </c>
      <c r="C517" s="14" t="str">
        <f>"1100"</f>
        <v>1100</v>
      </c>
      <c r="D517" s="14" t="str">
        <f>"01676"</f>
        <v>01676</v>
      </c>
      <c r="E517" s="14" t="s">
        <v>615</v>
      </c>
      <c r="F517" s="14" t="s">
        <v>627</v>
      </c>
      <c r="G517" s="14" t="str">
        <f>""</f>
        <v/>
      </c>
      <c r="H517" s="14" t="str">
        <f>" 10"</f>
        <v xml:space="preserve"> 10</v>
      </c>
      <c r="I517" s="14">
        <v>0.01</v>
      </c>
      <c r="J517" s="14">
        <v>500</v>
      </c>
      <c r="K517" s="14" t="s">
        <v>146</v>
      </c>
      <c r="L517" s="14" t="s">
        <v>147</v>
      </c>
      <c r="P517" s="14" t="s">
        <v>39</v>
      </c>
      <c r="Q517" s="14" t="s">
        <v>25</v>
      </c>
      <c r="R517" s="14" t="s">
        <v>146</v>
      </c>
    </row>
    <row r="518" spans="1:18" s="14" customFormat="1" x14ac:dyDescent="0.25">
      <c r="A518" s="14" t="str">
        <f>"18054"</f>
        <v>18054</v>
      </c>
      <c r="B518" s="14" t="str">
        <f>"01676"</f>
        <v>01676</v>
      </c>
      <c r="C518" s="14" t="str">
        <f>"1100"</f>
        <v>1100</v>
      </c>
      <c r="D518" s="14" t="str">
        <f>"01676"</f>
        <v>01676</v>
      </c>
      <c r="E518" s="14" t="s">
        <v>615</v>
      </c>
      <c r="F518" s="14" t="s">
        <v>627</v>
      </c>
      <c r="G518" s="14" t="str">
        <f>""</f>
        <v/>
      </c>
      <c r="H518" s="14" t="str">
        <f>" 20"</f>
        <v xml:space="preserve"> 20</v>
      </c>
      <c r="I518" s="14">
        <v>500.01</v>
      </c>
      <c r="J518" s="14">
        <v>9999999.9900000002</v>
      </c>
      <c r="K518" s="14" t="s">
        <v>591</v>
      </c>
      <c r="L518" s="14" t="s">
        <v>147</v>
      </c>
      <c r="P518" s="14" t="s">
        <v>39</v>
      </c>
      <c r="Q518" s="14" t="s">
        <v>25</v>
      </c>
      <c r="R518" s="14" t="s">
        <v>146</v>
      </c>
    </row>
    <row r="519" spans="1:18" s="14" customFormat="1" x14ac:dyDescent="0.25">
      <c r="A519" s="14" t="str">
        <f>"18054"</f>
        <v>18054</v>
      </c>
      <c r="B519" s="14" t="str">
        <f>"01678"</f>
        <v>01678</v>
      </c>
      <c r="C519" s="14" t="str">
        <f>"1100"</f>
        <v>1100</v>
      </c>
      <c r="D519" s="14" t="str">
        <f>"01678"</f>
        <v>01678</v>
      </c>
      <c r="E519" s="14" t="s">
        <v>615</v>
      </c>
      <c r="F519" s="14" t="s">
        <v>628</v>
      </c>
      <c r="G519" s="14" t="str">
        <f>""</f>
        <v/>
      </c>
      <c r="H519" s="14" t="str">
        <f>" 10"</f>
        <v xml:space="preserve"> 10</v>
      </c>
      <c r="I519" s="14">
        <v>0.01</v>
      </c>
      <c r="J519" s="14">
        <v>500</v>
      </c>
      <c r="K519" s="14" t="s">
        <v>146</v>
      </c>
      <c r="L519" s="14" t="s">
        <v>147</v>
      </c>
      <c r="P519" s="14" t="s">
        <v>39</v>
      </c>
      <c r="Q519" s="14" t="s">
        <v>25</v>
      </c>
      <c r="R519" s="14" t="s">
        <v>146</v>
      </c>
    </row>
    <row r="520" spans="1:18" s="14" customFormat="1" x14ac:dyDescent="0.25">
      <c r="A520" s="14" t="str">
        <f>"18054"</f>
        <v>18054</v>
      </c>
      <c r="B520" s="14" t="str">
        <f>"01678"</f>
        <v>01678</v>
      </c>
      <c r="C520" s="14" t="str">
        <f>"1100"</f>
        <v>1100</v>
      </c>
      <c r="D520" s="14" t="str">
        <f>"01678"</f>
        <v>01678</v>
      </c>
      <c r="E520" s="14" t="s">
        <v>615</v>
      </c>
      <c r="F520" s="14" t="s">
        <v>628</v>
      </c>
      <c r="G520" s="14" t="str">
        <f>""</f>
        <v/>
      </c>
      <c r="H520" s="14" t="str">
        <f>" 20"</f>
        <v xml:space="preserve"> 20</v>
      </c>
      <c r="I520" s="14">
        <v>500.01</v>
      </c>
      <c r="J520" s="14">
        <v>9999999.9900000002</v>
      </c>
      <c r="K520" s="14" t="s">
        <v>591</v>
      </c>
      <c r="L520" s="14" t="s">
        <v>147</v>
      </c>
      <c r="P520" s="14" t="s">
        <v>39</v>
      </c>
      <c r="Q520" s="14" t="s">
        <v>25</v>
      </c>
      <c r="R520" s="14" t="s">
        <v>146</v>
      </c>
    </row>
    <row r="521" spans="1:18" s="14" customFormat="1" x14ac:dyDescent="0.25">
      <c r="A521" s="14" t="str">
        <f>"18054"</f>
        <v>18054</v>
      </c>
      <c r="B521" s="14" t="str">
        <f>"01679"</f>
        <v>01679</v>
      </c>
      <c r="C521" s="14" t="str">
        <f>"1100"</f>
        <v>1100</v>
      </c>
      <c r="D521" s="14" t="str">
        <f>"01679"</f>
        <v>01679</v>
      </c>
      <c r="E521" s="14" t="s">
        <v>615</v>
      </c>
      <c r="F521" s="14" t="s">
        <v>629</v>
      </c>
      <c r="G521" s="14" t="str">
        <f>""</f>
        <v/>
      </c>
      <c r="H521" s="14" t="str">
        <f>" 10"</f>
        <v xml:space="preserve"> 10</v>
      </c>
      <c r="I521" s="14">
        <v>0.01</v>
      </c>
      <c r="J521" s="14">
        <v>500</v>
      </c>
      <c r="K521" s="14" t="s">
        <v>146</v>
      </c>
      <c r="L521" s="14" t="s">
        <v>147</v>
      </c>
      <c r="P521" s="14" t="s">
        <v>39</v>
      </c>
      <c r="Q521" s="14" t="s">
        <v>25</v>
      </c>
      <c r="R521" s="14" t="s">
        <v>146</v>
      </c>
    </row>
    <row r="522" spans="1:18" s="14" customFormat="1" x14ac:dyDescent="0.25">
      <c r="A522" s="14" t="str">
        <f>"18054"</f>
        <v>18054</v>
      </c>
      <c r="B522" s="14" t="str">
        <f>"01679"</f>
        <v>01679</v>
      </c>
      <c r="C522" s="14" t="str">
        <f>"1100"</f>
        <v>1100</v>
      </c>
      <c r="D522" s="14" t="str">
        <f>"01679"</f>
        <v>01679</v>
      </c>
      <c r="E522" s="14" t="s">
        <v>615</v>
      </c>
      <c r="F522" s="14" t="s">
        <v>629</v>
      </c>
      <c r="G522" s="14" t="str">
        <f>""</f>
        <v/>
      </c>
      <c r="H522" s="14" t="str">
        <f>" 20"</f>
        <v xml:space="preserve"> 20</v>
      </c>
      <c r="I522" s="14">
        <v>500.01</v>
      </c>
      <c r="J522" s="14">
        <v>9999999.9900000002</v>
      </c>
      <c r="K522" s="14" t="s">
        <v>591</v>
      </c>
      <c r="L522" s="14" t="s">
        <v>147</v>
      </c>
      <c r="P522" s="14" t="s">
        <v>39</v>
      </c>
      <c r="Q522" s="14" t="s">
        <v>25</v>
      </c>
      <c r="R522" s="14" t="s">
        <v>146</v>
      </c>
    </row>
    <row r="523" spans="1:18" s="14" customFormat="1" x14ac:dyDescent="0.25">
      <c r="A523" s="14" t="str">
        <f>"18054"</f>
        <v>18054</v>
      </c>
      <c r="B523" s="14" t="str">
        <f>"01681"</f>
        <v>01681</v>
      </c>
      <c r="C523" s="14" t="str">
        <f>"1100"</f>
        <v>1100</v>
      </c>
      <c r="D523" s="14" t="str">
        <f>"01681"</f>
        <v>01681</v>
      </c>
      <c r="E523" s="14" t="s">
        <v>615</v>
      </c>
      <c r="F523" s="14" t="s">
        <v>630</v>
      </c>
      <c r="G523" s="14" t="str">
        <f>""</f>
        <v/>
      </c>
      <c r="H523" s="14" t="str">
        <f>" 10"</f>
        <v xml:space="preserve"> 10</v>
      </c>
      <c r="I523" s="14">
        <v>0.01</v>
      </c>
      <c r="J523" s="14">
        <v>500</v>
      </c>
      <c r="K523" s="14" t="s">
        <v>146</v>
      </c>
      <c r="L523" s="14" t="s">
        <v>147</v>
      </c>
      <c r="P523" s="14" t="s">
        <v>39</v>
      </c>
      <c r="Q523" s="14" t="s">
        <v>25</v>
      </c>
      <c r="R523" s="14" t="s">
        <v>146</v>
      </c>
    </row>
    <row r="524" spans="1:18" s="14" customFormat="1" x14ac:dyDescent="0.25">
      <c r="A524" s="14" t="str">
        <f>"18054"</f>
        <v>18054</v>
      </c>
      <c r="B524" s="14" t="str">
        <f>"01681"</f>
        <v>01681</v>
      </c>
      <c r="C524" s="14" t="str">
        <f>"1100"</f>
        <v>1100</v>
      </c>
      <c r="D524" s="14" t="str">
        <f>"01681"</f>
        <v>01681</v>
      </c>
      <c r="E524" s="14" t="s">
        <v>615</v>
      </c>
      <c r="F524" s="14" t="s">
        <v>630</v>
      </c>
      <c r="G524" s="14" t="str">
        <f>""</f>
        <v/>
      </c>
      <c r="H524" s="14" t="str">
        <f>" 20"</f>
        <v xml:space="preserve"> 20</v>
      </c>
      <c r="I524" s="14">
        <v>500.01</v>
      </c>
      <c r="J524" s="14">
        <v>9999999.9900000002</v>
      </c>
      <c r="K524" s="14" t="s">
        <v>591</v>
      </c>
      <c r="L524" s="14" t="s">
        <v>147</v>
      </c>
      <c r="P524" s="14" t="s">
        <v>39</v>
      </c>
      <c r="Q524" s="14" t="s">
        <v>25</v>
      </c>
      <c r="R524" s="14" t="s">
        <v>146</v>
      </c>
    </row>
    <row r="525" spans="1:18" s="14" customFormat="1" x14ac:dyDescent="0.25">
      <c r="A525" s="14" t="str">
        <f>"18054"</f>
        <v>18054</v>
      </c>
      <c r="B525" s="14" t="str">
        <f>"01683"</f>
        <v>01683</v>
      </c>
      <c r="C525" s="14" t="str">
        <f>"1100"</f>
        <v>1100</v>
      </c>
      <c r="D525" s="14" t="str">
        <f>"01683"</f>
        <v>01683</v>
      </c>
      <c r="E525" s="14" t="s">
        <v>615</v>
      </c>
      <c r="F525" s="14" t="s">
        <v>631</v>
      </c>
      <c r="G525" s="14" t="str">
        <f>""</f>
        <v/>
      </c>
      <c r="H525" s="14" t="str">
        <f>" 10"</f>
        <v xml:space="preserve"> 10</v>
      </c>
      <c r="I525" s="14">
        <v>0.01</v>
      </c>
      <c r="J525" s="14">
        <v>500</v>
      </c>
      <c r="K525" s="14" t="s">
        <v>146</v>
      </c>
      <c r="L525" s="14" t="s">
        <v>147</v>
      </c>
      <c r="P525" s="14" t="s">
        <v>39</v>
      </c>
      <c r="Q525" s="14" t="s">
        <v>25</v>
      </c>
      <c r="R525" s="14" t="s">
        <v>146</v>
      </c>
    </row>
    <row r="526" spans="1:18" s="14" customFormat="1" x14ac:dyDescent="0.25">
      <c r="A526" s="14" t="str">
        <f>"18054"</f>
        <v>18054</v>
      </c>
      <c r="B526" s="14" t="str">
        <f>"01683"</f>
        <v>01683</v>
      </c>
      <c r="C526" s="14" t="str">
        <f>"1100"</f>
        <v>1100</v>
      </c>
      <c r="D526" s="14" t="str">
        <f>"01683"</f>
        <v>01683</v>
      </c>
      <c r="E526" s="14" t="s">
        <v>615</v>
      </c>
      <c r="F526" s="14" t="s">
        <v>631</v>
      </c>
      <c r="G526" s="14" t="str">
        <f>""</f>
        <v/>
      </c>
      <c r="H526" s="14" t="str">
        <f>" 20"</f>
        <v xml:space="preserve"> 20</v>
      </c>
      <c r="I526" s="14">
        <v>500.01</v>
      </c>
      <c r="J526" s="14">
        <v>9999999.9900000002</v>
      </c>
      <c r="K526" s="14" t="s">
        <v>591</v>
      </c>
      <c r="L526" s="14" t="s">
        <v>147</v>
      </c>
      <c r="P526" s="14" t="s">
        <v>39</v>
      </c>
      <c r="Q526" s="14" t="s">
        <v>25</v>
      </c>
      <c r="R526" s="14" t="s">
        <v>146</v>
      </c>
    </row>
    <row r="527" spans="1:18" s="14" customFormat="1" x14ac:dyDescent="0.25">
      <c r="A527" s="14" t="str">
        <f>"18054"</f>
        <v>18054</v>
      </c>
      <c r="B527" s="14" t="str">
        <f>"01684"</f>
        <v>01684</v>
      </c>
      <c r="C527" s="14" t="str">
        <f>"1100"</f>
        <v>1100</v>
      </c>
      <c r="D527" s="14" t="str">
        <f>"01684"</f>
        <v>01684</v>
      </c>
      <c r="E527" s="14" t="s">
        <v>615</v>
      </c>
      <c r="F527" s="14" t="s">
        <v>632</v>
      </c>
      <c r="G527" s="14" t="str">
        <f>""</f>
        <v/>
      </c>
      <c r="H527" s="14" t="str">
        <f>" 10"</f>
        <v xml:space="preserve"> 10</v>
      </c>
      <c r="I527" s="14">
        <v>0.01</v>
      </c>
      <c r="J527" s="14">
        <v>500</v>
      </c>
      <c r="K527" s="14" t="s">
        <v>146</v>
      </c>
      <c r="L527" s="14" t="s">
        <v>147</v>
      </c>
      <c r="P527" s="14" t="s">
        <v>39</v>
      </c>
      <c r="Q527" s="14" t="s">
        <v>25</v>
      </c>
      <c r="R527" s="14" t="s">
        <v>146</v>
      </c>
    </row>
    <row r="528" spans="1:18" s="14" customFormat="1" x14ac:dyDescent="0.25">
      <c r="A528" s="14" t="str">
        <f>"18054"</f>
        <v>18054</v>
      </c>
      <c r="B528" s="14" t="str">
        <f>"01684"</f>
        <v>01684</v>
      </c>
      <c r="C528" s="14" t="str">
        <f>"1100"</f>
        <v>1100</v>
      </c>
      <c r="D528" s="14" t="str">
        <f>"01684"</f>
        <v>01684</v>
      </c>
      <c r="E528" s="14" t="s">
        <v>615</v>
      </c>
      <c r="F528" s="14" t="s">
        <v>632</v>
      </c>
      <c r="G528" s="14" t="str">
        <f>""</f>
        <v/>
      </c>
      <c r="H528" s="14" t="str">
        <f>" 20"</f>
        <v xml:space="preserve"> 20</v>
      </c>
      <c r="I528" s="14">
        <v>500.01</v>
      </c>
      <c r="J528" s="14">
        <v>9999999.9900000002</v>
      </c>
      <c r="K528" s="14" t="s">
        <v>591</v>
      </c>
      <c r="L528" s="14" t="s">
        <v>147</v>
      </c>
      <c r="P528" s="14" t="s">
        <v>39</v>
      </c>
      <c r="Q528" s="14" t="s">
        <v>25</v>
      </c>
      <c r="R528" s="14" t="s">
        <v>146</v>
      </c>
    </row>
    <row r="529" spans="1:18" s="14" customFormat="1" x14ac:dyDescent="0.25">
      <c r="A529" s="14" t="str">
        <f>"18054"</f>
        <v>18054</v>
      </c>
      <c r="B529" s="14" t="str">
        <f>"01685"</f>
        <v>01685</v>
      </c>
      <c r="C529" s="14" t="str">
        <f>"1100"</f>
        <v>1100</v>
      </c>
      <c r="D529" s="14" t="str">
        <f>"01685"</f>
        <v>01685</v>
      </c>
      <c r="E529" s="14" t="s">
        <v>615</v>
      </c>
      <c r="F529" s="14" t="s">
        <v>633</v>
      </c>
      <c r="G529" s="14" t="str">
        <f>""</f>
        <v/>
      </c>
      <c r="H529" s="14" t="str">
        <f>" 10"</f>
        <v xml:space="preserve"> 10</v>
      </c>
      <c r="I529" s="14">
        <v>0.01</v>
      </c>
      <c r="J529" s="14">
        <v>500</v>
      </c>
      <c r="K529" s="14" t="s">
        <v>146</v>
      </c>
      <c r="L529" s="14" t="s">
        <v>147</v>
      </c>
      <c r="P529" s="14" t="s">
        <v>39</v>
      </c>
      <c r="Q529" s="14" t="s">
        <v>25</v>
      </c>
      <c r="R529" s="14" t="s">
        <v>146</v>
      </c>
    </row>
    <row r="530" spans="1:18" s="14" customFormat="1" x14ac:dyDescent="0.25">
      <c r="A530" s="14" t="str">
        <f>"18054"</f>
        <v>18054</v>
      </c>
      <c r="B530" s="14" t="str">
        <f>"01685"</f>
        <v>01685</v>
      </c>
      <c r="C530" s="14" t="str">
        <f>"1100"</f>
        <v>1100</v>
      </c>
      <c r="D530" s="14" t="str">
        <f>"01685"</f>
        <v>01685</v>
      </c>
      <c r="E530" s="14" t="s">
        <v>615</v>
      </c>
      <c r="F530" s="14" t="s">
        <v>633</v>
      </c>
      <c r="G530" s="14" t="str">
        <f>""</f>
        <v/>
      </c>
      <c r="H530" s="14" t="str">
        <f>" 20"</f>
        <v xml:space="preserve"> 20</v>
      </c>
      <c r="I530" s="14">
        <v>500.01</v>
      </c>
      <c r="J530" s="14">
        <v>9999999.9900000002</v>
      </c>
      <c r="K530" s="14" t="s">
        <v>591</v>
      </c>
      <c r="L530" s="14" t="s">
        <v>147</v>
      </c>
      <c r="P530" s="14" t="s">
        <v>39</v>
      </c>
      <c r="Q530" s="14" t="s">
        <v>25</v>
      </c>
      <c r="R530" s="14" t="s">
        <v>146</v>
      </c>
    </row>
    <row r="531" spans="1:18" s="14" customFormat="1" x14ac:dyDescent="0.25">
      <c r="A531" s="14" t="str">
        <f>"18054"</f>
        <v>18054</v>
      </c>
      <c r="B531" s="14" t="str">
        <f>"01688"</f>
        <v>01688</v>
      </c>
      <c r="C531" s="14" t="str">
        <f>"1100"</f>
        <v>1100</v>
      </c>
      <c r="D531" s="14" t="str">
        <f>"01688"</f>
        <v>01688</v>
      </c>
      <c r="E531" s="14" t="s">
        <v>615</v>
      </c>
      <c r="F531" s="14" t="s">
        <v>634</v>
      </c>
      <c r="G531" s="14" t="str">
        <f>""</f>
        <v/>
      </c>
      <c r="H531" s="14" t="str">
        <f>" 10"</f>
        <v xml:space="preserve"> 10</v>
      </c>
      <c r="I531" s="14">
        <v>0.01</v>
      </c>
      <c r="J531" s="14">
        <v>500</v>
      </c>
      <c r="K531" s="14" t="s">
        <v>146</v>
      </c>
      <c r="L531" s="14" t="s">
        <v>147</v>
      </c>
      <c r="P531" s="14" t="s">
        <v>39</v>
      </c>
      <c r="Q531" s="14" t="s">
        <v>25</v>
      </c>
      <c r="R531" s="14" t="s">
        <v>146</v>
      </c>
    </row>
    <row r="532" spans="1:18" s="14" customFormat="1" x14ac:dyDescent="0.25">
      <c r="A532" s="14" t="str">
        <f>"18054"</f>
        <v>18054</v>
      </c>
      <c r="B532" s="14" t="str">
        <f>"01688"</f>
        <v>01688</v>
      </c>
      <c r="C532" s="14" t="str">
        <f>"1100"</f>
        <v>1100</v>
      </c>
      <c r="D532" s="14" t="str">
        <f>"01688"</f>
        <v>01688</v>
      </c>
      <c r="E532" s="14" t="s">
        <v>615</v>
      </c>
      <c r="F532" s="14" t="s">
        <v>634</v>
      </c>
      <c r="G532" s="14" t="str">
        <f>""</f>
        <v/>
      </c>
      <c r="H532" s="14" t="str">
        <f>" 20"</f>
        <v xml:space="preserve"> 20</v>
      </c>
      <c r="I532" s="14">
        <v>500.01</v>
      </c>
      <c r="J532" s="14">
        <v>9999999.9900000002</v>
      </c>
      <c r="K532" s="14" t="s">
        <v>591</v>
      </c>
      <c r="L532" s="14" t="s">
        <v>147</v>
      </c>
      <c r="P532" s="14" t="s">
        <v>39</v>
      </c>
      <c r="Q532" s="14" t="s">
        <v>25</v>
      </c>
      <c r="R532" s="14" t="s">
        <v>146</v>
      </c>
    </row>
    <row r="533" spans="1:18" s="14" customFormat="1" x14ac:dyDescent="0.25">
      <c r="A533" s="14" t="str">
        <f>"18054"</f>
        <v>18054</v>
      </c>
      <c r="B533" s="14" t="str">
        <f>"01691"</f>
        <v>01691</v>
      </c>
      <c r="C533" s="14" t="str">
        <f>"1100"</f>
        <v>1100</v>
      </c>
      <c r="D533" s="14" t="str">
        <f>"01691"</f>
        <v>01691</v>
      </c>
      <c r="E533" s="14" t="s">
        <v>615</v>
      </c>
      <c r="F533" s="14" t="s">
        <v>635</v>
      </c>
      <c r="G533" s="14" t="str">
        <f>""</f>
        <v/>
      </c>
      <c r="H533" s="14" t="str">
        <f>" 10"</f>
        <v xml:space="preserve"> 10</v>
      </c>
      <c r="I533" s="14">
        <v>0.01</v>
      </c>
      <c r="J533" s="14">
        <v>500</v>
      </c>
      <c r="K533" s="14" t="s">
        <v>146</v>
      </c>
      <c r="L533" s="14" t="s">
        <v>147</v>
      </c>
      <c r="P533" s="14" t="s">
        <v>39</v>
      </c>
      <c r="Q533" s="14" t="s">
        <v>25</v>
      </c>
      <c r="R533" s="14" t="s">
        <v>146</v>
      </c>
    </row>
    <row r="534" spans="1:18" s="14" customFormat="1" x14ac:dyDescent="0.25">
      <c r="A534" s="14" t="str">
        <f>"18054"</f>
        <v>18054</v>
      </c>
      <c r="B534" s="14" t="str">
        <f>"01691"</f>
        <v>01691</v>
      </c>
      <c r="C534" s="14" t="str">
        <f>"1100"</f>
        <v>1100</v>
      </c>
      <c r="D534" s="14" t="str">
        <f>"01691"</f>
        <v>01691</v>
      </c>
      <c r="E534" s="14" t="s">
        <v>615</v>
      </c>
      <c r="F534" s="14" t="s">
        <v>635</v>
      </c>
      <c r="G534" s="14" t="str">
        <f>""</f>
        <v/>
      </c>
      <c r="H534" s="14" t="str">
        <f>" 20"</f>
        <v xml:space="preserve"> 20</v>
      </c>
      <c r="I534" s="14">
        <v>500.01</v>
      </c>
      <c r="J534" s="14">
        <v>9999999.9900000002</v>
      </c>
      <c r="K534" s="14" t="s">
        <v>591</v>
      </c>
      <c r="L534" s="14" t="s">
        <v>147</v>
      </c>
      <c r="P534" s="14" t="s">
        <v>39</v>
      </c>
      <c r="Q534" s="14" t="s">
        <v>25</v>
      </c>
      <c r="R534" s="14" t="s">
        <v>146</v>
      </c>
    </row>
    <row r="535" spans="1:18" s="14" customFormat="1" x14ac:dyDescent="0.25">
      <c r="A535" s="14" t="str">
        <f>"18054"</f>
        <v>18054</v>
      </c>
      <c r="B535" s="14" t="str">
        <f>"01692"</f>
        <v>01692</v>
      </c>
      <c r="C535" s="14" t="str">
        <f>"1100"</f>
        <v>1100</v>
      </c>
      <c r="D535" s="14" t="str">
        <f>"01692"</f>
        <v>01692</v>
      </c>
      <c r="E535" s="14" t="s">
        <v>615</v>
      </c>
      <c r="F535" s="14" t="s">
        <v>636</v>
      </c>
      <c r="G535" s="14" t="str">
        <f>""</f>
        <v/>
      </c>
      <c r="H535" s="14" t="str">
        <f>" 10"</f>
        <v xml:space="preserve"> 10</v>
      </c>
      <c r="I535" s="14">
        <v>0.01</v>
      </c>
      <c r="J535" s="14">
        <v>500</v>
      </c>
      <c r="K535" s="14" t="s">
        <v>146</v>
      </c>
      <c r="L535" s="14" t="s">
        <v>147</v>
      </c>
      <c r="P535" s="14" t="s">
        <v>39</v>
      </c>
      <c r="Q535" s="14" t="s">
        <v>25</v>
      </c>
      <c r="R535" s="14" t="s">
        <v>146</v>
      </c>
    </row>
    <row r="536" spans="1:18" s="14" customFormat="1" x14ac:dyDescent="0.25">
      <c r="A536" s="14" t="str">
        <f>"18054"</f>
        <v>18054</v>
      </c>
      <c r="B536" s="14" t="str">
        <f>"01692"</f>
        <v>01692</v>
      </c>
      <c r="C536" s="14" t="str">
        <f>"1100"</f>
        <v>1100</v>
      </c>
      <c r="D536" s="14" t="str">
        <f>"01692"</f>
        <v>01692</v>
      </c>
      <c r="E536" s="14" t="s">
        <v>615</v>
      </c>
      <c r="F536" s="14" t="s">
        <v>636</v>
      </c>
      <c r="G536" s="14" t="str">
        <f>""</f>
        <v/>
      </c>
      <c r="H536" s="14" t="str">
        <f>" 20"</f>
        <v xml:space="preserve"> 20</v>
      </c>
      <c r="I536" s="14">
        <v>500.01</v>
      </c>
      <c r="J536" s="14">
        <v>9999999.9900000002</v>
      </c>
      <c r="K536" s="14" t="s">
        <v>591</v>
      </c>
      <c r="L536" s="14" t="s">
        <v>147</v>
      </c>
      <c r="P536" s="14" t="s">
        <v>39</v>
      </c>
      <c r="Q536" s="14" t="s">
        <v>25</v>
      </c>
      <c r="R536" s="14" t="s">
        <v>146</v>
      </c>
    </row>
    <row r="537" spans="1:18" s="14" customFormat="1" x14ac:dyDescent="0.25">
      <c r="A537" s="14" t="str">
        <f>"18054"</f>
        <v>18054</v>
      </c>
      <c r="B537" s="14" t="str">
        <f>"01696"</f>
        <v>01696</v>
      </c>
      <c r="C537" s="14" t="str">
        <f>"1100"</f>
        <v>1100</v>
      </c>
      <c r="D537" s="14" t="str">
        <f>"01696"</f>
        <v>01696</v>
      </c>
      <c r="E537" s="14" t="s">
        <v>615</v>
      </c>
      <c r="F537" s="14" t="s">
        <v>637</v>
      </c>
      <c r="G537" s="14" t="str">
        <f>""</f>
        <v/>
      </c>
      <c r="H537" s="14" t="str">
        <f>" 10"</f>
        <v xml:space="preserve"> 10</v>
      </c>
      <c r="I537" s="14">
        <v>0.01</v>
      </c>
      <c r="J537" s="14">
        <v>500</v>
      </c>
      <c r="K537" s="14" t="s">
        <v>146</v>
      </c>
      <c r="L537" s="14" t="s">
        <v>147</v>
      </c>
      <c r="P537" s="14" t="s">
        <v>39</v>
      </c>
      <c r="Q537" s="14" t="s">
        <v>25</v>
      </c>
      <c r="R537" s="14" t="s">
        <v>146</v>
      </c>
    </row>
    <row r="538" spans="1:18" s="14" customFormat="1" x14ac:dyDescent="0.25">
      <c r="A538" s="14" t="str">
        <f>"18054"</f>
        <v>18054</v>
      </c>
      <c r="B538" s="14" t="str">
        <f>"01696"</f>
        <v>01696</v>
      </c>
      <c r="C538" s="14" t="str">
        <f>"1100"</f>
        <v>1100</v>
      </c>
      <c r="D538" s="14" t="str">
        <f>"01696"</f>
        <v>01696</v>
      </c>
      <c r="E538" s="14" t="s">
        <v>615</v>
      </c>
      <c r="F538" s="14" t="s">
        <v>637</v>
      </c>
      <c r="G538" s="14" t="str">
        <f>""</f>
        <v/>
      </c>
      <c r="H538" s="14" t="str">
        <f>" 20"</f>
        <v xml:space="preserve"> 20</v>
      </c>
      <c r="I538" s="14">
        <v>500.01</v>
      </c>
      <c r="J538" s="14">
        <v>9999999.9900000002</v>
      </c>
      <c r="K538" s="14" t="s">
        <v>591</v>
      </c>
      <c r="L538" s="14" t="s">
        <v>147</v>
      </c>
      <c r="P538" s="14" t="s">
        <v>39</v>
      </c>
      <c r="Q538" s="14" t="s">
        <v>25</v>
      </c>
      <c r="R538" s="14" t="s">
        <v>146</v>
      </c>
    </row>
    <row r="539" spans="1:18" s="14" customFormat="1" x14ac:dyDescent="0.25">
      <c r="A539" s="14" t="str">
        <f>"18054"</f>
        <v>18054</v>
      </c>
      <c r="B539" s="14" t="str">
        <f>"01697"</f>
        <v>01697</v>
      </c>
      <c r="C539" s="14" t="str">
        <f>"1100"</f>
        <v>1100</v>
      </c>
      <c r="D539" s="14" t="str">
        <f>"01697"</f>
        <v>01697</v>
      </c>
      <c r="E539" s="14" t="s">
        <v>615</v>
      </c>
      <c r="F539" s="14" t="s">
        <v>638</v>
      </c>
      <c r="G539" s="14" t="str">
        <f>""</f>
        <v/>
      </c>
      <c r="H539" s="14" t="str">
        <f>" 10"</f>
        <v xml:space="preserve"> 10</v>
      </c>
      <c r="I539" s="14">
        <v>0.01</v>
      </c>
      <c r="J539" s="14">
        <v>500</v>
      </c>
      <c r="K539" s="14" t="s">
        <v>146</v>
      </c>
      <c r="L539" s="14" t="s">
        <v>147</v>
      </c>
      <c r="P539" s="14" t="s">
        <v>39</v>
      </c>
      <c r="Q539" s="14" t="s">
        <v>25</v>
      </c>
      <c r="R539" s="14" t="s">
        <v>146</v>
      </c>
    </row>
    <row r="540" spans="1:18" s="14" customFormat="1" x14ac:dyDescent="0.25">
      <c r="A540" s="14" t="str">
        <f>"18054"</f>
        <v>18054</v>
      </c>
      <c r="B540" s="14" t="str">
        <f>"01697"</f>
        <v>01697</v>
      </c>
      <c r="C540" s="14" t="str">
        <f>"1100"</f>
        <v>1100</v>
      </c>
      <c r="D540" s="14" t="str">
        <f>"01697"</f>
        <v>01697</v>
      </c>
      <c r="E540" s="14" t="s">
        <v>615</v>
      </c>
      <c r="F540" s="14" t="s">
        <v>638</v>
      </c>
      <c r="G540" s="14" t="str">
        <f>""</f>
        <v/>
      </c>
      <c r="H540" s="14" t="str">
        <f>" 20"</f>
        <v xml:space="preserve"> 20</v>
      </c>
      <c r="I540" s="14">
        <v>500.01</v>
      </c>
      <c r="J540" s="14">
        <v>9999999.9900000002</v>
      </c>
      <c r="K540" s="14" t="s">
        <v>591</v>
      </c>
      <c r="L540" s="14" t="s">
        <v>147</v>
      </c>
      <c r="P540" s="14" t="s">
        <v>39</v>
      </c>
      <c r="Q540" s="14" t="s">
        <v>25</v>
      </c>
      <c r="R540" s="14" t="s">
        <v>146</v>
      </c>
    </row>
    <row r="541" spans="1:18" s="14" customFormat="1" x14ac:dyDescent="0.25">
      <c r="A541" s="14" t="str">
        <f>"18054"</f>
        <v>18054</v>
      </c>
      <c r="B541" s="14" t="str">
        <f>"01699"</f>
        <v>01699</v>
      </c>
      <c r="C541" s="14" t="str">
        <f>"1100"</f>
        <v>1100</v>
      </c>
      <c r="D541" s="14" t="str">
        <f>"01699"</f>
        <v>01699</v>
      </c>
      <c r="E541" s="14" t="s">
        <v>615</v>
      </c>
      <c r="F541" s="14" t="s">
        <v>639</v>
      </c>
      <c r="G541" s="14" t="str">
        <f>""</f>
        <v/>
      </c>
      <c r="H541" s="14" t="str">
        <f>" 10"</f>
        <v xml:space="preserve"> 10</v>
      </c>
      <c r="I541" s="14">
        <v>0.01</v>
      </c>
      <c r="J541" s="14">
        <v>500</v>
      </c>
      <c r="K541" s="14" t="s">
        <v>146</v>
      </c>
      <c r="L541" s="14" t="s">
        <v>147</v>
      </c>
      <c r="P541" s="14" t="s">
        <v>39</v>
      </c>
      <c r="Q541" s="14" t="s">
        <v>25</v>
      </c>
      <c r="R541" s="14" t="s">
        <v>146</v>
      </c>
    </row>
    <row r="542" spans="1:18" s="14" customFormat="1" x14ac:dyDescent="0.25">
      <c r="A542" s="14" t="str">
        <f>"18054"</f>
        <v>18054</v>
      </c>
      <c r="B542" s="14" t="str">
        <f>"01699"</f>
        <v>01699</v>
      </c>
      <c r="C542" s="14" t="str">
        <f>"1100"</f>
        <v>1100</v>
      </c>
      <c r="D542" s="14" t="str">
        <f>"01699"</f>
        <v>01699</v>
      </c>
      <c r="E542" s="14" t="s">
        <v>615</v>
      </c>
      <c r="F542" s="14" t="s">
        <v>639</v>
      </c>
      <c r="G542" s="14" t="str">
        <f>""</f>
        <v/>
      </c>
      <c r="H542" s="14" t="str">
        <f>" 20"</f>
        <v xml:space="preserve"> 20</v>
      </c>
      <c r="I542" s="14">
        <v>500.01</v>
      </c>
      <c r="J542" s="14">
        <v>9999999.9900000002</v>
      </c>
      <c r="K542" s="14" t="s">
        <v>591</v>
      </c>
      <c r="L542" s="14" t="s">
        <v>147</v>
      </c>
      <c r="P542" s="14" t="s">
        <v>39</v>
      </c>
      <c r="Q542" s="14" t="s">
        <v>25</v>
      </c>
      <c r="R542" s="14" t="s">
        <v>146</v>
      </c>
    </row>
    <row r="543" spans="1:18" s="14" customFormat="1" x14ac:dyDescent="0.25">
      <c r="A543" s="14" t="str">
        <f>"18054"</f>
        <v>18054</v>
      </c>
      <c r="B543" s="14" t="str">
        <f>"01712"</f>
        <v>01712</v>
      </c>
      <c r="C543" s="14" t="str">
        <f>"1100"</f>
        <v>1100</v>
      </c>
      <c r="D543" s="14" t="str">
        <f>"01712"</f>
        <v>01712</v>
      </c>
      <c r="E543" s="14" t="s">
        <v>615</v>
      </c>
      <c r="F543" s="14" t="s">
        <v>640</v>
      </c>
      <c r="G543" s="14" t="str">
        <f>""</f>
        <v/>
      </c>
      <c r="H543" s="14" t="str">
        <f>" 10"</f>
        <v xml:space="preserve"> 10</v>
      </c>
      <c r="I543" s="14">
        <v>0.01</v>
      </c>
      <c r="J543" s="14">
        <v>500</v>
      </c>
      <c r="K543" s="14" t="s">
        <v>146</v>
      </c>
      <c r="L543" s="14" t="s">
        <v>147</v>
      </c>
      <c r="P543" s="14" t="s">
        <v>39</v>
      </c>
      <c r="Q543" s="14" t="s">
        <v>25</v>
      </c>
      <c r="R543" s="14" t="s">
        <v>146</v>
      </c>
    </row>
    <row r="544" spans="1:18" s="14" customFormat="1" x14ac:dyDescent="0.25">
      <c r="A544" s="14" t="str">
        <f>"18054"</f>
        <v>18054</v>
      </c>
      <c r="B544" s="14" t="str">
        <f>"01712"</f>
        <v>01712</v>
      </c>
      <c r="C544" s="14" t="str">
        <f>"1100"</f>
        <v>1100</v>
      </c>
      <c r="D544" s="14" t="str">
        <f>"01712"</f>
        <v>01712</v>
      </c>
      <c r="E544" s="14" t="s">
        <v>615</v>
      </c>
      <c r="F544" s="14" t="s">
        <v>640</v>
      </c>
      <c r="G544" s="14" t="str">
        <f>""</f>
        <v/>
      </c>
      <c r="H544" s="14" t="str">
        <f>" 20"</f>
        <v xml:space="preserve"> 20</v>
      </c>
      <c r="I544" s="14">
        <v>500.01</v>
      </c>
      <c r="J544" s="14">
        <v>9999999.9900000002</v>
      </c>
      <c r="K544" s="14" t="s">
        <v>591</v>
      </c>
      <c r="L544" s="14" t="s">
        <v>147</v>
      </c>
      <c r="P544" s="14" t="s">
        <v>39</v>
      </c>
      <c r="Q544" s="14" t="s">
        <v>25</v>
      </c>
      <c r="R544" s="14" t="s">
        <v>146</v>
      </c>
    </row>
    <row r="545" spans="1:18" s="14" customFormat="1" x14ac:dyDescent="0.25">
      <c r="A545" s="14" t="str">
        <f>"18054"</f>
        <v>18054</v>
      </c>
      <c r="B545" s="14" t="str">
        <f>"01713"</f>
        <v>01713</v>
      </c>
      <c r="C545" s="14" t="str">
        <f>"1100"</f>
        <v>1100</v>
      </c>
      <c r="D545" s="14" t="str">
        <f>"01713"</f>
        <v>01713</v>
      </c>
      <c r="E545" s="14" t="s">
        <v>615</v>
      </c>
      <c r="F545" s="14" t="s">
        <v>641</v>
      </c>
      <c r="G545" s="14" t="str">
        <f>""</f>
        <v/>
      </c>
      <c r="H545" s="14" t="str">
        <f>" 10"</f>
        <v xml:space="preserve"> 10</v>
      </c>
      <c r="I545" s="14">
        <v>0.01</v>
      </c>
      <c r="J545" s="14">
        <v>500</v>
      </c>
      <c r="K545" s="14" t="s">
        <v>146</v>
      </c>
      <c r="L545" s="14" t="s">
        <v>147</v>
      </c>
      <c r="P545" s="14" t="s">
        <v>39</v>
      </c>
      <c r="Q545" s="14" t="s">
        <v>25</v>
      </c>
      <c r="R545" s="14" t="s">
        <v>146</v>
      </c>
    </row>
    <row r="546" spans="1:18" s="14" customFormat="1" x14ac:dyDescent="0.25">
      <c r="A546" s="14" t="str">
        <f>"18054"</f>
        <v>18054</v>
      </c>
      <c r="B546" s="14" t="str">
        <f>"01713"</f>
        <v>01713</v>
      </c>
      <c r="C546" s="14" t="str">
        <f>"1100"</f>
        <v>1100</v>
      </c>
      <c r="D546" s="14" t="str">
        <f>"01713"</f>
        <v>01713</v>
      </c>
      <c r="E546" s="14" t="s">
        <v>615</v>
      </c>
      <c r="F546" s="14" t="s">
        <v>641</v>
      </c>
      <c r="G546" s="14" t="str">
        <f>""</f>
        <v/>
      </c>
      <c r="H546" s="14" t="str">
        <f>" 20"</f>
        <v xml:space="preserve"> 20</v>
      </c>
      <c r="I546" s="14">
        <v>500.01</v>
      </c>
      <c r="J546" s="14">
        <v>9999999.9900000002</v>
      </c>
      <c r="K546" s="14" t="s">
        <v>591</v>
      </c>
      <c r="L546" s="14" t="s">
        <v>147</v>
      </c>
      <c r="P546" s="14" t="s">
        <v>39</v>
      </c>
      <c r="Q546" s="14" t="s">
        <v>25</v>
      </c>
      <c r="R546" s="14" t="s">
        <v>146</v>
      </c>
    </row>
    <row r="547" spans="1:18" s="14" customFormat="1" x14ac:dyDescent="0.25">
      <c r="A547" s="14" t="str">
        <f>"18054"</f>
        <v>18054</v>
      </c>
      <c r="B547" s="14" t="str">
        <f>"01714"</f>
        <v>01714</v>
      </c>
      <c r="C547" s="14" t="str">
        <f>"1100"</f>
        <v>1100</v>
      </c>
      <c r="D547" s="14" t="str">
        <f>"01714"</f>
        <v>01714</v>
      </c>
      <c r="E547" s="14" t="s">
        <v>615</v>
      </c>
      <c r="F547" s="14" t="s">
        <v>642</v>
      </c>
      <c r="G547" s="14" t="str">
        <f>""</f>
        <v/>
      </c>
      <c r="H547" s="14" t="str">
        <f>" 10"</f>
        <v xml:space="preserve"> 10</v>
      </c>
      <c r="I547" s="14">
        <v>0.01</v>
      </c>
      <c r="J547" s="14">
        <v>500</v>
      </c>
      <c r="K547" s="14" t="s">
        <v>146</v>
      </c>
      <c r="L547" s="14" t="s">
        <v>147</v>
      </c>
      <c r="P547" s="14" t="s">
        <v>39</v>
      </c>
      <c r="Q547" s="14" t="s">
        <v>25</v>
      </c>
      <c r="R547" s="14" t="s">
        <v>146</v>
      </c>
    </row>
    <row r="548" spans="1:18" s="14" customFormat="1" x14ac:dyDescent="0.25">
      <c r="A548" s="14" t="str">
        <f>"18054"</f>
        <v>18054</v>
      </c>
      <c r="B548" s="14" t="str">
        <f>"01714"</f>
        <v>01714</v>
      </c>
      <c r="C548" s="14" t="str">
        <f>"1100"</f>
        <v>1100</v>
      </c>
      <c r="D548" s="14" t="str">
        <f>"01714"</f>
        <v>01714</v>
      </c>
      <c r="E548" s="14" t="s">
        <v>615</v>
      </c>
      <c r="F548" s="14" t="s">
        <v>642</v>
      </c>
      <c r="G548" s="14" t="str">
        <f>""</f>
        <v/>
      </c>
      <c r="H548" s="14" t="str">
        <f>" 20"</f>
        <v xml:space="preserve"> 20</v>
      </c>
      <c r="I548" s="14">
        <v>500.01</v>
      </c>
      <c r="J548" s="14">
        <v>9999999.9900000002</v>
      </c>
      <c r="K548" s="14" t="s">
        <v>591</v>
      </c>
      <c r="L548" s="14" t="s">
        <v>147</v>
      </c>
      <c r="P548" s="14" t="s">
        <v>39</v>
      </c>
      <c r="Q548" s="14" t="s">
        <v>25</v>
      </c>
      <c r="R548" s="14" t="s">
        <v>146</v>
      </c>
    </row>
    <row r="549" spans="1:18" s="14" customFormat="1" x14ac:dyDescent="0.25">
      <c r="A549" s="14" t="str">
        <f>"18054"</f>
        <v>18054</v>
      </c>
      <c r="B549" s="14" t="str">
        <f>"01715"</f>
        <v>01715</v>
      </c>
      <c r="C549" s="14" t="str">
        <f>"1100"</f>
        <v>1100</v>
      </c>
      <c r="D549" s="14" t="str">
        <f>"01715"</f>
        <v>01715</v>
      </c>
      <c r="E549" s="14" t="s">
        <v>615</v>
      </c>
      <c r="F549" s="14" t="s">
        <v>643</v>
      </c>
      <c r="G549" s="14" t="str">
        <f>""</f>
        <v/>
      </c>
      <c r="H549" s="14" t="str">
        <f>" 10"</f>
        <v xml:space="preserve"> 10</v>
      </c>
      <c r="I549" s="14">
        <v>0.01</v>
      </c>
      <c r="J549" s="14">
        <v>500</v>
      </c>
      <c r="K549" s="14" t="s">
        <v>146</v>
      </c>
      <c r="L549" s="14" t="s">
        <v>147</v>
      </c>
      <c r="P549" s="14" t="s">
        <v>39</v>
      </c>
      <c r="Q549" s="14" t="s">
        <v>25</v>
      </c>
      <c r="R549" s="14" t="s">
        <v>146</v>
      </c>
    </row>
    <row r="550" spans="1:18" s="14" customFormat="1" x14ac:dyDescent="0.25">
      <c r="A550" s="14" t="str">
        <f>"18054"</f>
        <v>18054</v>
      </c>
      <c r="B550" s="14" t="str">
        <f>"01715"</f>
        <v>01715</v>
      </c>
      <c r="C550" s="14" t="str">
        <f>"1100"</f>
        <v>1100</v>
      </c>
      <c r="D550" s="14" t="str">
        <f>"01715"</f>
        <v>01715</v>
      </c>
      <c r="E550" s="14" t="s">
        <v>615</v>
      </c>
      <c r="F550" s="14" t="s">
        <v>643</v>
      </c>
      <c r="G550" s="14" t="str">
        <f>""</f>
        <v/>
      </c>
      <c r="H550" s="14" t="str">
        <f>" 20"</f>
        <v xml:space="preserve"> 20</v>
      </c>
      <c r="I550" s="14">
        <v>500.01</v>
      </c>
      <c r="J550" s="14">
        <v>9999999.9900000002</v>
      </c>
      <c r="K550" s="14" t="s">
        <v>591</v>
      </c>
      <c r="L550" s="14" t="s">
        <v>147</v>
      </c>
      <c r="P550" s="14" t="s">
        <v>39</v>
      </c>
      <c r="Q550" s="14" t="s">
        <v>25</v>
      </c>
      <c r="R550" s="14" t="s">
        <v>146</v>
      </c>
    </row>
    <row r="551" spans="1:18" s="14" customFormat="1" x14ac:dyDescent="0.25">
      <c r="A551" s="14" t="str">
        <f>"18054"</f>
        <v>18054</v>
      </c>
      <c r="B551" s="14" t="str">
        <f>"01716"</f>
        <v>01716</v>
      </c>
      <c r="C551" s="14" t="str">
        <f>"1100"</f>
        <v>1100</v>
      </c>
      <c r="D551" s="14" t="str">
        <f>"01716"</f>
        <v>01716</v>
      </c>
      <c r="E551" s="14" t="s">
        <v>615</v>
      </c>
      <c r="F551" s="14" t="s">
        <v>644</v>
      </c>
      <c r="G551" s="14" t="str">
        <f>""</f>
        <v/>
      </c>
      <c r="H551" s="14" t="str">
        <f>" 10"</f>
        <v xml:space="preserve"> 10</v>
      </c>
      <c r="I551" s="14">
        <v>0.01</v>
      </c>
      <c r="J551" s="14">
        <v>500</v>
      </c>
      <c r="K551" s="14" t="s">
        <v>146</v>
      </c>
      <c r="L551" s="14" t="s">
        <v>147</v>
      </c>
      <c r="P551" s="14" t="s">
        <v>39</v>
      </c>
      <c r="Q551" s="14" t="s">
        <v>25</v>
      </c>
      <c r="R551" s="14" t="s">
        <v>146</v>
      </c>
    </row>
    <row r="552" spans="1:18" s="14" customFormat="1" x14ac:dyDescent="0.25">
      <c r="A552" s="14" t="str">
        <f>"18054"</f>
        <v>18054</v>
      </c>
      <c r="B552" s="14" t="str">
        <f>"01716"</f>
        <v>01716</v>
      </c>
      <c r="C552" s="14" t="str">
        <f>"1100"</f>
        <v>1100</v>
      </c>
      <c r="D552" s="14" t="str">
        <f>"01716"</f>
        <v>01716</v>
      </c>
      <c r="E552" s="14" t="s">
        <v>615</v>
      </c>
      <c r="F552" s="14" t="s">
        <v>644</v>
      </c>
      <c r="G552" s="14" t="str">
        <f>""</f>
        <v/>
      </c>
      <c r="H552" s="14" t="str">
        <f>" 20"</f>
        <v xml:space="preserve"> 20</v>
      </c>
      <c r="I552" s="14">
        <v>500.01</v>
      </c>
      <c r="J552" s="14">
        <v>9999999.9900000002</v>
      </c>
      <c r="K552" s="14" t="s">
        <v>591</v>
      </c>
      <c r="L552" s="14" t="s">
        <v>147</v>
      </c>
      <c r="P552" s="14" t="s">
        <v>39</v>
      </c>
      <c r="Q552" s="14" t="s">
        <v>25</v>
      </c>
      <c r="R552" s="14" t="s">
        <v>146</v>
      </c>
    </row>
    <row r="553" spans="1:18" s="14" customFormat="1" x14ac:dyDescent="0.25">
      <c r="A553" s="14" t="str">
        <f>"18054"</f>
        <v>18054</v>
      </c>
      <c r="B553" s="14" t="str">
        <f>"01717"</f>
        <v>01717</v>
      </c>
      <c r="C553" s="14" t="str">
        <f>"1100"</f>
        <v>1100</v>
      </c>
      <c r="D553" s="14" t="str">
        <f>"01717"</f>
        <v>01717</v>
      </c>
      <c r="E553" s="14" t="s">
        <v>615</v>
      </c>
      <c r="F553" s="14" t="s">
        <v>645</v>
      </c>
      <c r="G553" s="14" t="str">
        <f>""</f>
        <v/>
      </c>
      <c r="H553" s="14" t="str">
        <f>" 10"</f>
        <v xml:space="preserve"> 10</v>
      </c>
      <c r="I553" s="14">
        <v>0.01</v>
      </c>
      <c r="J553" s="14">
        <v>500</v>
      </c>
      <c r="K553" s="14" t="s">
        <v>146</v>
      </c>
      <c r="L553" s="14" t="s">
        <v>147</v>
      </c>
      <c r="P553" s="14" t="s">
        <v>39</v>
      </c>
      <c r="Q553" s="14" t="s">
        <v>25</v>
      </c>
      <c r="R553" s="14" t="s">
        <v>146</v>
      </c>
    </row>
    <row r="554" spans="1:18" s="14" customFormat="1" x14ac:dyDescent="0.25">
      <c r="A554" s="14" t="str">
        <f>"18054"</f>
        <v>18054</v>
      </c>
      <c r="B554" s="14" t="str">
        <f>"01717"</f>
        <v>01717</v>
      </c>
      <c r="C554" s="14" t="str">
        <f>"1100"</f>
        <v>1100</v>
      </c>
      <c r="D554" s="14" t="str">
        <f>"01717"</f>
        <v>01717</v>
      </c>
      <c r="E554" s="14" t="s">
        <v>615</v>
      </c>
      <c r="F554" s="14" t="s">
        <v>645</v>
      </c>
      <c r="G554" s="14" t="str">
        <f>""</f>
        <v/>
      </c>
      <c r="H554" s="14" t="str">
        <f>" 20"</f>
        <v xml:space="preserve"> 20</v>
      </c>
      <c r="I554" s="14">
        <v>500.01</v>
      </c>
      <c r="J554" s="14">
        <v>9999999.9900000002</v>
      </c>
      <c r="K554" s="14" t="s">
        <v>591</v>
      </c>
      <c r="L554" s="14" t="s">
        <v>147</v>
      </c>
      <c r="P554" s="14" t="s">
        <v>39</v>
      </c>
      <c r="Q554" s="14" t="s">
        <v>25</v>
      </c>
      <c r="R554" s="14" t="s">
        <v>146</v>
      </c>
    </row>
    <row r="555" spans="1:18" s="14" customFormat="1" x14ac:dyDescent="0.25">
      <c r="A555" s="14" t="str">
        <f>"18056"</f>
        <v>18056</v>
      </c>
      <c r="B555" s="14" t="str">
        <f>"01780"</f>
        <v>01780</v>
      </c>
      <c r="C555" s="14" t="str">
        <f>"1600"</f>
        <v>1600</v>
      </c>
      <c r="D555" s="14" t="str">
        <f>"18056"</f>
        <v>18056</v>
      </c>
      <c r="E555" s="14" t="s">
        <v>646</v>
      </c>
      <c r="F555" s="14" t="s">
        <v>175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647</v>
      </c>
      <c r="L555" s="14" t="s">
        <v>112</v>
      </c>
      <c r="M555" s="14" t="s">
        <v>113</v>
      </c>
      <c r="N555" s="14" t="s">
        <v>114</v>
      </c>
      <c r="P555" s="14" t="s">
        <v>31</v>
      </c>
      <c r="Q555" s="14" t="s">
        <v>25</v>
      </c>
      <c r="R555" s="14" t="s">
        <v>115</v>
      </c>
    </row>
    <row r="556" spans="1:18" s="14" customFormat="1" x14ac:dyDescent="0.25">
      <c r="A556" s="14" t="str">
        <f>"18057"</f>
        <v>18057</v>
      </c>
      <c r="B556" s="14" t="str">
        <f>"03000"</f>
        <v>03000</v>
      </c>
      <c r="C556" s="14" t="str">
        <f>"1400"</f>
        <v>1400</v>
      </c>
      <c r="D556" s="14" t="str">
        <f>"18057"</f>
        <v>18057</v>
      </c>
      <c r="E556" s="14" t="s">
        <v>648</v>
      </c>
      <c r="F556" s="14" t="s">
        <v>217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34</v>
      </c>
      <c r="P556" s="14" t="s">
        <v>31</v>
      </c>
      <c r="Q556" s="14" t="s">
        <v>25</v>
      </c>
      <c r="R556" s="14" t="s">
        <v>35</v>
      </c>
    </row>
    <row r="557" spans="1:18" s="14" customFormat="1" x14ac:dyDescent="0.25">
      <c r="A557" s="14" t="str">
        <f>"18061"</f>
        <v>18061</v>
      </c>
      <c r="B557" s="14" t="str">
        <f>"01200"</f>
        <v>01200</v>
      </c>
      <c r="C557" s="14" t="str">
        <f>"1800"</f>
        <v>1800</v>
      </c>
      <c r="D557" s="14" t="str">
        <f>"18061"</f>
        <v>18061</v>
      </c>
      <c r="E557" s="14" t="s">
        <v>649</v>
      </c>
      <c r="F557" s="14" t="s">
        <v>68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69</v>
      </c>
      <c r="L557" s="14" t="s">
        <v>650</v>
      </c>
      <c r="M557" s="14" t="s">
        <v>70</v>
      </c>
      <c r="N557" s="14" t="s">
        <v>71</v>
      </c>
      <c r="P557" s="14" t="s">
        <v>31</v>
      </c>
      <c r="Q557" s="14" t="s">
        <v>25</v>
      </c>
      <c r="R557" s="14" t="s">
        <v>650</v>
      </c>
    </row>
    <row r="558" spans="1:18" s="14" customFormat="1" x14ac:dyDescent="0.25">
      <c r="A558" s="14" t="str">
        <f>"18063"</f>
        <v>18063</v>
      </c>
      <c r="B558" s="14" t="str">
        <f>"01370"</f>
        <v>01370</v>
      </c>
      <c r="C558" s="14" t="str">
        <f>"1300"</f>
        <v>1300</v>
      </c>
      <c r="D558" s="14" t="str">
        <f>"18063"</f>
        <v>18063</v>
      </c>
      <c r="E558" s="14" t="s">
        <v>651</v>
      </c>
      <c r="F558" s="14" t="s">
        <v>108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69</v>
      </c>
      <c r="L558" s="14" t="s">
        <v>109</v>
      </c>
      <c r="M558" s="14" t="s">
        <v>70</v>
      </c>
      <c r="N558" s="14" t="s">
        <v>71</v>
      </c>
      <c r="P558" s="14" t="s">
        <v>31</v>
      </c>
      <c r="Q558" s="14" t="s">
        <v>25</v>
      </c>
      <c r="R558" s="14" t="s">
        <v>109</v>
      </c>
    </row>
    <row r="559" spans="1:18" s="14" customFormat="1" x14ac:dyDescent="0.25">
      <c r="A559" s="14" t="str">
        <f>"18064"</f>
        <v>18064</v>
      </c>
      <c r="B559" s="14" t="str">
        <f>"01160"</f>
        <v>01160</v>
      </c>
      <c r="C559" s="14" t="str">
        <f>"1100"</f>
        <v>1100</v>
      </c>
      <c r="D559" s="14" t="str">
        <f>"18064"</f>
        <v>18064</v>
      </c>
      <c r="E559" s="14" t="s">
        <v>652</v>
      </c>
      <c r="F559" s="14" t="s">
        <v>63</v>
      </c>
      <c r="G559" s="14" t="str">
        <f>""</f>
        <v/>
      </c>
      <c r="H559" s="14" t="str">
        <f>" 10"</f>
        <v xml:space="preserve"> 10</v>
      </c>
      <c r="I559" s="14">
        <v>0.01</v>
      </c>
      <c r="J559" s="14">
        <v>500</v>
      </c>
      <c r="K559" s="14" t="s">
        <v>64</v>
      </c>
      <c r="P559" s="14" t="s">
        <v>31</v>
      </c>
      <c r="Q559" s="14" t="s">
        <v>25</v>
      </c>
      <c r="R559" s="14" t="s">
        <v>55</v>
      </c>
    </row>
    <row r="560" spans="1:18" s="14" customFormat="1" x14ac:dyDescent="0.25">
      <c r="A560" s="14" t="str">
        <f>"18064"</f>
        <v>18064</v>
      </c>
      <c r="B560" s="14" t="str">
        <f>"01160"</f>
        <v>01160</v>
      </c>
      <c r="C560" s="14" t="str">
        <f>"1100"</f>
        <v>1100</v>
      </c>
      <c r="D560" s="14" t="str">
        <f>"18064"</f>
        <v>18064</v>
      </c>
      <c r="E560" s="14" t="s">
        <v>652</v>
      </c>
      <c r="F560" s="14" t="s">
        <v>63</v>
      </c>
      <c r="G560" s="14" t="str">
        <f>""</f>
        <v/>
      </c>
      <c r="H560" s="14" t="str">
        <f>" 20"</f>
        <v xml:space="preserve"> 20</v>
      </c>
      <c r="I560" s="14">
        <v>500.01</v>
      </c>
      <c r="J560" s="14">
        <v>9999999.9900000002</v>
      </c>
      <c r="K560" s="14" t="s">
        <v>55</v>
      </c>
      <c r="L560" s="14" t="s">
        <v>53</v>
      </c>
      <c r="M560" s="14" t="s">
        <v>54</v>
      </c>
      <c r="P560" s="14" t="s">
        <v>31</v>
      </c>
      <c r="Q560" s="14" t="s">
        <v>25</v>
      </c>
      <c r="R560" s="14" t="s">
        <v>55</v>
      </c>
    </row>
    <row r="561" spans="1:18" s="14" customFormat="1" x14ac:dyDescent="0.25">
      <c r="A561" s="14" t="str">
        <f>"18065"</f>
        <v>18065</v>
      </c>
      <c r="B561" s="14" t="str">
        <f>"01400"</f>
        <v>01400</v>
      </c>
      <c r="C561" s="14" t="str">
        <f>"1300"</f>
        <v>1300</v>
      </c>
      <c r="D561" s="14" t="str">
        <f>"18065"</f>
        <v>18065</v>
      </c>
      <c r="E561" s="14" t="s">
        <v>653</v>
      </c>
      <c r="F561" s="14" t="s">
        <v>117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69</v>
      </c>
      <c r="L561" s="14" t="s">
        <v>70</v>
      </c>
      <c r="M561" s="14" t="s">
        <v>71</v>
      </c>
      <c r="P561" s="14" t="s">
        <v>31</v>
      </c>
      <c r="Q561" s="14" t="s">
        <v>25</v>
      </c>
      <c r="R561" s="14" t="s">
        <v>72</v>
      </c>
    </row>
    <row r="562" spans="1:18" s="14" customFormat="1" x14ac:dyDescent="0.25">
      <c r="A562" s="14" t="str">
        <f>"18067"</f>
        <v>18067</v>
      </c>
      <c r="B562" s="14" t="str">
        <f>"01000"</f>
        <v>01000</v>
      </c>
      <c r="C562" s="14" t="str">
        <f>"1300"</f>
        <v>1300</v>
      </c>
      <c r="D562" s="14" t="str">
        <f>"18067"</f>
        <v>18067</v>
      </c>
      <c r="E562" s="14" t="s">
        <v>654</v>
      </c>
      <c r="F562" s="14" t="s">
        <v>44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37</v>
      </c>
      <c r="L562" s="14" t="s">
        <v>601</v>
      </c>
      <c r="P562" s="14" t="s">
        <v>39</v>
      </c>
      <c r="Q562" s="14" t="s">
        <v>25</v>
      </c>
      <c r="R562" s="14" t="s">
        <v>38</v>
      </c>
    </row>
    <row r="563" spans="1:18" s="14" customFormat="1" x14ac:dyDescent="0.25">
      <c r="A563" s="14" t="str">
        <f>"18068"</f>
        <v>18068</v>
      </c>
      <c r="B563" s="14" t="str">
        <f>"01000"</f>
        <v>01000</v>
      </c>
      <c r="C563" s="14" t="str">
        <f>"1300"</f>
        <v>1300</v>
      </c>
      <c r="D563" s="14" t="str">
        <f>"18068"</f>
        <v>18068</v>
      </c>
      <c r="E563" s="14" t="s">
        <v>655</v>
      </c>
      <c r="F563" s="14" t="s">
        <v>44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37</v>
      </c>
      <c r="L563" s="14" t="s">
        <v>601</v>
      </c>
      <c r="P563" s="14" t="s">
        <v>39</v>
      </c>
      <c r="Q563" s="14" t="s">
        <v>25</v>
      </c>
      <c r="R563" s="14" t="s">
        <v>38</v>
      </c>
    </row>
    <row r="564" spans="1:18" s="14" customFormat="1" x14ac:dyDescent="0.25">
      <c r="A564" s="14" t="str">
        <f>"18071"</f>
        <v>18071</v>
      </c>
      <c r="B564" s="14" t="str">
        <f>"01030"</f>
        <v>01030</v>
      </c>
      <c r="C564" s="14" t="str">
        <f>"1600"</f>
        <v>1600</v>
      </c>
      <c r="D564" s="14" t="str">
        <f>"18071"</f>
        <v>18071</v>
      </c>
      <c r="E564" s="14" t="s">
        <v>656</v>
      </c>
      <c r="F564" s="14" t="s">
        <v>52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53</v>
      </c>
      <c r="L564" s="14" t="s">
        <v>54</v>
      </c>
      <c r="M564" s="14" t="s">
        <v>55</v>
      </c>
      <c r="P564" s="14" t="s">
        <v>31</v>
      </c>
      <c r="Q564" s="14" t="s">
        <v>25</v>
      </c>
      <c r="R564" s="14" t="s">
        <v>54</v>
      </c>
    </row>
    <row r="565" spans="1:18" s="14" customFormat="1" x14ac:dyDescent="0.25">
      <c r="A565" s="14" t="str">
        <f>"18073"</f>
        <v>18073</v>
      </c>
      <c r="B565" s="14" t="str">
        <f>"01035"</f>
        <v>01035</v>
      </c>
      <c r="C565" s="14" t="str">
        <f>"1600"</f>
        <v>1600</v>
      </c>
      <c r="D565" s="14" t="str">
        <f>"18073"</f>
        <v>18073</v>
      </c>
      <c r="E565" s="14" t="s">
        <v>657</v>
      </c>
      <c r="F565" s="14" t="s">
        <v>56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53</v>
      </c>
      <c r="L565" s="14" t="s">
        <v>54</v>
      </c>
      <c r="M565" s="14" t="s">
        <v>55</v>
      </c>
      <c r="P565" s="14" t="s">
        <v>31</v>
      </c>
      <c r="Q565" s="14" t="s">
        <v>25</v>
      </c>
      <c r="R565" s="14" t="s">
        <v>54</v>
      </c>
    </row>
    <row r="566" spans="1:18" s="14" customFormat="1" x14ac:dyDescent="0.25">
      <c r="A566" s="14" t="str">
        <f>"18076"</f>
        <v>18076</v>
      </c>
      <c r="B566" s="14" t="str">
        <f>"01687"</f>
        <v>01687</v>
      </c>
      <c r="C566" s="14" t="str">
        <f>"1600"</f>
        <v>1600</v>
      </c>
      <c r="D566" s="14" t="str">
        <f>"18076"</f>
        <v>18076</v>
      </c>
      <c r="E566" s="14" t="s">
        <v>658</v>
      </c>
      <c r="F566" s="14" t="s">
        <v>590</v>
      </c>
      <c r="G566" s="14" t="str">
        <f>"GN0018076"</f>
        <v>GN0018076</v>
      </c>
      <c r="H566" s="14" t="str">
        <f>" 10"</f>
        <v xml:space="preserve"> 10</v>
      </c>
      <c r="I566" s="14">
        <v>0.01</v>
      </c>
      <c r="J566" s="14">
        <v>500</v>
      </c>
      <c r="K566" s="14" t="s">
        <v>146</v>
      </c>
      <c r="L566" s="14" t="s">
        <v>147</v>
      </c>
      <c r="P566" s="14" t="s">
        <v>39</v>
      </c>
      <c r="Q566" s="14" t="s">
        <v>25</v>
      </c>
      <c r="R566" s="14" t="s">
        <v>146</v>
      </c>
    </row>
    <row r="567" spans="1:18" s="14" customFormat="1" x14ac:dyDescent="0.25">
      <c r="A567" s="14" t="str">
        <f>"18076"</f>
        <v>18076</v>
      </c>
      <c r="B567" s="14" t="str">
        <f>"01687"</f>
        <v>01687</v>
      </c>
      <c r="C567" s="14" t="str">
        <f>"1600"</f>
        <v>1600</v>
      </c>
      <c r="D567" s="14" t="str">
        <f>"18076"</f>
        <v>18076</v>
      </c>
      <c r="E567" s="14" t="s">
        <v>658</v>
      </c>
      <c r="F567" s="14" t="s">
        <v>590</v>
      </c>
      <c r="G567" s="14" t="str">
        <f>"GN0018076"</f>
        <v>GN0018076</v>
      </c>
      <c r="H567" s="14" t="str">
        <f>" 20"</f>
        <v xml:space="preserve"> 20</v>
      </c>
      <c r="I567" s="14">
        <v>500.01</v>
      </c>
      <c r="J567" s="14">
        <v>9999999.9900000002</v>
      </c>
      <c r="K567" s="14" t="s">
        <v>591</v>
      </c>
      <c r="L567" s="14" t="s">
        <v>147</v>
      </c>
      <c r="P567" s="14" t="s">
        <v>39</v>
      </c>
      <c r="Q567" s="14" t="s">
        <v>25</v>
      </c>
      <c r="R567" s="14" t="s">
        <v>146</v>
      </c>
    </row>
    <row r="568" spans="1:18" s="14" customFormat="1" x14ac:dyDescent="0.25">
      <c r="A568" s="14" t="str">
        <f>"18080"</f>
        <v>18080</v>
      </c>
      <c r="B568" s="14" t="str">
        <f>"01285"</f>
        <v>01285</v>
      </c>
      <c r="C568" s="14" t="str">
        <f>"1700"</f>
        <v>1700</v>
      </c>
      <c r="D568" s="14" t="str">
        <f>"18080"</f>
        <v>18080</v>
      </c>
      <c r="E568" s="14" t="s">
        <v>659</v>
      </c>
      <c r="F568" s="14" t="s">
        <v>92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37</v>
      </c>
      <c r="L568" s="14" t="s">
        <v>93</v>
      </c>
      <c r="P568" s="14" t="s">
        <v>39</v>
      </c>
      <c r="Q568" s="14" t="s">
        <v>25</v>
      </c>
      <c r="R568" s="14" t="s">
        <v>38</v>
      </c>
    </row>
    <row r="569" spans="1:18" s="14" customFormat="1" x14ac:dyDescent="0.25">
      <c r="A569" s="14" t="str">
        <f>"18081"</f>
        <v>18081</v>
      </c>
      <c r="B569" s="14" t="str">
        <f>"01670"</f>
        <v>01670</v>
      </c>
      <c r="C569" s="14" t="str">
        <f>"1600"</f>
        <v>1600</v>
      </c>
      <c r="D569" s="14" t="str">
        <f>"18081"</f>
        <v>18081</v>
      </c>
      <c r="E569" s="14" t="s">
        <v>660</v>
      </c>
      <c r="F569" s="14" t="s">
        <v>151</v>
      </c>
      <c r="G569" s="14" t="str">
        <f>""</f>
        <v/>
      </c>
      <c r="H569" s="14" t="str">
        <f>" 10"</f>
        <v xml:space="preserve"> 10</v>
      </c>
      <c r="I569" s="14">
        <v>0.01</v>
      </c>
      <c r="J569" s="14">
        <v>500</v>
      </c>
      <c r="K569" s="14" t="s">
        <v>146</v>
      </c>
      <c r="L569" s="14" t="s">
        <v>147</v>
      </c>
      <c r="P569" s="14" t="s">
        <v>39</v>
      </c>
      <c r="Q569" s="14" t="s">
        <v>25</v>
      </c>
      <c r="R569" s="14" t="s">
        <v>146</v>
      </c>
    </row>
    <row r="570" spans="1:18" s="14" customFormat="1" x14ac:dyDescent="0.25">
      <c r="A570" s="14" t="str">
        <f>"18081"</f>
        <v>18081</v>
      </c>
      <c r="B570" s="14" t="str">
        <f>"01670"</f>
        <v>01670</v>
      </c>
      <c r="C570" s="14" t="str">
        <f>"1600"</f>
        <v>1600</v>
      </c>
      <c r="D570" s="14" t="str">
        <f>"18081"</f>
        <v>18081</v>
      </c>
      <c r="E570" s="14" t="s">
        <v>660</v>
      </c>
      <c r="F570" s="14" t="s">
        <v>151</v>
      </c>
      <c r="G570" s="14" t="str">
        <f>""</f>
        <v/>
      </c>
      <c r="H570" s="14" t="str">
        <f>" 20"</f>
        <v xml:space="preserve"> 20</v>
      </c>
      <c r="I570" s="14">
        <v>500.01</v>
      </c>
      <c r="J570" s="14">
        <v>9999999.9900000002</v>
      </c>
      <c r="K570" s="14" t="s">
        <v>147</v>
      </c>
      <c r="L570" s="14" t="s">
        <v>661</v>
      </c>
      <c r="P570" s="14" t="s">
        <v>39</v>
      </c>
      <c r="Q570" s="14" t="s">
        <v>25</v>
      </c>
      <c r="R570" s="14" t="s">
        <v>146</v>
      </c>
    </row>
    <row r="571" spans="1:18" s="14" customFormat="1" x14ac:dyDescent="0.25">
      <c r="A571" s="14" t="str">
        <f>"18082"</f>
        <v>18082</v>
      </c>
      <c r="B571" s="14" t="str">
        <f>"01330"</f>
        <v>01330</v>
      </c>
      <c r="C571" s="14" t="str">
        <f>"1200"</f>
        <v>1200</v>
      </c>
      <c r="D571" s="14" t="str">
        <f>"18082"</f>
        <v>18082</v>
      </c>
      <c r="E571" s="14" t="s">
        <v>662</v>
      </c>
      <c r="F571" s="14" t="s">
        <v>105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48</v>
      </c>
      <c r="L571" s="14" t="s">
        <v>97</v>
      </c>
      <c r="M571" s="14" t="s">
        <v>98</v>
      </c>
      <c r="P571" s="14" t="s">
        <v>39</v>
      </c>
      <c r="Q571" s="14" t="s">
        <v>25</v>
      </c>
      <c r="R571" s="14" t="s">
        <v>663</v>
      </c>
    </row>
    <row r="572" spans="1:18" s="14" customFormat="1" x14ac:dyDescent="0.25">
      <c r="A572" s="14" t="str">
        <f>"18084"</f>
        <v>18084</v>
      </c>
      <c r="B572" s="14" t="str">
        <f>"01780"</f>
        <v>01780</v>
      </c>
      <c r="C572" s="14" t="str">
        <f>"1600"</f>
        <v>1600</v>
      </c>
      <c r="D572" s="14" t="str">
        <f>"18084"</f>
        <v>18084</v>
      </c>
      <c r="E572" s="14" t="s">
        <v>664</v>
      </c>
      <c r="F572" s="14" t="s">
        <v>175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647</v>
      </c>
      <c r="L572" s="14" t="s">
        <v>112</v>
      </c>
      <c r="M572" s="14" t="s">
        <v>113</v>
      </c>
      <c r="N572" s="14" t="s">
        <v>114</v>
      </c>
      <c r="P572" s="14" t="s">
        <v>31</v>
      </c>
      <c r="Q572" s="14" t="s">
        <v>25</v>
      </c>
      <c r="R572" s="14" t="s">
        <v>115</v>
      </c>
    </row>
    <row r="573" spans="1:18" s="14" customFormat="1" x14ac:dyDescent="0.25">
      <c r="A573" s="14" t="str">
        <f>"18090"</f>
        <v>18090</v>
      </c>
      <c r="B573" s="14" t="str">
        <f>"01225"</f>
        <v>01225</v>
      </c>
      <c r="C573" s="14" t="str">
        <f>"1300"</f>
        <v>1300</v>
      </c>
      <c r="D573" s="14" t="str">
        <f>"18090"</f>
        <v>18090</v>
      </c>
      <c r="E573" s="14" t="s">
        <v>665</v>
      </c>
      <c r="F573" s="14" t="s">
        <v>73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50</v>
      </c>
      <c r="L573" s="14" t="s">
        <v>37</v>
      </c>
      <c r="P573" s="14" t="s">
        <v>31</v>
      </c>
      <c r="Q573" s="14" t="s">
        <v>25</v>
      </c>
      <c r="R573" s="14" t="s">
        <v>74</v>
      </c>
    </row>
    <row r="574" spans="1:18" s="14" customFormat="1" x14ac:dyDescent="0.25">
      <c r="A574" s="14" t="str">
        <f>"18092"</f>
        <v>18092</v>
      </c>
      <c r="B574" s="14" t="str">
        <f>"05151"</f>
        <v>05151</v>
      </c>
      <c r="C574" s="14" t="str">
        <f>"1100"</f>
        <v>1100</v>
      </c>
      <c r="D574" s="14" t="str">
        <f>"05151A"</f>
        <v>05151A</v>
      </c>
      <c r="E574" s="14" t="s">
        <v>666</v>
      </c>
      <c r="F574" s="14" t="s">
        <v>666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404</v>
      </c>
      <c r="L574" s="14" t="s">
        <v>405</v>
      </c>
      <c r="P574" s="14" t="s">
        <v>39</v>
      </c>
      <c r="Q574" s="14" t="s">
        <v>25</v>
      </c>
      <c r="R574" s="14" t="s">
        <v>403</v>
      </c>
    </row>
    <row r="575" spans="1:18" s="14" customFormat="1" x14ac:dyDescent="0.25">
      <c r="A575" s="14" t="str">
        <f>"18092"</f>
        <v>18092</v>
      </c>
      <c r="B575" s="14" t="str">
        <f>"05152"</f>
        <v>05152</v>
      </c>
      <c r="C575" s="14" t="str">
        <f>"1700"</f>
        <v>1700</v>
      </c>
      <c r="D575" s="14" t="str">
        <f>"05152A"</f>
        <v>05152A</v>
      </c>
      <c r="E575" s="14" t="s">
        <v>666</v>
      </c>
      <c r="F575" s="14" t="s">
        <v>667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404</v>
      </c>
      <c r="L575" s="14" t="s">
        <v>405</v>
      </c>
      <c r="P575" s="14" t="s">
        <v>39</v>
      </c>
      <c r="Q575" s="14" t="s">
        <v>25</v>
      </c>
      <c r="R575" s="14" t="s">
        <v>403</v>
      </c>
    </row>
    <row r="576" spans="1:18" s="14" customFormat="1" x14ac:dyDescent="0.25">
      <c r="A576" s="14" t="str">
        <f>"18095"</f>
        <v>18095</v>
      </c>
      <c r="B576" s="14" t="str">
        <f>"01400"</f>
        <v>01400</v>
      </c>
      <c r="C576" s="14" t="str">
        <f>"1600"</f>
        <v>1600</v>
      </c>
      <c r="D576" s="14" t="str">
        <f>"18095"</f>
        <v>18095</v>
      </c>
      <c r="E576" s="14" t="s">
        <v>668</v>
      </c>
      <c r="F576" s="14" t="s">
        <v>117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69</v>
      </c>
      <c r="L576" s="14" t="s">
        <v>70</v>
      </c>
      <c r="M576" s="14" t="s">
        <v>71</v>
      </c>
      <c r="P576" s="14" t="s">
        <v>31</v>
      </c>
      <c r="Q576" s="14" t="s">
        <v>25</v>
      </c>
      <c r="R576" s="14" t="s">
        <v>72</v>
      </c>
    </row>
    <row r="577" spans="1:18" s="14" customFormat="1" x14ac:dyDescent="0.25">
      <c r="A577" s="14" t="str">
        <f>"18098"</f>
        <v>18098</v>
      </c>
      <c r="B577" s="14" t="str">
        <f>"03150"</f>
        <v>03150</v>
      </c>
      <c r="C577" s="14" t="str">
        <f>"1500"</f>
        <v>1500</v>
      </c>
      <c r="D577" s="14" t="str">
        <f>"18098"</f>
        <v>18098</v>
      </c>
      <c r="E577" s="14" t="s">
        <v>249</v>
      </c>
      <c r="F577" s="14" t="s">
        <v>249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236</v>
      </c>
      <c r="L577" s="14" t="s">
        <v>237</v>
      </c>
      <c r="M577" s="14" t="s">
        <v>238</v>
      </c>
      <c r="P577" s="14" t="s">
        <v>239</v>
      </c>
      <c r="Q577" s="14" t="s">
        <v>25</v>
      </c>
      <c r="R577" s="14" t="s">
        <v>1930</v>
      </c>
    </row>
    <row r="578" spans="1:18" s="14" customFormat="1" x14ac:dyDescent="0.25">
      <c r="A578" s="14" t="str">
        <f>"18100"</f>
        <v>18100</v>
      </c>
      <c r="B578" s="14" t="str">
        <f>"01225"</f>
        <v>01225</v>
      </c>
      <c r="C578" s="14" t="str">
        <f>"1300"</f>
        <v>1300</v>
      </c>
      <c r="D578" s="14" t="str">
        <f>"18100"</f>
        <v>18100</v>
      </c>
      <c r="E578" s="14" t="s">
        <v>669</v>
      </c>
      <c r="F578" s="14" t="s">
        <v>73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50</v>
      </c>
      <c r="L578" s="14" t="s">
        <v>37</v>
      </c>
      <c r="P578" s="14" t="s">
        <v>31</v>
      </c>
      <c r="Q578" s="14" t="s">
        <v>25</v>
      </c>
      <c r="R578" s="14" t="s">
        <v>50</v>
      </c>
    </row>
    <row r="579" spans="1:18" s="14" customFormat="1" x14ac:dyDescent="0.25">
      <c r="A579" s="14" t="str">
        <f>"18101"</f>
        <v>18101</v>
      </c>
      <c r="B579" s="14" t="str">
        <f>"02000"</f>
        <v>02000</v>
      </c>
      <c r="C579" s="14" t="str">
        <f>"1400"</f>
        <v>1400</v>
      </c>
      <c r="D579" s="14" t="str">
        <f>"18101"</f>
        <v>18101</v>
      </c>
      <c r="E579" s="14" t="s">
        <v>670</v>
      </c>
      <c r="F579" s="14" t="s">
        <v>189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28</v>
      </c>
      <c r="L579" s="14" t="s">
        <v>210</v>
      </c>
      <c r="P579" s="14" t="s">
        <v>31</v>
      </c>
      <c r="Q579" s="14" t="s">
        <v>25</v>
      </c>
      <c r="R579" s="14" t="s">
        <v>32</v>
      </c>
    </row>
    <row r="580" spans="1:18" s="14" customFormat="1" x14ac:dyDescent="0.25">
      <c r="A580" s="14" t="str">
        <f>"18102"</f>
        <v>18102</v>
      </c>
      <c r="B580" s="14" t="str">
        <f>"01687"</f>
        <v>01687</v>
      </c>
      <c r="C580" s="14" t="str">
        <f>"1600"</f>
        <v>1600</v>
      </c>
      <c r="D580" s="14" t="str">
        <f>"18102"</f>
        <v>18102</v>
      </c>
      <c r="E580" s="14" t="s">
        <v>671</v>
      </c>
      <c r="F580" s="14" t="s">
        <v>590</v>
      </c>
      <c r="G580" s="14" t="str">
        <f>""</f>
        <v/>
      </c>
      <c r="H580" s="14" t="str">
        <f>" 10"</f>
        <v xml:space="preserve"> 10</v>
      </c>
      <c r="I580" s="14">
        <v>0.01</v>
      </c>
      <c r="J580" s="14">
        <v>500</v>
      </c>
      <c r="K580" s="14" t="s">
        <v>146</v>
      </c>
      <c r="L580" s="14" t="s">
        <v>147</v>
      </c>
      <c r="P580" s="14" t="s">
        <v>39</v>
      </c>
      <c r="Q580" s="14" t="s">
        <v>25</v>
      </c>
      <c r="R580" s="14" t="s">
        <v>146</v>
      </c>
    </row>
    <row r="581" spans="1:18" s="14" customFormat="1" x14ac:dyDescent="0.25">
      <c r="A581" s="14" t="str">
        <f>"18102"</f>
        <v>18102</v>
      </c>
      <c r="B581" s="14" t="str">
        <f>"01687"</f>
        <v>01687</v>
      </c>
      <c r="C581" s="14" t="str">
        <f>"1600"</f>
        <v>1600</v>
      </c>
      <c r="D581" s="14" t="str">
        <f>"18102"</f>
        <v>18102</v>
      </c>
      <c r="E581" s="14" t="s">
        <v>671</v>
      </c>
      <c r="F581" s="14" t="s">
        <v>590</v>
      </c>
      <c r="G581" s="14" t="str">
        <f>""</f>
        <v/>
      </c>
      <c r="H581" s="14" t="str">
        <f>" 20"</f>
        <v xml:space="preserve"> 20</v>
      </c>
      <c r="I581" s="14">
        <v>500.01</v>
      </c>
      <c r="J581" s="14">
        <v>9999999.9900000002</v>
      </c>
      <c r="K581" s="14" t="s">
        <v>591</v>
      </c>
      <c r="L581" s="14" t="s">
        <v>147</v>
      </c>
      <c r="P581" s="14" t="s">
        <v>39</v>
      </c>
      <c r="Q581" s="14" t="s">
        <v>25</v>
      </c>
      <c r="R581" s="14" t="s">
        <v>146</v>
      </c>
    </row>
    <row r="582" spans="1:18" s="14" customFormat="1" x14ac:dyDescent="0.25">
      <c r="A582" s="14" t="str">
        <f>"18103"</f>
        <v>18103</v>
      </c>
      <c r="B582" s="14" t="str">
        <f>"02040"</f>
        <v>02040</v>
      </c>
      <c r="C582" s="14" t="str">
        <f>"1600"</f>
        <v>1600</v>
      </c>
      <c r="D582" s="14" t="str">
        <f>"18103"</f>
        <v>18103</v>
      </c>
      <c r="E582" s="14" t="s">
        <v>672</v>
      </c>
      <c r="F582" s="14" t="s">
        <v>195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193</v>
      </c>
      <c r="L582" s="14" t="s">
        <v>196</v>
      </c>
      <c r="M582" s="14" t="s">
        <v>25</v>
      </c>
      <c r="P582" s="14" t="s">
        <v>31</v>
      </c>
      <c r="Q582" s="14" t="s">
        <v>25</v>
      </c>
      <c r="R582" s="14" t="s">
        <v>193</v>
      </c>
    </row>
    <row r="583" spans="1:18" s="14" customFormat="1" x14ac:dyDescent="0.25">
      <c r="A583" s="14" t="str">
        <f>"18106"</f>
        <v>18106</v>
      </c>
      <c r="B583" s="14" t="str">
        <f>"00161"</f>
        <v>00161</v>
      </c>
      <c r="C583" s="14" t="str">
        <f>"1600"</f>
        <v>1600</v>
      </c>
      <c r="D583" s="14" t="str">
        <f>"00161"</f>
        <v>00161</v>
      </c>
      <c r="E583" s="14" t="s">
        <v>673</v>
      </c>
      <c r="F583" s="14" t="s">
        <v>674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25</v>
      </c>
      <c r="L583" s="14" t="s">
        <v>34</v>
      </c>
      <c r="M583" s="14" t="s">
        <v>23</v>
      </c>
      <c r="P583" s="14" t="s">
        <v>31</v>
      </c>
      <c r="Q583" s="14" t="s">
        <v>25</v>
      </c>
      <c r="R583" s="14" t="s">
        <v>23</v>
      </c>
    </row>
    <row r="584" spans="1:18" s="14" customFormat="1" x14ac:dyDescent="0.25">
      <c r="A584" s="14" t="str">
        <f>"18107"</f>
        <v>18107</v>
      </c>
      <c r="B584" s="14" t="str">
        <f>"01047"</f>
        <v>01047</v>
      </c>
      <c r="C584" s="14" t="str">
        <f>"1600"</f>
        <v>1600</v>
      </c>
      <c r="D584" s="14" t="str">
        <f>"18107"</f>
        <v>18107</v>
      </c>
      <c r="E584" s="14" t="s">
        <v>675</v>
      </c>
      <c r="F584" s="14" t="s">
        <v>59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60</v>
      </c>
      <c r="L584" s="14" t="s">
        <v>661</v>
      </c>
      <c r="P584" s="14" t="s">
        <v>31</v>
      </c>
      <c r="Q584" s="14" t="s">
        <v>25</v>
      </c>
      <c r="R584" s="14" t="s">
        <v>60</v>
      </c>
    </row>
    <row r="585" spans="1:18" s="14" customFormat="1" x14ac:dyDescent="0.25">
      <c r="A585" s="14" t="str">
        <f>"18108"</f>
        <v>18108</v>
      </c>
      <c r="B585" s="14" t="str">
        <f>"01682"</f>
        <v>01682</v>
      </c>
      <c r="C585" s="14" t="str">
        <f>"1600"</f>
        <v>1600</v>
      </c>
      <c r="D585" s="14" t="str">
        <f>"01682"</f>
        <v>01682</v>
      </c>
      <c r="E585" s="14" t="s">
        <v>590</v>
      </c>
      <c r="F585" s="14" t="s">
        <v>676</v>
      </c>
      <c r="G585" s="14" t="str">
        <f>""</f>
        <v/>
      </c>
      <c r="H585" s="14" t="str">
        <f>" 10"</f>
        <v xml:space="preserve"> 10</v>
      </c>
      <c r="I585" s="14">
        <v>0.01</v>
      </c>
      <c r="J585" s="14">
        <v>500</v>
      </c>
      <c r="K585" s="14" t="s">
        <v>146</v>
      </c>
      <c r="L585" s="14" t="s">
        <v>147</v>
      </c>
      <c r="P585" s="14" t="s">
        <v>39</v>
      </c>
      <c r="Q585" s="14" t="s">
        <v>25</v>
      </c>
      <c r="R585" s="14" t="s">
        <v>146</v>
      </c>
    </row>
    <row r="586" spans="1:18" s="14" customFormat="1" x14ac:dyDescent="0.25">
      <c r="A586" s="14" t="str">
        <f>"18108"</f>
        <v>18108</v>
      </c>
      <c r="B586" s="14" t="str">
        <f>"01682"</f>
        <v>01682</v>
      </c>
      <c r="C586" s="14" t="str">
        <f>"1600"</f>
        <v>1600</v>
      </c>
      <c r="D586" s="14" t="str">
        <f>"01682"</f>
        <v>01682</v>
      </c>
      <c r="E586" s="14" t="s">
        <v>590</v>
      </c>
      <c r="F586" s="14" t="s">
        <v>676</v>
      </c>
      <c r="G586" s="14" t="str">
        <f>""</f>
        <v/>
      </c>
      <c r="H586" s="14" t="str">
        <f>" 20"</f>
        <v xml:space="preserve"> 20</v>
      </c>
      <c r="I586" s="14">
        <v>500.01</v>
      </c>
      <c r="J586" s="14">
        <v>9999999.9900000002</v>
      </c>
      <c r="K586" s="14" t="s">
        <v>591</v>
      </c>
      <c r="L586" s="14" t="s">
        <v>147</v>
      </c>
      <c r="P586" s="14" t="s">
        <v>39</v>
      </c>
      <c r="Q586" s="14" t="s">
        <v>25</v>
      </c>
      <c r="R586" s="14" t="s">
        <v>146</v>
      </c>
    </row>
    <row r="587" spans="1:18" s="14" customFormat="1" x14ac:dyDescent="0.25">
      <c r="A587" s="14" t="str">
        <f>"18108"</f>
        <v>18108</v>
      </c>
      <c r="B587" s="14" t="str">
        <f>"01687"</f>
        <v>01687</v>
      </c>
      <c r="C587" s="14" t="str">
        <f>"1600"</f>
        <v>1600</v>
      </c>
      <c r="D587" s="14" t="str">
        <f>"01687"</f>
        <v>01687</v>
      </c>
      <c r="E587" s="14" t="s">
        <v>590</v>
      </c>
      <c r="F587" s="14" t="s">
        <v>590</v>
      </c>
      <c r="G587" s="14" t="str">
        <f>""</f>
        <v/>
      </c>
      <c r="H587" s="14" t="str">
        <f>" 10"</f>
        <v xml:space="preserve"> 10</v>
      </c>
      <c r="I587" s="14">
        <v>0.01</v>
      </c>
      <c r="J587" s="14">
        <v>500</v>
      </c>
      <c r="K587" s="14" t="s">
        <v>146</v>
      </c>
      <c r="L587" s="14" t="s">
        <v>147</v>
      </c>
      <c r="P587" s="14" t="s">
        <v>39</v>
      </c>
      <c r="Q587" s="14" t="s">
        <v>25</v>
      </c>
      <c r="R587" s="14" t="s">
        <v>146</v>
      </c>
    </row>
    <row r="588" spans="1:18" s="14" customFormat="1" x14ac:dyDescent="0.25">
      <c r="A588" s="14" t="str">
        <f>"18108"</f>
        <v>18108</v>
      </c>
      <c r="B588" s="14" t="str">
        <f>"01687"</f>
        <v>01687</v>
      </c>
      <c r="C588" s="14" t="str">
        <f>"1600"</f>
        <v>1600</v>
      </c>
      <c r="D588" s="14" t="str">
        <f>"01687"</f>
        <v>01687</v>
      </c>
      <c r="E588" s="14" t="s">
        <v>590</v>
      </c>
      <c r="F588" s="14" t="s">
        <v>590</v>
      </c>
      <c r="G588" s="14" t="str">
        <f>""</f>
        <v/>
      </c>
      <c r="H588" s="14" t="str">
        <f>" 20"</f>
        <v xml:space="preserve"> 20</v>
      </c>
      <c r="I588" s="14">
        <v>500.01</v>
      </c>
      <c r="J588" s="14">
        <v>9999999.9900000002</v>
      </c>
      <c r="K588" s="14" t="s">
        <v>591</v>
      </c>
      <c r="L588" s="14" t="s">
        <v>147</v>
      </c>
      <c r="P588" s="14" t="s">
        <v>39</v>
      </c>
      <c r="Q588" s="14" t="s">
        <v>25</v>
      </c>
      <c r="R588" s="14" t="s">
        <v>146</v>
      </c>
    </row>
    <row r="589" spans="1:18" s="14" customFormat="1" x14ac:dyDescent="0.25">
      <c r="A589" s="14" t="str">
        <f>"18108"</f>
        <v>18108</v>
      </c>
      <c r="B589" s="14" t="str">
        <f>"01689"</f>
        <v>01689</v>
      </c>
      <c r="C589" s="14" t="str">
        <f>"1600"</f>
        <v>1600</v>
      </c>
      <c r="D589" s="14" t="str">
        <f>"01689"</f>
        <v>01689</v>
      </c>
      <c r="E589" s="14" t="s">
        <v>590</v>
      </c>
      <c r="F589" s="14" t="s">
        <v>677</v>
      </c>
      <c r="G589" s="14" t="str">
        <f>""</f>
        <v/>
      </c>
      <c r="H589" s="14" t="str">
        <f>" 10"</f>
        <v xml:space="preserve"> 10</v>
      </c>
      <c r="I589" s="14">
        <v>0.01</v>
      </c>
      <c r="J589" s="14">
        <v>500</v>
      </c>
      <c r="K589" s="14" t="s">
        <v>146</v>
      </c>
      <c r="L589" s="14" t="s">
        <v>147</v>
      </c>
      <c r="P589" s="14" t="s">
        <v>39</v>
      </c>
      <c r="Q589" s="14" t="s">
        <v>25</v>
      </c>
      <c r="R589" s="14" t="s">
        <v>146</v>
      </c>
    </row>
    <row r="590" spans="1:18" s="14" customFormat="1" x14ac:dyDescent="0.25">
      <c r="A590" s="14" t="str">
        <f>"18108"</f>
        <v>18108</v>
      </c>
      <c r="B590" s="14" t="str">
        <f>"01689"</f>
        <v>01689</v>
      </c>
      <c r="C590" s="14" t="str">
        <f>"1600"</f>
        <v>1600</v>
      </c>
      <c r="D590" s="14" t="str">
        <f>"01689"</f>
        <v>01689</v>
      </c>
      <c r="E590" s="14" t="s">
        <v>590</v>
      </c>
      <c r="F590" s="14" t="s">
        <v>677</v>
      </c>
      <c r="G590" s="14" t="str">
        <f>""</f>
        <v/>
      </c>
      <c r="H590" s="14" t="str">
        <f>" 20"</f>
        <v xml:space="preserve"> 20</v>
      </c>
      <c r="I590" s="14">
        <v>500.01</v>
      </c>
      <c r="J590" s="14">
        <v>9999999.9900000002</v>
      </c>
      <c r="K590" s="14" t="s">
        <v>591</v>
      </c>
      <c r="L590" s="14" t="s">
        <v>147</v>
      </c>
      <c r="P590" s="14" t="s">
        <v>39</v>
      </c>
      <c r="Q590" s="14" t="s">
        <v>25</v>
      </c>
      <c r="R590" s="14" t="s">
        <v>146</v>
      </c>
    </row>
    <row r="591" spans="1:18" s="14" customFormat="1" x14ac:dyDescent="0.25">
      <c r="A591" s="14" t="str">
        <f>"18108"</f>
        <v>18108</v>
      </c>
      <c r="B591" s="14" t="str">
        <f>"01701"</f>
        <v>01701</v>
      </c>
      <c r="C591" s="14" t="str">
        <f>"1600"</f>
        <v>1600</v>
      </c>
      <c r="D591" s="14" t="str">
        <f>"01701"</f>
        <v>01701</v>
      </c>
      <c r="E591" s="14" t="s">
        <v>590</v>
      </c>
      <c r="F591" s="14" t="s">
        <v>678</v>
      </c>
      <c r="G591" s="14" t="str">
        <f>""</f>
        <v/>
      </c>
      <c r="H591" s="14" t="str">
        <f>" 10"</f>
        <v xml:space="preserve"> 10</v>
      </c>
      <c r="I591" s="14">
        <v>0.01</v>
      </c>
      <c r="J591" s="14">
        <v>500</v>
      </c>
      <c r="K591" s="14" t="s">
        <v>146</v>
      </c>
      <c r="L591" s="14" t="s">
        <v>147</v>
      </c>
      <c r="P591" s="14" t="s">
        <v>39</v>
      </c>
      <c r="Q591" s="14" t="s">
        <v>25</v>
      </c>
      <c r="R591" s="14" t="s">
        <v>146</v>
      </c>
    </row>
    <row r="592" spans="1:18" s="14" customFormat="1" x14ac:dyDescent="0.25">
      <c r="A592" s="14" t="str">
        <f>"18108"</f>
        <v>18108</v>
      </c>
      <c r="B592" s="14" t="str">
        <f>"01701"</f>
        <v>01701</v>
      </c>
      <c r="C592" s="14" t="str">
        <f>"1600"</f>
        <v>1600</v>
      </c>
      <c r="D592" s="14" t="str">
        <f>"01701"</f>
        <v>01701</v>
      </c>
      <c r="E592" s="14" t="s">
        <v>590</v>
      </c>
      <c r="F592" s="14" t="s">
        <v>678</v>
      </c>
      <c r="G592" s="14" t="str">
        <f>""</f>
        <v/>
      </c>
      <c r="H592" s="14" t="str">
        <f>" 20"</f>
        <v xml:space="preserve"> 20</v>
      </c>
      <c r="I592" s="14">
        <v>500.01</v>
      </c>
      <c r="J592" s="14">
        <v>9999999.9900000002</v>
      </c>
      <c r="K592" s="14" t="s">
        <v>591</v>
      </c>
      <c r="L592" s="14" t="s">
        <v>147</v>
      </c>
      <c r="P592" s="14" t="s">
        <v>39</v>
      </c>
      <c r="Q592" s="14" t="s">
        <v>25</v>
      </c>
      <c r="R592" s="14" t="s">
        <v>146</v>
      </c>
    </row>
    <row r="593" spans="1:18" s="14" customFormat="1" x14ac:dyDescent="0.25">
      <c r="A593" s="14" t="str">
        <f>"18108"</f>
        <v>18108</v>
      </c>
      <c r="B593" s="14" t="str">
        <f>"01703"</f>
        <v>01703</v>
      </c>
      <c r="C593" s="14" t="str">
        <f>"1600"</f>
        <v>1600</v>
      </c>
      <c r="D593" s="14" t="str">
        <f>"01703"</f>
        <v>01703</v>
      </c>
      <c r="E593" s="14" t="s">
        <v>590</v>
      </c>
      <c r="F593" s="14" t="s">
        <v>679</v>
      </c>
      <c r="G593" s="14" t="str">
        <f>""</f>
        <v/>
      </c>
      <c r="H593" s="14" t="str">
        <f>" 10"</f>
        <v xml:space="preserve"> 10</v>
      </c>
      <c r="I593" s="14">
        <v>0.01</v>
      </c>
      <c r="J593" s="14">
        <v>500</v>
      </c>
      <c r="K593" s="14" t="s">
        <v>146</v>
      </c>
      <c r="L593" s="14" t="s">
        <v>147</v>
      </c>
      <c r="P593" s="14" t="s">
        <v>39</v>
      </c>
      <c r="Q593" s="14" t="s">
        <v>25</v>
      </c>
      <c r="R593" s="14" t="s">
        <v>146</v>
      </c>
    </row>
    <row r="594" spans="1:18" s="14" customFormat="1" x14ac:dyDescent="0.25">
      <c r="A594" s="14" t="str">
        <f>"18108"</f>
        <v>18108</v>
      </c>
      <c r="B594" s="14" t="str">
        <f>"01703"</f>
        <v>01703</v>
      </c>
      <c r="C594" s="14" t="str">
        <f>"1600"</f>
        <v>1600</v>
      </c>
      <c r="D594" s="14" t="str">
        <f>"01703"</f>
        <v>01703</v>
      </c>
      <c r="E594" s="14" t="s">
        <v>590</v>
      </c>
      <c r="F594" s="14" t="s">
        <v>679</v>
      </c>
      <c r="G594" s="14" t="str">
        <f>""</f>
        <v/>
      </c>
      <c r="H594" s="14" t="str">
        <f>" 20"</f>
        <v xml:space="preserve"> 20</v>
      </c>
      <c r="I594" s="14">
        <v>500.01</v>
      </c>
      <c r="J594" s="14">
        <v>9999999.9900000002</v>
      </c>
      <c r="K594" s="14" t="s">
        <v>591</v>
      </c>
      <c r="L594" s="14" t="s">
        <v>147</v>
      </c>
      <c r="P594" s="14" t="s">
        <v>39</v>
      </c>
      <c r="Q594" s="14" t="s">
        <v>25</v>
      </c>
      <c r="R594" s="14" t="s">
        <v>146</v>
      </c>
    </row>
    <row r="595" spans="1:18" s="14" customFormat="1" x14ac:dyDescent="0.25">
      <c r="A595" s="14" t="str">
        <f>"18108"</f>
        <v>18108</v>
      </c>
      <c r="B595" s="14" t="str">
        <f>"01706"</f>
        <v>01706</v>
      </c>
      <c r="C595" s="14" t="str">
        <f>"1600"</f>
        <v>1600</v>
      </c>
      <c r="D595" s="14" t="str">
        <f>"01706"</f>
        <v>01706</v>
      </c>
      <c r="E595" s="14" t="s">
        <v>590</v>
      </c>
      <c r="F595" s="14" t="s">
        <v>680</v>
      </c>
      <c r="G595" s="14" t="str">
        <f>""</f>
        <v/>
      </c>
      <c r="H595" s="14" t="str">
        <f>" 10"</f>
        <v xml:space="preserve"> 10</v>
      </c>
      <c r="I595" s="14">
        <v>0.01</v>
      </c>
      <c r="J595" s="14">
        <v>500</v>
      </c>
      <c r="K595" s="14" t="s">
        <v>146</v>
      </c>
      <c r="L595" s="14" t="s">
        <v>147</v>
      </c>
      <c r="P595" s="14" t="s">
        <v>39</v>
      </c>
      <c r="Q595" s="14" t="s">
        <v>25</v>
      </c>
      <c r="R595" s="14" t="s">
        <v>146</v>
      </c>
    </row>
    <row r="596" spans="1:18" s="14" customFormat="1" x14ac:dyDescent="0.25">
      <c r="A596" s="14" t="str">
        <f>"18108"</f>
        <v>18108</v>
      </c>
      <c r="B596" s="14" t="str">
        <f>"01706"</f>
        <v>01706</v>
      </c>
      <c r="C596" s="14" t="str">
        <f>"1600"</f>
        <v>1600</v>
      </c>
      <c r="D596" s="14" t="str">
        <f>"01706"</f>
        <v>01706</v>
      </c>
      <c r="E596" s="14" t="s">
        <v>590</v>
      </c>
      <c r="F596" s="14" t="s">
        <v>680</v>
      </c>
      <c r="G596" s="14" t="str">
        <f>""</f>
        <v/>
      </c>
      <c r="H596" s="14" t="str">
        <f>" 20"</f>
        <v xml:space="preserve"> 20</v>
      </c>
      <c r="I596" s="14">
        <v>500.01</v>
      </c>
      <c r="J596" s="14">
        <v>9999999.9900000002</v>
      </c>
      <c r="K596" s="14" t="s">
        <v>591</v>
      </c>
      <c r="L596" s="14" t="s">
        <v>147</v>
      </c>
      <c r="P596" s="14" t="s">
        <v>39</v>
      </c>
      <c r="Q596" s="14" t="s">
        <v>25</v>
      </c>
      <c r="R596" s="14" t="s">
        <v>146</v>
      </c>
    </row>
    <row r="597" spans="1:18" s="14" customFormat="1" x14ac:dyDescent="0.25">
      <c r="A597" s="14" t="str">
        <f>"18108"</f>
        <v>18108</v>
      </c>
      <c r="B597" s="14" t="str">
        <f>"01707"</f>
        <v>01707</v>
      </c>
      <c r="C597" s="14" t="str">
        <f>"1600"</f>
        <v>1600</v>
      </c>
      <c r="D597" s="14" t="str">
        <f>"01707"</f>
        <v>01707</v>
      </c>
      <c r="E597" s="14" t="s">
        <v>590</v>
      </c>
      <c r="F597" s="14" t="s">
        <v>681</v>
      </c>
      <c r="G597" s="14" t="str">
        <f>""</f>
        <v/>
      </c>
      <c r="H597" s="14" t="str">
        <f>" 10"</f>
        <v xml:space="preserve"> 10</v>
      </c>
      <c r="I597" s="14">
        <v>0.01</v>
      </c>
      <c r="J597" s="14">
        <v>500</v>
      </c>
      <c r="K597" s="14" t="s">
        <v>146</v>
      </c>
      <c r="L597" s="14" t="s">
        <v>147</v>
      </c>
      <c r="P597" s="14" t="s">
        <v>39</v>
      </c>
      <c r="Q597" s="14" t="s">
        <v>25</v>
      </c>
      <c r="R597" s="14" t="s">
        <v>146</v>
      </c>
    </row>
    <row r="598" spans="1:18" s="14" customFormat="1" x14ac:dyDescent="0.25">
      <c r="A598" s="14" t="str">
        <f>"18108"</f>
        <v>18108</v>
      </c>
      <c r="B598" s="14" t="str">
        <f>"01707"</f>
        <v>01707</v>
      </c>
      <c r="C598" s="14" t="str">
        <f>"1600"</f>
        <v>1600</v>
      </c>
      <c r="D598" s="14" t="str">
        <f>"01707"</f>
        <v>01707</v>
      </c>
      <c r="E598" s="14" t="s">
        <v>590</v>
      </c>
      <c r="F598" s="14" t="s">
        <v>681</v>
      </c>
      <c r="G598" s="14" t="str">
        <f>""</f>
        <v/>
      </c>
      <c r="H598" s="14" t="str">
        <f>" 20"</f>
        <v xml:space="preserve"> 20</v>
      </c>
      <c r="I598" s="14">
        <v>500.01</v>
      </c>
      <c r="J598" s="14">
        <v>9999999.9900000002</v>
      </c>
      <c r="K598" s="14" t="s">
        <v>591</v>
      </c>
      <c r="L598" s="14" t="s">
        <v>147</v>
      </c>
      <c r="P598" s="14" t="s">
        <v>39</v>
      </c>
      <c r="Q598" s="14" t="s">
        <v>25</v>
      </c>
      <c r="R598" s="14" t="s">
        <v>146</v>
      </c>
    </row>
    <row r="599" spans="1:18" s="14" customFormat="1" x14ac:dyDescent="0.25">
      <c r="A599" s="14" t="str">
        <f>"18108"</f>
        <v>18108</v>
      </c>
      <c r="B599" s="14" t="str">
        <f>"01709"</f>
        <v>01709</v>
      </c>
      <c r="C599" s="14" t="str">
        <f>"1600"</f>
        <v>1600</v>
      </c>
      <c r="D599" s="14" t="str">
        <f>"01709"</f>
        <v>01709</v>
      </c>
      <c r="E599" s="14" t="s">
        <v>590</v>
      </c>
      <c r="F599" s="14" t="s">
        <v>682</v>
      </c>
      <c r="G599" s="14" t="str">
        <f>""</f>
        <v/>
      </c>
      <c r="H599" s="14" t="str">
        <f>" 10"</f>
        <v xml:space="preserve"> 10</v>
      </c>
      <c r="I599" s="14">
        <v>0.01</v>
      </c>
      <c r="J599" s="14">
        <v>500</v>
      </c>
      <c r="K599" s="14" t="s">
        <v>146</v>
      </c>
      <c r="L599" s="14" t="s">
        <v>147</v>
      </c>
      <c r="P599" s="14" t="s">
        <v>39</v>
      </c>
      <c r="Q599" s="14" t="s">
        <v>25</v>
      </c>
      <c r="R599" s="14" t="s">
        <v>146</v>
      </c>
    </row>
    <row r="600" spans="1:18" s="14" customFormat="1" x14ac:dyDescent="0.25">
      <c r="A600" s="14" t="str">
        <f>"18108"</f>
        <v>18108</v>
      </c>
      <c r="B600" s="14" t="str">
        <f>"01709"</f>
        <v>01709</v>
      </c>
      <c r="C600" s="14" t="str">
        <f>"1600"</f>
        <v>1600</v>
      </c>
      <c r="D600" s="14" t="str">
        <f>"01709"</f>
        <v>01709</v>
      </c>
      <c r="E600" s="14" t="s">
        <v>590</v>
      </c>
      <c r="F600" s="14" t="s">
        <v>682</v>
      </c>
      <c r="G600" s="14" t="str">
        <f>""</f>
        <v/>
      </c>
      <c r="H600" s="14" t="str">
        <f>" 20"</f>
        <v xml:space="preserve"> 20</v>
      </c>
      <c r="I600" s="14">
        <v>500.01</v>
      </c>
      <c r="J600" s="14">
        <v>9999999.9900000002</v>
      </c>
      <c r="K600" s="14" t="s">
        <v>591</v>
      </c>
      <c r="L600" s="14" t="s">
        <v>147</v>
      </c>
      <c r="P600" s="14" t="s">
        <v>39</v>
      </c>
      <c r="Q600" s="14" t="s">
        <v>25</v>
      </c>
      <c r="R600" s="14" t="s">
        <v>146</v>
      </c>
    </row>
    <row r="601" spans="1:18" s="14" customFormat="1" x14ac:dyDescent="0.25">
      <c r="A601" s="14" t="str">
        <f>"18108"</f>
        <v>18108</v>
      </c>
      <c r="B601" s="14" t="str">
        <f>"01711"</f>
        <v>01711</v>
      </c>
      <c r="C601" s="14" t="str">
        <f>"1600"</f>
        <v>1600</v>
      </c>
      <c r="D601" s="14" t="str">
        <f>"01711"</f>
        <v>01711</v>
      </c>
      <c r="E601" s="14" t="s">
        <v>590</v>
      </c>
      <c r="F601" s="14" t="s">
        <v>683</v>
      </c>
      <c r="G601" s="14" t="str">
        <f>""</f>
        <v/>
      </c>
      <c r="H601" s="14" t="str">
        <f>" 10"</f>
        <v xml:space="preserve"> 10</v>
      </c>
      <c r="I601" s="14">
        <v>0.01</v>
      </c>
      <c r="J601" s="14">
        <v>500</v>
      </c>
      <c r="K601" s="14" t="s">
        <v>146</v>
      </c>
      <c r="L601" s="14" t="s">
        <v>147</v>
      </c>
      <c r="P601" s="14" t="s">
        <v>39</v>
      </c>
      <c r="Q601" s="14" t="s">
        <v>25</v>
      </c>
      <c r="R601" s="14" t="s">
        <v>146</v>
      </c>
    </row>
    <row r="602" spans="1:18" s="14" customFormat="1" x14ac:dyDescent="0.25">
      <c r="A602" s="14" t="str">
        <f>"18108"</f>
        <v>18108</v>
      </c>
      <c r="B602" s="14" t="str">
        <f>"01711"</f>
        <v>01711</v>
      </c>
      <c r="C602" s="14" t="str">
        <f>"1600"</f>
        <v>1600</v>
      </c>
      <c r="D602" s="14" t="str">
        <f>"01711"</f>
        <v>01711</v>
      </c>
      <c r="E602" s="14" t="s">
        <v>590</v>
      </c>
      <c r="F602" s="14" t="s">
        <v>683</v>
      </c>
      <c r="G602" s="14" t="str">
        <f>""</f>
        <v/>
      </c>
      <c r="H602" s="14" t="str">
        <f>" 20"</f>
        <v xml:space="preserve"> 20</v>
      </c>
      <c r="I602" s="14">
        <v>500.01</v>
      </c>
      <c r="J602" s="14">
        <v>9999999.9900000002</v>
      </c>
      <c r="K602" s="14" t="s">
        <v>591</v>
      </c>
      <c r="L602" s="14" t="s">
        <v>147</v>
      </c>
      <c r="P602" s="14" t="s">
        <v>39</v>
      </c>
      <c r="Q602" s="14" t="s">
        <v>25</v>
      </c>
      <c r="R602" s="14" t="s">
        <v>146</v>
      </c>
    </row>
    <row r="603" spans="1:18" s="14" customFormat="1" x14ac:dyDescent="0.25">
      <c r="A603" s="14" t="str">
        <f>"18110"</f>
        <v>18110</v>
      </c>
      <c r="B603" s="14" t="str">
        <f>"01320"</f>
        <v>01320</v>
      </c>
      <c r="C603" s="14" t="str">
        <f>"1600"</f>
        <v>1600</v>
      </c>
      <c r="D603" s="14" t="str">
        <f>"18110"</f>
        <v>18110</v>
      </c>
      <c r="E603" s="14" t="s">
        <v>684</v>
      </c>
      <c r="F603" s="14" t="s">
        <v>103</v>
      </c>
      <c r="G603" s="14" t="str">
        <f>""</f>
        <v/>
      </c>
      <c r="H603" s="14" t="str">
        <f>" 00"</f>
        <v xml:space="preserve"> 00</v>
      </c>
      <c r="I603" s="14">
        <v>0.01</v>
      </c>
      <c r="J603" s="14">
        <v>9999999.9900000002</v>
      </c>
      <c r="K603" s="14" t="s">
        <v>48</v>
      </c>
      <c r="L603" s="14" t="s">
        <v>97</v>
      </c>
      <c r="M603" s="14" t="s">
        <v>98</v>
      </c>
      <c r="P603" s="14" t="s">
        <v>39</v>
      </c>
      <c r="Q603" s="14" t="s">
        <v>25</v>
      </c>
      <c r="R603" s="14" t="s">
        <v>49</v>
      </c>
    </row>
    <row r="604" spans="1:18" s="14" customFormat="1" x14ac:dyDescent="0.25">
      <c r="A604" s="14" t="str">
        <f>"18120"</f>
        <v>18120</v>
      </c>
      <c r="B604" s="14" t="str">
        <f>"05000"</f>
        <v>05000</v>
      </c>
      <c r="C604" s="14" t="str">
        <f>"1600"</f>
        <v>1600</v>
      </c>
      <c r="D604" s="14" t="str">
        <f>"18120"</f>
        <v>18120</v>
      </c>
      <c r="E604" s="14" t="s">
        <v>685</v>
      </c>
      <c r="F604" s="14" t="s">
        <v>366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47</v>
      </c>
      <c r="L604" s="14" t="s">
        <v>370</v>
      </c>
      <c r="P604" s="14" t="s">
        <v>31</v>
      </c>
      <c r="Q604" s="14" t="s">
        <v>25</v>
      </c>
      <c r="R604" s="14" t="s">
        <v>367</v>
      </c>
    </row>
    <row r="605" spans="1:18" s="14" customFormat="1" x14ac:dyDescent="0.25">
      <c r="A605" s="14" t="str">
        <f>"18121"</f>
        <v>18121</v>
      </c>
      <c r="B605" s="14" t="str">
        <f>"03140"</f>
        <v>03140</v>
      </c>
      <c r="C605" s="14" t="str">
        <f>"1500"</f>
        <v>1500</v>
      </c>
      <c r="D605" s="14" t="str">
        <f>"18121"</f>
        <v>18121</v>
      </c>
      <c r="E605" s="14" t="s">
        <v>686</v>
      </c>
      <c r="F605" s="14" t="s">
        <v>247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236</v>
      </c>
      <c r="L605" s="14" t="s">
        <v>237</v>
      </c>
      <c r="M605" s="14" t="s">
        <v>238</v>
      </c>
      <c r="P605" s="14" t="s">
        <v>239</v>
      </c>
      <c r="Q605" s="14" t="s">
        <v>239</v>
      </c>
      <c r="R605" s="14" t="s">
        <v>1930</v>
      </c>
    </row>
    <row r="606" spans="1:18" s="14" customFormat="1" x14ac:dyDescent="0.25">
      <c r="A606" s="14" t="str">
        <f>"18122"</f>
        <v>18122</v>
      </c>
      <c r="B606" s="14" t="str">
        <f>"01695"</f>
        <v>01695</v>
      </c>
      <c r="C606" s="14" t="str">
        <f>"1600"</f>
        <v>1600</v>
      </c>
      <c r="D606" s="14" t="str">
        <f>"18122"</f>
        <v>18122</v>
      </c>
      <c r="E606" s="14" t="s">
        <v>687</v>
      </c>
      <c r="F606" s="14" t="s">
        <v>155</v>
      </c>
      <c r="G606" s="14" t="str">
        <f>""</f>
        <v/>
      </c>
      <c r="H606" s="14" t="str">
        <f>" 10"</f>
        <v xml:space="preserve"> 10</v>
      </c>
      <c r="I606" s="14">
        <v>0.01</v>
      </c>
      <c r="J606" s="14">
        <v>500</v>
      </c>
      <c r="K606" s="14" t="s">
        <v>146</v>
      </c>
      <c r="L606" s="14" t="s">
        <v>147</v>
      </c>
      <c r="M606" s="14" t="s">
        <v>156</v>
      </c>
      <c r="P606" s="14" t="s">
        <v>39</v>
      </c>
      <c r="Q606" s="14" t="s">
        <v>25</v>
      </c>
      <c r="R606" s="14" t="s">
        <v>146</v>
      </c>
    </row>
    <row r="607" spans="1:18" s="14" customFormat="1" x14ac:dyDescent="0.25">
      <c r="A607" s="14" t="str">
        <f>"18122"</f>
        <v>18122</v>
      </c>
      <c r="B607" s="14" t="str">
        <f>"01695"</f>
        <v>01695</v>
      </c>
      <c r="C607" s="14" t="str">
        <f>"1600"</f>
        <v>1600</v>
      </c>
      <c r="D607" s="14" t="str">
        <f>"18122"</f>
        <v>18122</v>
      </c>
      <c r="E607" s="14" t="s">
        <v>687</v>
      </c>
      <c r="F607" s="14" t="s">
        <v>155</v>
      </c>
      <c r="G607" s="14" t="str">
        <f>""</f>
        <v/>
      </c>
      <c r="H607" s="14" t="str">
        <f>" 20"</f>
        <v xml:space="preserve"> 20</v>
      </c>
      <c r="I607" s="14">
        <v>500.01</v>
      </c>
      <c r="J607" s="14">
        <v>9999999.9900000002</v>
      </c>
      <c r="K607" s="14" t="s">
        <v>147</v>
      </c>
      <c r="L607" s="14" t="s">
        <v>156</v>
      </c>
      <c r="P607" s="14" t="s">
        <v>39</v>
      </c>
      <c r="Q607" s="14" t="s">
        <v>25</v>
      </c>
      <c r="R607" s="14" t="s">
        <v>146</v>
      </c>
    </row>
    <row r="608" spans="1:18" s="14" customFormat="1" x14ac:dyDescent="0.25">
      <c r="A608" s="14" t="str">
        <f>"18123"</f>
        <v>18123</v>
      </c>
      <c r="B608" s="14" t="str">
        <f>"01695"</f>
        <v>01695</v>
      </c>
      <c r="C608" s="14" t="str">
        <f>"1600"</f>
        <v>1600</v>
      </c>
      <c r="D608" s="14" t="str">
        <f>"18123"</f>
        <v>18123</v>
      </c>
      <c r="E608" s="14" t="s">
        <v>688</v>
      </c>
      <c r="F608" s="14" t="s">
        <v>155</v>
      </c>
      <c r="G608" s="14" t="str">
        <f>""</f>
        <v/>
      </c>
      <c r="H608" s="14" t="str">
        <f>" 10"</f>
        <v xml:space="preserve"> 10</v>
      </c>
      <c r="I608" s="14">
        <v>0.01</v>
      </c>
      <c r="J608" s="14">
        <v>500</v>
      </c>
      <c r="K608" s="14" t="s">
        <v>146</v>
      </c>
      <c r="L608" s="14" t="s">
        <v>147</v>
      </c>
      <c r="M608" s="14" t="s">
        <v>156</v>
      </c>
      <c r="P608" s="14" t="s">
        <v>39</v>
      </c>
      <c r="Q608" s="14" t="s">
        <v>25</v>
      </c>
      <c r="R608" s="14" t="s">
        <v>146</v>
      </c>
    </row>
    <row r="609" spans="1:18" s="14" customFormat="1" x14ac:dyDescent="0.25">
      <c r="A609" s="14" t="str">
        <f>"18123"</f>
        <v>18123</v>
      </c>
      <c r="B609" s="14" t="str">
        <f>"01695"</f>
        <v>01695</v>
      </c>
      <c r="C609" s="14" t="str">
        <f>"1600"</f>
        <v>1600</v>
      </c>
      <c r="D609" s="14" t="str">
        <f>"18123"</f>
        <v>18123</v>
      </c>
      <c r="E609" s="14" t="s">
        <v>688</v>
      </c>
      <c r="F609" s="14" t="s">
        <v>155</v>
      </c>
      <c r="G609" s="14" t="str">
        <f>""</f>
        <v/>
      </c>
      <c r="H609" s="14" t="str">
        <f>" 20"</f>
        <v xml:space="preserve"> 20</v>
      </c>
      <c r="I609" s="14">
        <v>500.01</v>
      </c>
      <c r="J609" s="14">
        <v>9999999.9900000002</v>
      </c>
      <c r="K609" s="14" t="s">
        <v>156</v>
      </c>
      <c r="L609" s="14" t="s">
        <v>147</v>
      </c>
      <c r="P609" s="14" t="s">
        <v>39</v>
      </c>
      <c r="Q609" s="14" t="s">
        <v>25</v>
      </c>
      <c r="R609" s="14" t="s">
        <v>146</v>
      </c>
    </row>
    <row r="610" spans="1:18" s="14" customFormat="1" x14ac:dyDescent="0.25">
      <c r="A610" s="14" t="str">
        <f>"18124"</f>
        <v>18124</v>
      </c>
      <c r="B610" s="14" t="str">
        <f>"01000"</f>
        <v>01000</v>
      </c>
      <c r="C610" s="14" t="str">
        <f>"1600"</f>
        <v>1600</v>
      </c>
      <c r="D610" s="14" t="str">
        <f>"18124"</f>
        <v>18124</v>
      </c>
      <c r="E610" s="14" t="s">
        <v>689</v>
      </c>
      <c r="F610" s="14" t="s">
        <v>44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37</v>
      </c>
      <c r="L610" s="14" t="s">
        <v>34</v>
      </c>
      <c r="P610" s="14" t="s">
        <v>39</v>
      </c>
      <c r="Q610" s="14" t="s">
        <v>25</v>
      </c>
      <c r="R610" s="14" t="s">
        <v>45</v>
      </c>
    </row>
    <row r="611" spans="1:18" s="14" customFormat="1" x14ac:dyDescent="0.25">
      <c r="A611" s="14" t="str">
        <f>"18125"</f>
        <v>18125</v>
      </c>
      <c r="B611" s="14" t="str">
        <f>"01620"</f>
        <v>01620</v>
      </c>
      <c r="C611" s="14" t="str">
        <f>"1600"</f>
        <v>1600</v>
      </c>
      <c r="D611" s="14" t="str">
        <f>"18125"</f>
        <v>18125</v>
      </c>
      <c r="E611" s="14" t="s">
        <v>690</v>
      </c>
      <c r="F611" s="14" t="s">
        <v>140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69</v>
      </c>
      <c r="L611" s="14" t="s">
        <v>70</v>
      </c>
      <c r="M611" s="14" t="s">
        <v>71</v>
      </c>
      <c r="N611" s="14" t="s">
        <v>141</v>
      </c>
      <c r="P611" s="14" t="s">
        <v>31</v>
      </c>
      <c r="Q611" s="14" t="s">
        <v>25</v>
      </c>
      <c r="R611" s="14" t="s">
        <v>72</v>
      </c>
    </row>
    <row r="612" spans="1:18" s="14" customFormat="1" x14ac:dyDescent="0.25">
      <c r="A612" s="14" t="str">
        <f>"18126"</f>
        <v>18126</v>
      </c>
      <c r="B612" s="14" t="str">
        <f>"01000"</f>
        <v>01000</v>
      </c>
      <c r="C612" s="14" t="str">
        <f>"1100"</f>
        <v>1100</v>
      </c>
      <c r="D612" s="14" t="str">
        <f>"18126"</f>
        <v>18126</v>
      </c>
      <c r="E612" s="14" t="s">
        <v>691</v>
      </c>
      <c r="F612" s="14" t="s">
        <v>44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37</v>
      </c>
      <c r="L612" s="14" t="s">
        <v>34</v>
      </c>
      <c r="P612" s="14" t="s">
        <v>39</v>
      </c>
      <c r="Q612" s="14" t="s">
        <v>25</v>
      </c>
      <c r="R612" s="14" t="s">
        <v>45</v>
      </c>
    </row>
    <row r="613" spans="1:18" s="14" customFormat="1" x14ac:dyDescent="0.25">
      <c r="A613" s="14" t="str">
        <f>"18127"</f>
        <v>18127</v>
      </c>
      <c r="B613" s="14" t="str">
        <f>"01580"</f>
        <v>01580</v>
      </c>
      <c r="C613" s="14" t="str">
        <f>"1300"</f>
        <v>1300</v>
      </c>
      <c r="D613" s="14" t="str">
        <f>"18127"</f>
        <v>18127</v>
      </c>
      <c r="E613" s="14" t="s">
        <v>692</v>
      </c>
      <c r="F613" s="14" t="s">
        <v>137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69</v>
      </c>
      <c r="L613" s="14" t="s">
        <v>70</v>
      </c>
      <c r="M613" s="14" t="s">
        <v>71</v>
      </c>
      <c r="P613" s="14" t="s">
        <v>31</v>
      </c>
      <c r="Q613" s="14" t="s">
        <v>25</v>
      </c>
      <c r="R613" s="14" t="s">
        <v>72</v>
      </c>
    </row>
    <row r="614" spans="1:18" s="14" customFormat="1" x14ac:dyDescent="0.25">
      <c r="A614" s="14" t="str">
        <f>"18128"</f>
        <v>18128</v>
      </c>
      <c r="B614" s="14" t="str">
        <f>"00100"</f>
        <v>00100</v>
      </c>
      <c r="C614" s="14" t="str">
        <f>"1400"</f>
        <v>1400</v>
      </c>
      <c r="D614" s="14" t="str">
        <f>"18128"</f>
        <v>18128</v>
      </c>
      <c r="E614" s="14" t="s">
        <v>693</v>
      </c>
      <c r="F614" s="14" t="s">
        <v>21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22</v>
      </c>
      <c r="L614" s="14" t="s">
        <v>23</v>
      </c>
      <c r="P614" s="14" t="s">
        <v>239</v>
      </c>
      <c r="Q614" s="14" t="s">
        <v>25</v>
      </c>
      <c r="R614" s="14" t="s">
        <v>23</v>
      </c>
    </row>
    <row r="615" spans="1:18" s="14" customFormat="1" x14ac:dyDescent="0.25">
      <c r="A615" s="14" t="str">
        <f>"18129"</f>
        <v>18129</v>
      </c>
      <c r="B615" s="14" t="str">
        <f>"01780"</f>
        <v>01780</v>
      </c>
      <c r="C615" s="14" t="str">
        <f>"1600"</f>
        <v>1600</v>
      </c>
      <c r="D615" s="14" t="str">
        <f>"18129"</f>
        <v>18129</v>
      </c>
      <c r="E615" s="14" t="s">
        <v>694</v>
      </c>
      <c r="F615" s="14" t="s">
        <v>175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112</v>
      </c>
      <c r="L615" s="14" t="s">
        <v>113</v>
      </c>
      <c r="P615" s="14" t="s">
        <v>31</v>
      </c>
      <c r="Q615" s="14" t="s">
        <v>25</v>
      </c>
      <c r="R615" s="14" t="s">
        <v>115</v>
      </c>
    </row>
    <row r="616" spans="1:18" s="14" customFormat="1" x14ac:dyDescent="0.25">
      <c r="A616" s="14" t="str">
        <f>"18130"</f>
        <v>18130</v>
      </c>
      <c r="B616" s="14" t="str">
        <f>"05150"</f>
        <v>05150</v>
      </c>
      <c r="C616" s="14" t="str">
        <f>"1400"</f>
        <v>1400</v>
      </c>
      <c r="D616" s="14" t="str">
        <f>"18130"</f>
        <v>18130</v>
      </c>
      <c r="E616" s="14" t="s">
        <v>695</v>
      </c>
      <c r="F616" s="14" t="s">
        <v>402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404</v>
      </c>
      <c r="L616" s="14" t="s">
        <v>696</v>
      </c>
      <c r="P616" s="14" t="s">
        <v>39</v>
      </c>
      <c r="Q616" s="14" t="s">
        <v>25</v>
      </c>
      <c r="R616" s="14" t="s">
        <v>403</v>
      </c>
    </row>
    <row r="617" spans="1:18" s="14" customFormat="1" x14ac:dyDescent="0.25">
      <c r="A617" s="14" t="str">
        <f>"18131"</f>
        <v>18131</v>
      </c>
      <c r="B617" s="14" t="str">
        <f>"01400"</f>
        <v>01400</v>
      </c>
      <c r="C617" s="14" t="str">
        <f>"1600"</f>
        <v>1600</v>
      </c>
      <c r="D617" s="14" t="str">
        <f>"18131"</f>
        <v>18131</v>
      </c>
      <c r="E617" s="14" t="s">
        <v>697</v>
      </c>
      <c r="F617" s="14" t="s">
        <v>117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69</v>
      </c>
      <c r="L617" s="14" t="s">
        <v>70</v>
      </c>
      <c r="M617" s="14" t="s">
        <v>71</v>
      </c>
      <c r="P617" s="14" t="s">
        <v>31</v>
      </c>
      <c r="Q617" s="14" t="s">
        <v>25</v>
      </c>
      <c r="R617" s="14" t="s">
        <v>72</v>
      </c>
    </row>
    <row r="618" spans="1:18" s="14" customFormat="1" x14ac:dyDescent="0.25">
      <c r="A618" s="14" t="str">
        <f>"18132"</f>
        <v>18132</v>
      </c>
      <c r="B618" s="14" t="str">
        <f>"01545"</f>
        <v>01545</v>
      </c>
      <c r="C618" s="14" t="str">
        <f>"1600"</f>
        <v>1600</v>
      </c>
      <c r="D618" s="14" t="str">
        <f>"18132"</f>
        <v>18132</v>
      </c>
      <c r="E618" s="14" t="s">
        <v>698</v>
      </c>
      <c r="F618" s="14" t="s">
        <v>133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69</v>
      </c>
      <c r="L618" s="14" t="s">
        <v>70</v>
      </c>
      <c r="M618" s="14" t="s">
        <v>71</v>
      </c>
      <c r="P618" s="14" t="s">
        <v>31</v>
      </c>
      <c r="Q618" s="14" t="s">
        <v>25</v>
      </c>
      <c r="R618" s="14" t="s">
        <v>72</v>
      </c>
    </row>
    <row r="619" spans="1:18" s="14" customFormat="1" x14ac:dyDescent="0.25">
      <c r="A619" s="14" t="str">
        <f>"18133"</f>
        <v>18133</v>
      </c>
      <c r="B619" s="14" t="str">
        <f>"01400"</f>
        <v>01400</v>
      </c>
      <c r="C619" s="14" t="str">
        <f>"1300"</f>
        <v>1300</v>
      </c>
      <c r="D619" s="14" t="str">
        <f>"18133"</f>
        <v>18133</v>
      </c>
      <c r="E619" s="14" t="s">
        <v>699</v>
      </c>
      <c r="F619" s="14" t="s">
        <v>117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69</v>
      </c>
      <c r="L619" s="14" t="s">
        <v>70</v>
      </c>
      <c r="M619" s="14" t="s">
        <v>71</v>
      </c>
      <c r="P619" s="14" t="s">
        <v>31</v>
      </c>
      <c r="Q619" s="14" t="s">
        <v>25</v>
      </c>
      <c r="R619" s="14" t="s">
        <v>72</v>
      </c>
    </row>
    <row r="620" spans="1:18" s="14" customFormat="1" x14ac:dyDescent="0.25">
      <c r="A620" s="14" t="str">
        <f>"18501"</f>
        <v>18501</v>
      </c>
      <c r="B620" s="14" t="str">
        <f>"01400"</f>
        <v>01400</v>
      </c>
      <c r="C620" s="14" t="str">
        <f>"1300"</f>
        <v>1300</v>
      </c>
      <c r="D620" s="14" t="str">
        <f>""</f>
        <v/>
      </c>
      <c r="E620" s="14" t="s">
        <v>700</v>
      </c>
      <c r="F620" s="14" t="s">
        <v>117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69</v>
      </c>
      <c r="L620" s="14" t="s">
        <v>70</v>
      </c>
      <c r="M620" s="14" t="s">
        <v>70</v>
      </c>
      <c r="N620" s="14" t="s">
        <v>71</v>
      </c>
      <c r="P620" s="14" t="s">
        <v>701</v>
      </c>
      <c r="Q620" s="14" t="s">
        <v>25</v>
      </c>
      <c r="R620" s="14" t="s">
        <v>72</v>
      </c>
    </row>
    <row r="621" spans="1:18" s="14" customFormat="1" x14ac:dyDescent="0.25">
      <c r="A621" s="14" t="str">
        <f>"18502"</f>
        <v>18502</v>
      </c>
      <c r="B621" s="14" t="str">
        <f>"01780"</f>
        <v>01780</v>
      </c>
      <c r="C621" s="14" t="str">
        <f>"1300"</f>
        <v>1300</v>
      </c>
      <c r="D621" s="14" t="str">
        <f>""</f>
        <v/>
      </c>
      <c r="E621" s="14" t="s">
        <v>702</v>
      </c>
      <c r="F621" s="14" t="s">
        <v>175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112</v>
      </c>
      <c r="L621" s="14" t="s">
        <v>113</v>
      </c>
      <c r="M621" s="14" t="s">
        <v>114</v>
      </c>
      <c r="P621" s="14" t="s">
        <v>701</v>
      </c>
      <c r="Q621" s="14" t="s">
        <v>25</v>
      </c>
      <c r="R621" s="14" t="s">
        <v>115</v>
      </c>
    </row>
    <row r="622" spans="1:18" s="14" customFormat="1" x14ac:dyDescent="0.25">
      <c r="A622" s="14" t="str">
        <f>"18503"</f>
        <v>18503</v>
      </c>
      <c r="B622" s="14" t="str">
        <f>"01660"</f>
        <v>01660</v>
      </c>
      <c r="C622" s="14" t="str">
        <f>"1300"</f>
        <v>1300</v>
      </c>
      <c r="D622" s="14" t="str">
        <f>""</f>
        <v/>
      </c>
      <c r="E622" s="14" t="s">
        <v>703</v>
      </c>
      <c r="F622" s="14" t="s">
        <v>145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147</v>
      </c>
      <c r="L622" s="14" t="s">
        <v>148</v>
      </c>
      <c r="P622" s="14" t="s">
        <v>701</v>
      </c>
      <c r="Q622" s="14" t="s">
        <v>25</v>
      </c>
      <c r="R622" s="14" t="s">
        <v>146</v>
      </c>
    </row>
    <row r="623" spans="1:18" s="14" customFormat="1" x14ac:dyDescent="0.25">
      <c r="A623" s="14" t="str">
        <f>"18504"</f>
        <v>18504</v>
      </c>
      <c r="B623" s="14" t="str">
        <f>"01300"</f>
        <v>01300</v>
      </c>
      <c r="C623" s="14" t="str">
        <f>"1300"</f>
        <v>1300</v>
      </c>
      <c r="D623" s="14" t="str">
        <f>""</f>
        <v/>
      </c>
      <c r="E623" s="14" t="s">
        <v>704</v>
      </c>
      <c r="F623" s="14" t="s">
        <v>96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48</v>
      </c>
      <c r="L623" s="14" t="s">
        <v>97</v>
      </c>
      <c r="M623" s="14" t="s">
        <v>98</v>
      </c>
      <c r="P623" s="14" t="s">
        <v>701</v>
      </c>
      <c r="Q623" s="14" t="s">
        <v>25</v>
      </c>
      <c r="R623" s="14" t="s">
        <v>49</v>
      </c>
    </row>
    <row r="624" spans="1:18" s="14" customFormat="1" x14ac:dyDescent="0.25">
      <c r="A624" s="14" t="str">
        <f>"18506"</f>
        <v>18506</v>
      </c>
      <c r="B624" s="14" t="str">
        <f>"01370"</f>
        <v>01370</v>
      </c>
      <c r="C624" s="14" t="str">
        <f>"1300"</f>
        <v>1300</v>
      </c>
      <c r="D624" s="14" t="str">
        <f>""</f>
        <v/>
      </c>
      <c r="E624" s="14" t="s">
        <v>705</v>
      </c>
      <c r="F624" s="14" t="s">
        <v>108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69</v>
      </c>
      <c r="L624" s="14" t="s">
        <v>109</v>
      </c>
      <c r="M624" s="14" t="s">
        <v>70</v>
      </c>
      <c r="N624" s="14" t="s">
        <v>71</v>
      </c>
      <c r="P624" s="14" t="s">
        <v>701</v>
      </c>
      <c r="Q624" s="14" t="s">
        <v>25</v>
      </c>
      <c r="R624" s="14" t="s">
        <v>109</v>
      </c>
    </row>
    <row r="625" spans="1:18" s="14" customFormat="1" x14ac:dyDescent="0.25">
      <c r="A625" s="14" t="str">
        <f>"18507"</f>
        <v>18507</v>
      </c>
      <c r="B625" s="14" t="str">
        <f>"01670"</f>
        <v>01670</v>
      </c>
      <c r="C625" s="14" t="str">
        <f>"1300"</f>
        <v>1300</v>
      </c>
      <c r="D625" s="14" t="str">
        <f>""</f>
        <v/>
      </c>
      <c r="E625" s="14" t="s">
        <v>706</v>
      </c>
      <c r="F625" s="14" t="s">
        <v>151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147</v>
      </c>
      <c r="L625" s="14" t="s">
        <v>148</v>
      </c>
      <c r="P625" s="14" t="s">
        <v>701</v>
      </c>
      <c r="Q625" s="14" t="s">
        <v>25</v>
      </c>
      <c r="R625" s="14" t="s">
        <v>146</v>
      </c>
    </row>
    <row r="626" spans="1:18" s="14" customFormat="1" x14ac:dyDescent="0.25">
      <c r="A626" s="14" t="str">
        <f>"18508"</f>
        <v>18508</v>
      </c>
      <c r="B626" s="14" t="str">
        <f>"01230"</f>
        <v>01230</v>
      </c>
      <c r="C626" s="14" t="str">
        <f>"1300"</f>
        <v>1300</v>
      </c>
      <c r="D626" s="14" t="str">
        <f>""</f>
        <v/>
      </c>
      <c r="E626" s="14" t="s">
        <v>707</v>
      </c>
      <c r="F626" s="14" t="s">
        <v>75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76</v>
      </c>
      <c r="L626" s="14" t="s">
        <v>78</v>
      </c>
      <c r="P626" s="14" t="s">
        <v>701</v>
      </c>
      <c r="Q626" s="14" t="s">
        <v>25</v>
      </c>
      <c r="R626" s="14" t="s">
        <v>79</v>
      </c>
    </row>
    <row r="627" spans="1:18" s="14" customFormat="1" x14ac:dyDescent="0.25">
      <c r="A627" s="14" t="str">
        <f>"18509"</f>
        <v>18509</v>
      </c>
      <c r="B627" s="14" t="str">
        <f>"01241"</f>
        <v>01241</v>
      </c>
      <c r="C627" s="14" t="str">
        <f>"1300"</f>
        <v>1300</v>
      </c>
      <c r="D627" s="14" t="str">
        <f>""</f>
        <v/>
      </c>
      <c r="E627" s="14" t="s">
        <v>708</v>
      </c>
      <c r="F627" s="14" t="s">
        <v>82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83</v>
      </c>
      <c r="L627" s="14" t="s">
        <v>37</v>
      </c>
      <c r="M627" s="14" t="s">
        <v>84</v>
      </c>
      <c r="P627" s="14" t="s">
        <v>701</v>
      </c>
      <c r="Q627" s="14" t="s">
        <v>25</v>
      </c>
      <c r="R627" s="14" t="s">
        <v>38</v>
      </c>
    </row>
    <row r="628" spans="1:18" s="14" customFormat="1" x14ac:dyDescent="0.25">
      <c r="A628" s="14" t="str">
        <f>"18510"</f>
        <v>18510</v>
      </c>
      <c r="B628" s="14" t="str">
        <f>"01030"</f>
        <v>01030</v>
      </c>
      <c r="C628" s="14" t="str">
        <f>"1600"</f>
        <v>1600</v>
      </c>
      <c r="D628" s="14" t="str">
        <f>""</f>
        <v/>
      </c>
      <c r="E628" s="14" t="s">
        <v>709</v>
      </c>
      <c r="F628" s="14" t="s">
        <v>52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53</v>
      </c>
      <c r="L628" s="14" t="s">
        <v>54</v>
      </c>
      <c r="M628" s="14" t="s">
        <v>55</v>
      </c>
      <c r="P628" s="14" t="s">
        <v>701</v>
      </c>
      <c r="Q628" s="14" t="s">
        <v>25</v>
      </c>
      <c r="R628" s="14" t="s">
        <v>54</v>
      </c>
    </row>
    <row r="629" spans="1:18" s="14" customFormat="1" x14ac:dyDescent="0.25">
      <c r="A629" s="14" t="str">
        <f>"18512"</f>
        <v>18512</v>
      </c>
      <c r="B629" s="14" t="str">
        <f>"01695"</f>
        <v>01695</v>
      </c>
      <c r="C629" s="14" t="str">
        <f>"1300"</f>
        <v>1300</v>
      </c>
      <c r="D629" s="14" t="str">
        <f>""</f>
        <v/>
      </c>
      <c r="E629" s="14" t="s">
        <v>710</v>
      </c>
      <c r="F629" s="14" t="s">
        <v>155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156</v>
      </c>
      <c r="L629" s="14" t="s">
        <v>147</v>
      </c>
      <c r="P629" s="14" t="s">
        <v>701</v>
      </c>
      <c r="Q629" s="14" t="s">
        <v>25</v>
      </c>
      <c r="R629" s="14" t="s">
        <v>146</v>
      </c>
    </row>
    <row r="630" spans="1:18" s="14" customFormat="1" x14ac:dyDescent="0.25">
      <c r="A630" s="14" t="str">
        <f>"18513"</f>
        <v>18513</v>
      </c>
      <c r="B630" s="14" t="str">
        <f>"01035"</f>
        <v>01035</v>
      </c>
      <c r="C630" s="14" t="str">
        <f>"1600"</f>
        <v>1600</v>
      </c>
      <c r="D630" s="14" t="str">
        <f>""</f>
        <v/>
      </c>
      <c r="E630" s="14" t="s">
        <v>711</v>
      </c>
      <c r="F630" s="14" t="s">
        <v>56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53</v>
      </c>
      <c r="L630" s="14" t="s">
        <v>54</v>
      </c>
      <c r="M630" s="14" t="s">
        <v>55</v>
      </c>
      <c r="P630" s="14" t="s">
        <v>701</v>
      </c>
      <c r="Q630" s="14" t="s">
        <v>25</v>
      </c>
      <c r="R630" s="14" t="s">
        <v>54</v>
      </c>
    </row>
    <row r="631" spans="1:18" s="14" customFormat="1" x14ac:dyDescent="0.25">
      <c r="A631" s="14" t="str">
        <f>"18514"</f>
        <v>18514</v>
      </c>
      <c r="B631" s="14" t="str">
        <f>"01790"</f>
        <v>01790</v>
      </c>
      <c r="C631" s="14" t="str">
        <f>"1300"</f>
        <v>1300</v>
      </c>
      <c r="D631" s="14" t="str">
        <f>""</f>
        <v/>
      </c>
      <c r="E631" s="14" t="s">
        <v>712</v>
      </c>
      <c r="F631" s="14" t="s">
        <v>178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179</v>
      </c>
      <c r="L631" s="14" t="s">
        <v>112</v>
      </c>
      <c r="M631" s="14" t="s">
        <v>113</v>
      </c>
      <c r="N631" s="14" t="s">
        <v>114</v>
      </c>
      <c r="P631" s="14" t="s">
        <v>701</v>
      </c>
      <c r="Q631" s="14" t="s">
        <v>25</v>
      </c>
      <c r="R631" s="14" t="s">
        <v>115</v>
      </c>
    </row>
    <row r="632" spans="1:18" s="14" customFormat="1" x14ac:dyDescent="0.25">
      <c r="A632" s="14" t="str">
        <f>"18516"</f>
        <v>18516</v>
      </c>
      <c r="B632" s="14" t="str">
        <f>"05150"</f>
        <v>05150</v>
      </c>
      <c r="C632" s="14" t="str">
        <f>"1700"</f>
        <v>1700</v>
      </c>
      <c r="D632" s="14" t="str">
        <f>""</f>
        <v/>
      </c>
      <c r="E632" s="14" t="s">
        <v>713</v>
      </c>
      <c r="F632" s="14" t="s">
        <v>402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404</v>
      </c>
      <c r="L632" s="14" t="s">
        <v>405</v>
      </c>
      <c r="P632" s="14" t="s">
        <v>701</v>
      </c>
      <c r="Q632" s="14" t="s">
        <v>25</v>
      </c>
      <c r="R632" s="14" t="s">
        <v>403</v>
      </c>
    </row>
    <row r="633" spans="1:18" s="14" customFormat="1" x14ac:dyDescent="0.25">
      <c r="A633" s="14" t="str">
        <f>"18517"</f>
        <v>18517</v>
      </c>
      <c r="B633" s="14" t="str">
        <f>"05010"</f>
        <v>05010</v>
      </c>
      <c r="C633" s="14" t="str">
        <f>"1700"</f>
        <v>1700</v>
      </c>
      <c r="D633" s="14" t="str">
        <f>""</f>
        <v/>
      </c>
      <c r="E633" s="14" t="s">
        <v>714</v>
      </c>
      <c r="F633" s="14" t="s">
        <v>371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372</v>
      </c>
      <c r="L633" s="14" t="s">
        <v>373</v>
      </c>
      <c r="P633" s="14" t="s">
        <v>701</v>
      </c>
      <c r="Q633" s="14" t="s">
        <v>25</v>
      </c>
      <c r="R633" s="14" t="s">
        <v>372</v>
      </c>
    </row>
    <row r="634" spans="1:18" s="14" customFormat="1" x14ac:dyDescent="0.25">
      <c r="A634" s="14" t="str">
        <f>"18518"</f>
        <v>18518</v>
      </c>
      <c r="B634" s="14" t="str">
        <f>"01810"</f>
        <v>01810</v>
      </c>
      <c r="C634" s="14" t="str">
        <f>"1100"</f>
        <v>1100</v>
      </c>
      <c r="D634" s="14" t="str">
        <f>""</f>
        <v/>
      </c>
      <c r="E634" s="14" t="s">
        <v>715</v>
      </c>
      <c r="F634" s="14" t="s">
        <v>183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184</v>
      </c>
      <c r="L634" s="14" t="s">
        <v>112</v>
      </c>
      <c r="M634" s="14" t="s">
        <v>113</v>
      </c>
      <c r="N634" s="14" t="s">
        <v>114</v>
      </c>
      <c r="P634" s="14" t="s">
        <v>701</v>
      </c>
      <c r="Q634" s="14" t="s">
        <v>25</v>
      </c>
      <c r="R634" s="14" t="s">
        <v>115</v>
      </c>
    </row>
    <row r="635" spans="1:18" s="14" customFormat="1" x14ac:dyDescent="0.25">
      <c r="A635" s="14" t="str">
        <f>"18519"</f>
        <v>18519</v>
      </c>
      <c r="B635" s="14" t="str">
        <f>"01390"</f>
        <v>01390</v>
      </c>
      <c r="C635" s="14" t="str">
        <f>"1100"</f>
        <v>1100</v>
      </c>
      <c r="D635" s="14" t="str">
        <f>""</f>
        <v/>
      </c>
      <c r="E635" s="14" t="s">
        <v>716</v>
      </c>
      <c r="F635" s="14" t="s">
        <v>116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112</v>
      </c>
      <c r="L635" s="14" t="s">
        <v>113</v>
      </c>
      <c r="M635" s="14" t="s">
        <v>114</v>
      </c>
      <c r="P635" s="14" t="s">
        <v>701</v>
      </c>
      <c r="Q635" s="14" t="s">
        <v>25</v>
      </c>
      <c r="R635" s="14" t="s">
        <v>115</v>
      </c>
    </row>
    <row r="636" spans="1:18" s="14" customFormat="1" x14ac:dyDescent="0.25">
      <c r="A636" s="14" t="str">
        <f>"18520"</f>
        <v>18520</v>
      </c>
      <c r="B636" s="14" t="str">
        <f>"01260"</f>
        <v>01260</v>
      </c>
      <c r="C636" s="14" t="str">
        <f>"1300"</f>
        <v>1300</v>
      </c>
      <c r="D636" s="14" t="str">
        <f>""</f>
        <v/>
      </c>
      <c r="E636" s="14" t="s">
        <v>717</v>
      </c>
      <c r="F636" s="14" t="s">
        <v>87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37</v>
      </c>
      <c r="L636" s="14" t="s">
        <v>38</v>
      </c>
      <c r="P636" s="14" t="s">
        <v>701</v>
      </c>
      <c r="Q636" s="14" t="s">
        <v>25</v>
      </c>
      <c r="R636" s="14" t="s">
        <v>38</v>
      </c>
    </row>
    <row r="637" spans="1:18" s="14" customFormat="1" x14ac:dyDescent="0.25">
      <c r="A637" s="14" t="str">
        <f>"18521"</f>
        <v>18521</v>
      </c>
      <c r="B637" s="14" t="str">
        <f>"01640"</f>
        <v>01640</v>
      </c>
      <c r="C637" s="14" t="str">
        <f>"1100"</f>
        <v>1100</v>
      </c>
      <c r="D637" s="14" t="str">
        <f>""</f>
        <v/>
      </c>
      <c r="E637" s="14" t="s">
        <v>718</v>
      </c>
      <c r="F637" s="14" t="s">
        <v>143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69</v>
      </c>
      <c r="L637" s="14" t="s">
        <v>70</v>
      </c>
      <c r="M637" s="14" t="s">
        <v>70</v>
      </c>
      <c r="N637" s="14" t="s">
        <v>71</v>
      </c>
      <c r="P637" s="14" t="s">
        <v>701</v>
      </c>
      <c r="Q637" s="14" t="s">
        <v>25</v>
      </c>
      <c r="R637" s="14" t="s">
        <v>72</v>
      </c>
    </row>
    <row r="638" spans="1:18" s="14" customFormat="1" x14ac:dyDescent="0.25">
      <c r="A638" s="14" t="str">
        <f>"18522"</f>
        <v>18522</v>
      </c>
      <c r="B638" s="14" t="str">
        <f>"01830"</f>
        <v>01830</v>
      </c>
      <c r="C638" s="14" t="str">
        <f>"1300"</f>
        <v>1300</v>
      </c>
      <c r="D638" s="14" t="str">
        <f>""</f>
        <v/>
      </c>
      <c r="E638" s="14" t="s">
        <v>719</v>
      </c>
      <c r="F638" s="14" t="s">
        <v>187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112</v>
      </c>
      <c r="L638" s="14" t="s">
        <v>113</v>
      </c>
      <c r="M638" s="14" t="s">
        <v>114</v>
      </c>
      <c r="P638" s="14" t="s">
        <v>701</v>
      </c>
      <c r="Q638" s="14" t="s">
        <v>25</v>
      </c>
      <c r="R638" s="14" t="s">
        <v>115</v>
      </c>
    </row>
    <row r="639" spans="1:18" s="14" customFormat="1" x14ac:dyDescent="0.25">
      <c r="A639" s="14" t="str">
        <f>"18523"</f>
        <v>18523</v>
      </c>
      <c r="B639" s="14" t="str">
        <f>"01560"</f>
        <v>01560</v>
      </c>
      <c r="C639" s="14" t="str">
        <f>"1300"</f>
        <v>1300</v>
      </c>
      <c r="D639" s="14" t="str">
        <f>""</f>
        <v/>
      </c>
      <c r="E639" s="14" t="s">
        <v>720</v>
      </c>
      <c r="F639" s="14" t="s">
        <v>135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69</v>
      </c>
      <c r="L639" s="14" t="s">
        <v>70</v>
      </c>
      <c r="M639" s="14" t="s">
        <v>70</v>
      </c>
      <c r="N639" s="14" t="s">
        <v>71</v>
      </c>
      <c r="P639" s="14" t="s">
        <v>701</v>
      </c>
      <c r="Q639" s="14" t="s">
        <v>25</v>
      </c>
      <c r="R639" s="14" t="s">
        <v>72</v>
      </c>
    </row>
    <row r="640" spans="1:18" s="14" customFormat="1" x14ac:dyDescent="0.25">
      <c r="A640" s="14" t="str">
        <f>"18524"</f>
        <v>18524</v>
      </c>
      <c r="B640" s="14" t="str">
        <f>"01705"</f>
        <v>01705</v>
      </c>
      <c r="C640" s="14" t="str">
        <f>"1300"</f>
        <v>1300</v>
      </c>
      <c r="D640" s="14" t="str">
        <f>""</f>
        <v/>
      </c>
      <c r="E640" s="14" t="s">
        <v>721</v>
      </c>
      <c r="F640" s="14" t="s">
        <v>159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147</v>
      </c>
      <c r="P640" s="14" t="s">
        <v>701</v>
      </c>
      <c r="Q640" s="14" t="s">
        <v>25</v>
      </c>
      <c r="R640" s="14" t="s">
        <v>146</v>
      </c>
    </row>
    <row r="641" spans="1:18" s="14" customFormat="1" x14ac:dyDescent="0.25">
      <c r="A641" s="14" t="str">
        <f>"18525"</f>
        <v>18525</v>
      </c>
      <c r="B641" s="14" t="str">
        <f>"01800"</f>
        <v>01800</v>
      </c>
      <c r="C641" s="14" t="str">
        <f>"1300"</f>
        <v>1300</v>
      </c>
      <c r="D641" s="14" t="str">
        <f>""</f>
        <v/>
      </c>
      <c r="E641" s="14" t="s">
        <v>722</v>
      </c>
      <c r="F641" s="14" t="s">
        <v>180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112</v>
      </c>
      <c r="L641" s="14" t="s">
        <v>113</v>
      </c>
      <c r="M641" s="14" t="s">
        <v>114</v>
      </c>
      <c r="P641" s="14" t="s">
        <v>701</v>
      </c>
      <c r="Q641" s="14" t="s">
        <v>25</v>
      </c>
      <c r="R641" s="14" t="s">
        <v>115</v>
      </c>
    </row>
    <row r="642" spans="1:18" s="14" customFormat="1" x14ac:dyDescent="0.25">
      <c r="A642" s="14" t="str">
        <f>"18526"</f>
        <v>18526</v>
      </c>
      <c r="B642" s="14" t="str">
        <f>"01550"</f>
        <v>01550</v>
      </c>
      <c r="C642" s="14" t="str">
        <f>"1300"</f>
        <v>1300</v>
      </c>
      <c r="D642" s="14" t="str">
        <f>""</f>
        <v/>
      </c>
      <c r="E642" s="14" t="s">
        <v>723</v>
      </c>
      <c r="F642" s="14" t="s">
        <v>134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69</v>
      </c>
      <c r="L642" s="14" t="s">
        <v>70</v>
      </c>
      <c r="M642" s="14" t="s">
        <v>70</v>
      </c>
      <c r="N642" s="14" t="s">
        <v>71</v>
      </c>
      <c r="P642" s="14" t="s">
        <v>701</v>
      </c>
      <c r="Q642" s="14" t="s">
        <v>25</v>
      </c>
      <c r="R642" s="14" t="s">
        <v>72</v>
      </c>
    </row>
    <row r="643" spans="1:18" s="14" customFormat="1" x14ac:dyDescent="0.25">
      <c r="A643" s="14" t="str">
        <f>"18527"</f>
        <v>18527</v>
      </c>
      <c r="B643" s="14" t="str">
        <f>"01100"</f>
        <v>01100</v>
      </c>
      <c r="C643" s="14" t="str">
        <f>"1930"</f>
        <v>1930</v>
      </c>
      <c r="D643" s="14" t="str">
        <f>""</f>
        <v/>
      </c>
      <c r="E643" s="14" t="s">
        <v>724</v>
      </c>
      <c r="F643" s="14" t="s">
        <v>725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55</v>
      </c>
      <c r="L643" s="14" t="s">
        <v>53</v>
      </c>
      <c r="M643" s="14" t="s">
        <v>726</v>
      </c>
      <c r="P643" s="14" t="s">
        <v>701</v>
      </c>
      <c r="Q643" s="14" t="s">
        <v>25</v>
      </c>
      <c r="R643" s="14" t="s">
        <v>727</v>
      </c>
    </row>
    <row r="644" spans="1:18" s="14" customFormat="1" x14ac:dyDescent="0.25">
      <c r="A644" s="14" t="str">
        <f>"18528"</f>
        <v>18528</v>
      </c>
      <c r="B644" s="14" t="str">
        <f>"01700"</f>
        <v>01700</v>
      </c>
      <c r="C644" s="14" t="str">
        <f>"1300"</f>
        <v>1300</v>
      </c>
      <c r="D644" s="14" t="str">
        <f>""</f>
        <v/>
      </c>
      <c r="E644" s="14" t="s">
        <v>728</v>
      </c>
      <c r="F644" s="14" t="s">
        <v>157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158</v>
      </c>
      <c r="L644" s="14" t="s">
        <v>147</v>
      </c>
      <c r="P644" s="14" t="s">
        <v>701</v>
      </c>
      <c r="Q644" s="14" t="s">
        <v>25</v>
      </c>
      <c r="R644" s="14" t="s">
        <v>146</v>
      </c>
    </row>
    <row r="645" spans="1:18" s="14" customFormat="1" x14ac:dyDescent="0.25">
      <c r="A645" s="14" t="str">
        <f>"18529"</f>
        <v>18529</v>
      </c>
      <c r="B645" s="14" t="str">
        <f>"01320"</f>
        <v>01320</v>
      </c>
      <c r="C645" s="14" t="str">
        <f>"1300"</f>
        <v>1300</v>
      </c>
      <c r="D645" s="14" t="str">
        <f>""</f>
        <v/>
      </c>
      <c r="E645" s="14" t="s">
        <v>729</v>
      </c>
      <c r="F645" s="14" t="s">
        <v>103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48</v>
      </c>
      <c r="L645" s="14" t="s">
        <v>97</v>
      </c>
      <c r="M645" s="14" t="s">
        <v>98</v>
      </c>
      <c r="P645" s="14" t="s">
        <v>701</v>
      </c>
      <c r="Q645" s="14" t="s">
        <v>25</v>
      </c>
      <c r="R645" s="14" t="s">
        <v>49</v>
      </c>
    </row>
    <row r="646" spans="1:18" s="14" customFormat="1" x14ac:dyDescent="0.25">
      <c r="A646" s="14" t="str">
        <f>"18530"</f>
        <v>18530</v>
      </c>
      <c r="B646" s="14" t="str">
        <f>"01290"</f>
        <v>01290</v>
      </c>
      <c r="C646" s="14" t="str">
        <f>"1300"</f>
        <v>1300</v>
      </c>
      <c r="D646" s="14" t="str">
        <f>""</f>
        <v/>
      </c>
      <c r="E646" s="14" t="s">
        <v>730</v>
      </c>
      <c r="F646" s="14" t="s">
        <v>95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83</v>
      </c>
      <c r="L646" s="14" t="s">
        <v>37</v>
      </c>
      <c r="M646" s="14" t="s">
        <v>38</v>
      </c>
      <c r="P646" s="14" t="s">
        <v>701</v>
      </c>
      <c r="Q646" s="14" t="s">
        <v>25</v>
      </c>
      <c r="R646" s="14" t="s">
        <v>38</v>
      </c>
    </row>
    <row r="647" spans="1:18" s="14" customFormat="1" x14ac:dyDescent="0.25">
      <c r="A647" s="14" t="str">
        <f>"18531"</f>
        <v>18531</v>
      </c>
      <c r="B647" s="14" t="str">
        <f>"01630"</f>
        <v>01630</v>
      </c>
      <c r="C647" s="14" t="str">
        <f>"1300"</f>
        <v>1300</v>
      </c>
      <c r="D647" s="14" t="str">
        <f>""</f>
        <v/>
      </c>
      <c r="E647" s="14" t="s">
        <v>731</v>
      </c>
      <c r="F647" s="14" t="s">
        <v>142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69</v>
      </c>
      <c r="L647" s="14" t="s">
        <v>70</v>
      </c>
      <c r="M647" s="14" t="s">
        <v>70</v>
      </c>
      <c r="N647" s="14" t="s">
        <v>71</v>
      </c>
      <c r="P647" s="14" t="s">
        <v>701</v>
      </c>
      <c r="Q647" s="14" t="s">
        <v>25</v>
      </c>
      <c r="R647" s="14" t="s">
        <v>72</v>
      </c>
    </row>
    <row r="648" spans="1:18" s="14" customFormat="1" x14ac:dyDescent="0.25">
      <c r="A648" s="14" t="str">
        <f>"18532"</f>
        <v>18532</v>
      </c>
      <c r="B648" s="14" t="str">
        <f>"01000"</f>
        <v>01000</v>
      </c>
      <c r="C648" s="14" t="str">
        <f>"1400"</f>
        <v>1400</v>
      </c>
      <c r="D648" s="14" t="str">
        <f>""</f>
        <v/>
      </c>
      <c r="E648" s="14" t="s">
        <v>732</v>
      </c>
      <c r="F648" s="14" t="s">
        <v>44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37</v>
      </c>
      <c r="L648" s="14" t="s">
        <v>34</v>
      </c>
      <c r="P648" s="14" t="s">
        <v>701</v>
      </c>
      <c r="Q648" s="14" t="s">
        <v>25</v>
      </c>
      <c r="R648" s="14" t="s">
        <v>38</v>
      </c>
    </row>
    <row r="649" spans="1:18" s="14" customFormat="1" x14ac:dyDescent="0.25">
      <c r="A649" s="14" t="str">
        <f>"18533"</f>
        <v>18533</v>
      </c>
      <c r="B649" s="14" t="str">
        <f>"01080"</f>
        <v>01080</v>
      </c>
      <c r="C649" s="14" t="str">
        <f>"1700"</f>
        <v>1700</v>
      </c>
      <c r="D649" s="14" t="str">
        <f>""</f>
        <v/>
      </c>
      <c r="E649" s="14" t="s">
        <v>733</v>
      </c>
      <c r="F649" s="14" t="s">
        <v>61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37</v>
      </c>
      <c r="L649" s="14" t="s">
        <v>50</v>
      </c>
      <c r="P649" s="14" t="s">
        <v>701</v>
      </c>
      <c r="Q649" s="14" t="s">
        <v>25</v>
      </c>
      <c r="R649" s="14" t="s">
        <v>38</v>
      </c>
    </row>
    <row r="650" spans="1:18" s="14" customFormat="1" x14ac:dyDescent="0.25">
      <c r="A650" s="14" t="str">
        <f>"18534"</f>
        <v>18534</v>
      </c>
      <c r="B650" s="14" t="str">
        <f>"01620"</f>
        <v>01620</v>
      </c>
      <c r="C650" s="14" t="str">
        <f>"1300"</f>
        <v>1300</v>
      </c>
      <c r="D650" s="14" t="str">
        <f>""</f>
        <v/>
      </c>
      <c r="E650" s="14" t="s">
        <v>734</v>
      </c>
      <c r="F650" s="14" t="s">
        <v>140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69</v>
      </c>
      <c r="L650" s="14" t="s">
        <v>70</v>
      </c>
      <c r="M650" s="14" t="s">
        <v>71</v>
      </c>
      <c r="P650" s="14" t="s">
        <v>701</v>
      </c>
      <c r="Q650" s="14" t="s">
        <v>25</v>
      </c>
      <c r="R650" s="14" t="s">
        <v>141</v>
      </c>
    </row>
    <row r="651" spans="1:18" s="14" customFormat="1" x14ac:dyDescent="0.25">
      <c r="A651" s="14" t="str">
        <f>"18601"</f>
        <v>18601</v>
      </c>
      <c r="B651" s="14" t="str">
        <f>"03100"</f>
        <v>03100</v>
      </c>
      <c r="C651" s="14" t="str">
        <f>"1800"</f>
        <v>1800</v>
      </c>
      <c r="D651" s="14" t="str">
        <f>""</f>
        <v/>
      </c>
      <c r="E651" s="14" t="s">
        <v>735</v>
      </c>
      <c r="F651" s="14" t="s">
        <v>736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226</v>
      </c>
      <c r="L651" s="14" t="s">
        <v>228</v>
      </c>
      <c r="P651" s="14" t="s">
        <v>260</v>
      </c>
      <c r="Q651" s="14" t="s">
        <v>25</v>
      </c>
      <c r="R651" s="14" t="s">
        <v>229</v>
      </c>
    </row>
    <row r="652" spans="1:18" s="14" customFormat="1" x14ac:dyDescent="0.25">
      <c r="A652" s="14" t="str">
        <f>"18602"</f>
        <v>18602</v>
      </c>
      <c r="B652" s="14" t="str">
        <f>"01545"</f>
        <v>01545</v>
      </c>
      <c r="C652" s="14" t="str">
        <f>"1800"</f>
        <v>1800</v>
      </c>
      <c r="D652" s="14" t="str">
        <f>""</f>
        <v/>
      </c>
      <c r="E652" s="14" t="s">
        <v>737</v>
      </c>
      <c r="F652" s="14" t="s">
        <v>133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69</v>
      </c>
      <c r="L652" s="14" t="s">
        <v>70</v>
      </c>
      <c r="M652" s="14" t="s">
        <v>71</v>
      </c>
      <c r="P652" s="14" t="s">
        <v>31</v>
      </c>
      <c r="Q652" s="14" t="s">
        <v>25</v>
      </c>
      <c r="R652" s="14" t="s">
        <v>72</v>
      </c>
    </row>
    <row r="653" spans="1:18" s="14" customFormat="1" x14ac:dyDescent="0.25">
      <c r="A653" s="14" t="str">
        <f>"18603"</f>
        <v>18603</v>
      </c>
      <c r="B653" s="14" t="str">
        <f>"01000"</f>
        <v>01000</v>
      </c>
      <c r="C653" s="14" t="str">
        <f>"1800"</f>
        <v>1800</v>
      </c>
      <c r="D653" s="14" t="str">
        <f>"18603"</f>
        <v>18603</v>
      </c>
      <c r="E653" s="14" t="s">
        <v>738</v>
      </c>
      <c r="F653" s="14" t="s">
        <v>44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37</v>
      </c>
      <c r="L653" s="14" t="s">
        <v>34</v>
      </c>
      <c r="P653" s="14" t="s">
        <v>39</v>
      </c>
      <c r="Q653" s="14" t="s">
        <v>25</v>
      </c>
      <c r="R653" s="14" t="s">
        <v>38</v>
      </c>
    </row>
    <row r="654" spans="1:18" s="14" customFormat="1" x14ac:dyDescent="0.25">
      <c r="A654" s="14" t="str">
        <f>"18605"</f>
        <v>18605</v>
      </c>
      <c r="B654" s="14" t="str">
        <f>"05160"</f>
        <v>05160</v>
      </c>
      <c r="C654" s="14" t="str">
        <f>"1800"</f>
        <v>1800</v>
      </c>
      <c r="D654" s="14" t="str">
        <f>""</f>
        <v/>
      </c>
      <c r="E654" s="14" t="s">
        <v>739</v>
      </c>
      <c r="F654" s="14" t="s">
        <v>406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318</v>
      </c>
      <c r="L654" s="14" t="s">
        <v>319</v>
      </c>
      <c r="M654" s="14" t="s">
        <v>90</v>
      </c>
      <c r="P654" s="14" t="s">
        <v>260</v>
      </c>
      <c r="Q654" s="14" t="s">
        <v>25</v>
      </c>
      <c r="R654" s="14" t="s">
        <v>318</v>
      </c>
    </row>
    <row r="655" spans="1:18" s="14" customFormat="1" x14ac:dyDescent="0.25">
      <c r="A655" s="14" t="str">
        <f>"18606"</f>
        <v>18606</v>
      </c>
      <c r="B655" s="14" t="str">
        <f>"05160"</f>
        <v>05160</v>
      </c>
      <c r="C655" s="14" t="str">
        <f>"1800"</f>
        <v>1800</v>
      </c>
      <c r="D655" s="14" t="str">
        <f>""</f>
        <v/>
      </c>
      <c r="E655" s="14" t="s">
        <v>740</v>
      </c>
      <c r="F655" s="14" t="s">
        <v>406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318</v>
      </c>
      <c r="L655" s="14" t="s">
        <v>319</v>
      </c>
      <c r="M655" s="14" t="s">
        <v>90</v>
      </c>
      <c r="P655" s="14" t="s">
        <v>260</v>
      </c>
      <c r="Q655" s="14" t="s">
        <v>25</v>
      </c>
      <c r="R655" s="14" t="s">
        <v>318</v>
      </c>
    </row>
    <row r="656" spans="1:18" s="14" customFormat="1" x14ac:dyDescent="0.25">
      <c r="A656" s="14" t="str">
        <f>"18608"</f>
        <v>18608</v>
      </c>
      <c r="B656" s="14" t="str">
        <f>"05080"</f>
        <v>05080</v>
      </c>
      <c r="C656" s="14" t="str">
        <f>"1800"</f>
        <v>1800</v>
      </c>
      <c r="D656" s="14" t="str">
        <f>""</f>
        <v/>
      </c>
      <c r="E656" s="14" t="s">
        <v>741</v>
      </c>
      <c r="F656" s="14" t="s">
        <v>385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386</v>
      </c>
      <c r="L656" s="14" t="s">
        <v>47</v>
      </c>
      <c r="M656" s="14" t="s">
        <v>387</v>
      </c>
      <c r="P656" s="14" t="s">
        <v>31</v>
      </c>
      <c r="Q656" s="14" t="s">
        <v>25</v>
      </c>
      <c r="R656" s="14" t="s">
        <v>388</v>
      </c>
    </row>
    <row r="657" spans="1:18" s="14" customFormat="1" x14ac:dyDescent="0.25">
      <c r="A657" s="14" t="str">
        <f>"18609"</f>
        <v>18609</v>
      </c>
      <c r="B657" s="14" t="str">
        <f>"05150"</f>
        <v>05150</v>
      </c>
      <c r="C657" s="14" t="str">
        <f>"1800"</f>
        <v>1800</v>
      </c>
      <c r="D657" s="14" t="str">
        <f>""</f>
        <v/>
      </c>
      <c r="E657" s="14" t="s">
        <v>742</v>
      </c>
      <c r="F657" s="14" t="s">
        <v>402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404</v>
      </c>
      <c r="L657" s="14" t="s">
        <v>405</v>
      </c>
      <c r="P657" s="14" t="s">
        <v>39</v>
      </c>
      <c r="Q657" s="14" t="s">
        <v>25</v>
      </c>
      <c r="R657" s="14" t="s">
        <v>403</v>
      </c>
    </row>
    <row r="658" spans="1:18" s="14" customFormat="1" x14ac:dyDescent="0.25">
      <c r="A658" s="14" t="str">
        <f>"18610"</f>
        <v>18610</v>
      </c>
      <c r="B658" s="14" t="str">
        <f>"02040"</f>
        <v>02040</v>
      </c>
      <c r="C658" s="14" t="str">
        <f>"1800"</f>
        <v>1800</v>
      </c>
      <c r="D658" s="14" t="str">
        <f>""</f>
        <v/>
      </c>
      <c r="E658" s="14" t="s">
        <v>743</v>
      </c>
      <c r="F658" s="14" t="s">
        <v>195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193</v>
      </c>
      <c r="L658" s="14" t="s">
        <v>196</v>
      </c>
      <c r="M658" s="14" t="s">
        <v>25</v>
      </c>
      <c r="P658" s="14" t="s">
        <v>31</v>
      </c>
      <c r="Q658" s="14" t="s">
        <v>25</v>
      </c>
      <c r="R658" s="14" t="s">
        <v>193</v>
      </c>
    </row>
    <row r="659" spans="1:18" s="14" customFormat="1" x14ac:dyDescent="0.25">
      <c r="A659" s="14" t="str">
        <f>"18611"</f>
        <v>18611</v>
      </c>
      <c r="B659" s="14" t="str">
        <f>"03050"</f>
        <v>03050</v>
      </c>
      <c r="C659" s="14" t="str">
        <f>"1800"</f>
        <v>1800</v>
      </c>
      <c r="D659" s="14" t="str">
        <f>""</f>
        <v/>
      </c>
      <c r="E659" s="14" t="s">
        <v>744</v>
      </c>
      <c r="F659" s="14" t="s">
        <v>225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228</v>
      </c>
      <c r="P659" s="14" t="s">
        <v>260</v>
      </c>
      <c r="Q659" s="14" t="s">
        <v>25</v>
      </c>
      <c r="R659" s="14" t="s">
        <v>229</v>
      </c>
    </row>
    <row r="660" spans="1:18" s="14" customFormat="1" x14ac:dyDescent="0.25">
      <c r="A660" s="14" t="str">
        <f>"18612"</f>
        <v>18612</v>
      </c>
      <c r="B660" s="14" t="str">
        <f>"05160"</f>
        <v>05160</v>
      </c>
      <c r="C660" s="14" t="str">
        <f>"1800"</f>
        <v>1800</v>
      </c>
      <c r="D660" s="14" t="str">
        <f>""</f>
        <v/>
      </c>
      <c r="E660" s="14" t="s">
        <v>745</v>
      </c>
      <c r="F660" s="14" t="s">
        <v>406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318</v>
      </c>
      <c r="L660" s="14" t="s">
        <v>319</v>
      </c>
      <c r="M660" s="14" t="s">
        <v>90</v>
      </c>
      <c r="P660" s="14" t="s">
        <v>260</v>
      </c>
      <c r="Q660" s="14" t="s">
        <v>25</v>
      </c>
      <c r="R660" s="14" t="s">
        <v>318</v>
      </c>
    </row>
    <row r="661" spans="1:18" s="14" customFormat="1" x14ac:dyDescent="0.25">
      <c r="A661" s="14" t="str">
        <f>"18613"</f>
        <v>18613</v>
      </c>
      <c r="B661" s="14" t="str">
        <f>"05030"</f>
        <v>05030</v>
      </c>
      <c r="C661" s="14" t="str">
        <f>"1800"</f>
        <v>1800</v>
      </c>
      <c r="D661" s="14" t="str">
        <f>"18613"</f>
        <v>18613</v>
      </c>
      <c r="E661" s="14" t="s">
        <v>746</v>
      </c>
      <c r="F661" s="14" t="s">
        <v>378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377</v>
      </c>
      <c r="L661" s="14" t="s">
        <v>379</v>
      </c>
      <c r="P661" s="14" t="s">
        <v>31</v>
      </c>
      <c r="Q661" s="14" t="s">
        <v>25</v>
      </c>
      <c r="R661" s="14" t="s">
        <v>377</v>
      </c>
    </row>
    <row r="662" spans="1:18" s="14" customFormat="1" x14ac:dyDescent="0.25">
      <c r="A662" s="14" t="str">
        <f>"18614"</f>
        <v>18614</v>
      </c>
      <c r="B662" s="14" t="str">
        <f>"01400"</f>
        <v>01400</v>
      </c>
      <c r="C662" s="14" t="str">
        <f>"1800"</f>
        <v>1800</v>
      </c>
      <c r="D662" s="14" t="str">
        <f>""</f>
        <v/>
      </c>
      <c r="E662" s="14" t="s">
        <v>1922</v>
      </c>
      <c r="F662" s="14" t="s">
        <v>117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69</v>
      </c>
      <c r="L662" s="14" t="s">
        <v>70</v>
      </c>
      <c r="M662" s="14" t="s">
        <v>71</v>
      </c>
      <c r="P662" s="14" t="s">
        <v>31</v>
      </c>
      <c r="Q662" s="14" t="s">
        <v>25</v>
      </c>
      <c r="R662" s="14" t="s">
        <v>72</v>
      </c>
    </row>
    <row r="663" spans="1:18" s="14" customFormat="1" x14ac:dyDescent="0.25">
      <c r="A663" s="14" t="str">
        <f>"19005"</f>
        <v>19005</v>
      </c>
      <c r="B663" s="14" t="str">
        <f>"01820"</f>
        <v>01820</v>
      </c>
      <c r="C663" s="14" t="str">
        <f>"1200"</f>
        <v>1200</v>
      </c>
      <c r="D663" s="14" t="str">
        <f>"19005"</f>
        <v>19005</v>
      </c>
      <c r="E663" s="14" t="s">
        <v>747</v>
      </c>
      <c r="F663" s="14" t="s">
        <v>185</v>
      </c>
      <c r="G663" s="14" t="str">
        <f>"GR0019005"</f>
        <v>GR0019005</v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112</v>
      </c>
      <c r="L663" s="14" t="s">
        <v>113</v>
      </c>
      <c r="M663" s="14" t="s">
        <v>114</v>
      </c>
      <c r="O663" s="14" t="s">
        <v>748</v>
      </c>
      <c r="P663" s="14" t="s">
        <v>31</v>
      </c>
      <c r="Q663" s="14" t="s">
        <v>31</v>
      </c>
      <c r="R663" s="14" t="s">
        <v>115</v>
      </c>
    </row>
    <row r="664" spans="1:18" s="14" customFormat="1" x14ac:dyDescent="0.25">
      <c r="A664" s="14" t="str">
        <f>"19052"</f>
        <v>19052</v>
      </c>
      <c r="B664" s="14" t="str">
        <f>"01000"</f>
        <v>01000</v>
      </c>
      <c r="C664" s="14" t="str">
        <f>"1200"</f>
        <v>1200</v>
      </c>
      <c r="D664" s="14" t="str">
        <f>""</f>
        <v/>
      </c>
      <c r="E664" s="14" t="s">
        <v>749</v>
      </c>
      <c r="F664" s="14" t="s">
        <v>44</v>
      </c>
      <c r="G664" s="14" t="str">
        <f>"GR0019052"</f>
        <v>GR0019052</v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37</v>
      </c>
      <c r="L664" s="14" t="s">
        <v>34</v>
      </c>
      <c r="O664" s="14" t="s">
        <v>38</v>
      </c>
      <c r="P664" s="14" t="s">
        <v>39</v>
      </c>
      <c r="Q664" s="14" t="s">
        <v>39</v>
      </c>
      <c r="R664" s="14" t="s">
        <v>38</v>
      </c>
    </row>
    <row r="665" spans="1:18" s="14" customFormat="1" x14ac:dyDescent="0.25">
      <c r="A665" s="14" t="str">
        <f>"19109"</f>
        <v>19109</v>
      </c>
      <c r="B665" s="14" t="str">
        <f>"01630"</f>
        <v>01630</v>
      </c>
      <c r="C665" s="14" t="str">
        <f>"1300"</f>
        <v>1300</v>
      </c>
      <c r="D665" s="14" t="str">
        <f>"19109"</f>
        <v>19109</v>
      </c>
      <c r="E665" s="14" t="s">
        <v>750</v>
      </c>
      <c r="F665" s="14" t="s">
        <v>142</v>
      </c>
      <c r="G665" s="14" t="str">
        <f>"GR0019109"</f>
        <v>GR0019109</v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69</v>
      </c>
      <c r="L665" s="14" t="s">
        <v>70</v>
      </c>
      <c r="M665" s="14" t="s">
        <v>71</v>
      </c>
      <c r="O665" s="14" t="s">
        <v>751</v>
      </c>
      <c r="P665" s="14" t="s">
        <v>31</v>
      </c>
      <c r="Q665" s="14" t="s">
        <v>31</v>
      </c>
      <c r="R665" s="14" t="s">
        <v>72</v>
      </c>
    </row>
    <row r="666" spans="1:18" s="14" customFormat="1" x14ac:dyDescent="0.25">
      <c r="A666" s="14" t="str">
        <f>"19122"</f>
        <v>19122</v>
      </c>
      <c r="B666" s="14" t="str">
        <f>"01800"</f>
        <v>01800</v>
      </c>
      <c r="C666" s="14" t="str">
        <f>"1700"</f>
        <v>1700</v>
      </c>
      <c r="D666" s="14" t="str">
        <f>"19122"</f>
        <v>19122</v>
      </c>
      <c r="E666" s="14" t="s">
        <v>752</v>
      </c>
      <c r="F666" s="14" t="s">
        <v>180</v>
      </c>
      <c r="G666" s="14" t="str">
        <f>"GR0019122"</f>
        <v>GR0019122</v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113</v>
      </c>
      <c r="L666" s="14" t="s">
        <v>181</v>
      </c>
      <c r="M666" s="14" t="s">
        <v>114</v>
      </c>
      <c r="N666" s="14" t="s">
        <v>112</v>
      </c>
      <c r="O666" s="14" t="s">
        <v>753</v>
      </c>
      <c r="P666" s="14" t="s">
        <v>31</v>
      </c>
      <c r="Q666" s="14" t="s">
        <v>31</v>
      </c>
      <c r="R666" s="14" t="s">
        <v>115</v>
      </c>
    </row>
    <row r="667" spans="1:18" s="14" customFormat="1" x14ac:dyDescent="0.25">
      <c r="A667" s="14" t="str">
        <f>"19144"</f>
        <v>19144</v>
      </c>
      <c r="B667" s="14" t="str">
        <f>"01630"</f>
        <v>01630</v>
      </c>
      <c r="C667" s="14" t="str">
        <f>"1300"</f>
        <v>1300</v>
      </c>
      <c r="D667" s="14" t="str">
        <f>"19144"</f>
        <v>19144</v>
      </c>
      <c r="E667" s="14" t="s">
        <v>754</v>
      </c>
      <c r="F667" s="14" t="s">
        <v>142</v>
      </c>
      <c r="G667" s="14" t="str">
        <f>"GR0019144"</f>
        <v>GR0019144</v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69</v>
      </c>
      <c r="L667" s="14" t="s">
        <v>70</v>
      </c>
      <c r="M667" s="14" t="s">
        <v>71</v>
      </c>
      <c r="O667" s="14" t="s">
        <v>755</v>
      </c>
      <c r="P667" s="14" t="s">
        <v>31</v>
      </c>
      <c r="Q667" s="14" t="s">
        <v>31</v>
      </c>
      <c r="R667" s="14" t="s">
        <v>72</v>
      </c>
    </row>
    <row r="668" spans="1:18" s="14" customFormat="1" x14ac:dyDescent="0.25">
      <c r="A668" s="14" t="str">
        <f>"19184"</f>
        <v>19184</v>
      </c>
      <c r="B668" s="14" t="str">
        <f>"01320"</f>
        <v>01320</v>
      </c>
      <c r="C668" s="14" t="str">
        <f>"1200"</f>
        <v>1200</v>
      </c>
      <c r="D668" s="14" t="str">
        <f>"19184"</f>
        <v>19184</v>
      </c>
      <c r="E668" s="14" t="s">
        <v>756</v>
      </c>
      <c r="F668" s="14" t="s">
        <v>103</v>
      </c>
      <c r="G668" s="14" t="str">
        <f>"GR0019184"</f>
        <v>GR0019184</v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48</v>
      </c>
      <c r="L668" s="14" t="s">
        <v>97</v>
      </c>
      <c r="M668" s="14" t="s">
        <v>98</v>
      </c>
      <c r="O668" s="14" t="s">
        <v>757</v>
      </c>
      <c r="P668" s="14" t="s">
        <v>39</v>
      </c>
      <c r="Q668" s="14" t="s">
        <v>39</v>
      </c>
      <c r="R668" s="14" t="s">
        <v>49</v>
      </c>
    </row>
    <row r="669" spans="1:18" s="14" customFormat="1" x14ac:dyDescent="0.25">
      <c r="A669" s="14" t="str">
        <f>"19200"</f>
        <v>19200</v>
      </c>
      <c r="B669" s="14" t="str">
        <f>"01670"</f>
        <v>01670</v>
      </c>
      <c r="C669" s="14" t="str">
        <f>"1300"</f>
        <v>1300</v>
      </c>
      <c r="D669" s="14" t="str">
        <f>"19200"</f>
        <v>19200</v>
      </c>
      <c r="E669" s="14" t="s">
        <v>758</v>
      </c>
      <c r="F669" s="14" t="s">
        <v>151</v>
      </c>
      <c r="G669" s="14" t="str">
        <f>"GR0019200"</f>
        <v>GR0019200</v>
      </c>
      <c r="H669" s="14" t="str">
        <f>" 10"</f>
        <v xml:space="preserve"> 10</v>
      </c>
      <c r="I669" s="14">
        <v>0.01</v>
      </c>
      <c r="J669" s="14">
        <v>500</v>
      </c>
      <c r="K669" s="14" t="s">
        <v>146</v>
      </c>
      <c r="L669" s="14" t="s">
        <v>147</v>
      </c>
      <c r="O669" s="14" t="s">
        <v>759</v>
      </c>
      <c r="P669" s="14" t="s">
        <v>39</v>
      </c>
      <c r="Q669" s="14" t="s">
        <v>39</v>
      </c>
      <c r="R669" s="14" t="s">
        <v>146</v>
      </c>
    </row>
    <row r="670" spans="1:18" s="14" customFormat="1" x14ac:dyDescent="0.25">
      <c r="A670" s="14" t="str">
        <f>"19200"</f>
        <v>19200</v>
      </c>
      <c r="B670" s="14" t="str">
        <f>"01670"</f>
        <v>01670</v>
      </c>
      <c r="C670" s="14" t="str">
        <f>"1300"</f>
        <v>1300</v>
      </c>
      <c r="D670" s="14" t="str">
        <f>"19200"</f>
        <v>19200</v>
      </c>
      <c r="E670" s="14" t="s">
        <v>758</v>
      </c>
      <c r="F670" s="14" t="s">
        <v>151</v>
      </c>
      <c r="G670" s="14" t="str">
        <f>"GR0019200"</f>
        <v>GR0019200</v>
      </c>
      <c r="H670" s="14" t="str">
        <f>" 20"</f>
        <v xml:space="preserve"> 20</v>
      </c>
      <c r="I670" s="14">
        <v>500.01</v>
      </c>
      <c r="J670" s="14">
        <v>9999999.9900000002</v>
      </c>
      <c r="K670" s="14" t="s">
        <v>147</v>
      </c>
      <c r="L670" s="14" t="s">
        <v>148</v>
      </c>
      <c r="O670" s="14" t="s">
        <v>759</v>
      </c>
      <c r="P670" s="14" t="s">
        <v>39</v>
      </c>
      <c r="Q670" s="14" t="s">
        <v>39</v>
      </c>
      <c r="R670" s="14" t="s">
        <v>146</v>
      </c>
    </row>
    <row r="671" spans="1:18" s="14" customFormat="1" x14ac:dyDescent="0.25">
      <c r="A671" s="14" t="str">
        <f>"19234"</f>
        <v>19234</v>
      </c>
      <c r="B671" s="14" t="str">
        <f>"01630"</f>
        <v>01630</v>
      </c>
      <c r="C671" s="14" t="str">
        <f>"1300"</f>
        <v>1300</v>
      </c>
      <c r="D671" s="14" t="str">
        <f>"19234"</f>
        <v>19234</v>
      </c>
      <c r="E671" s="14" t="s">
        <v>760</v>
      </c>
      <c r="F671" s="14" t="s">
        <v>142</v>
      </c>
      <c r="G671" s="14" t="str">
        <f>"GR0019234"</f>
        <v>GR0019234</v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69</v>
      </c>
      <c r="L671" s="14" t="s">
        <v>70</v>
      </c>
      <c r="M671" s="14" t="s">
        <v>71</v>
      </c>
      <c r="P671" s="14" t="s">
        <v>31</v>
      </c>
      <c r="Q671" s="14" t="s">
        <v>31</v>
      </c>
      <c r="R671" s="14" t="s">
        <v>72</v>
      </c>
    </row>
    <row r="672" spans="1:18" s="14" customFormat="1" x14ac:dyDescent="0.25">
      <c r="A672" s="14" t="str">
        <f>"19236"</f>
        <v>19236</v>
      </c>
      <c r="B672" s="14" t="str">
        <f>"01790"</f>
        <v>01790</v>
      </c>
      <c r="C672" s="14" t="str">
        <f>"1300"</f>
        <v>1300</v>
      </c>
      <c r="D672" s="14" t="str">
        <f>"19236"</f>
        <v>19236</v>
      </c>
      <c r="E672" s="14" t="s">
        <v>761</v>
      </c>
      <c r="F672" s="14" t="s">
        <v>178</v>
      </c>
      <c r="G672" s="14" t="str">
        <f>"GR0019236"</f>
        <v>GR0019236</v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112</v>
      </c>
      <c r="L672" s="14" t="s">
        <v>179</v>
      </c>
      <c r="M672" s="14" t="s">
        <v>113</v>
      </c>
      <c r="N672" s="14" t="s">
        <v>114</v>
      </c>
      <c r="O672" s="14" t="s">
        <v>762</v>
      </c>
      <c r="P672" s="14" t="s">
        <v>31</v>
      </c>
      <c r="Q672" s="14" t="s">
        <v>31</v>
      </c>
      <c r="R672" s="14" t="s">
        <v>115</v>
      </c>
    </row>
    <row r="673" spans="1:18" s="14" customFormat="1" x14ac:dyDescent="0.25">
      <c r="A673" s="14" t="str">
        <f>"19237"</f>
        <v>19237</v>
      </c>
      <c r="B673" s="14" t="str">
        <f>"01780"</f>
        <v>01780</v>
      </c>
      <c r="C673" s="14" t="str">
        <f>"1300"</f>
        <v>1300</v>
      </c>
      <c r="D673" s="14" t="str">
        <f>"19237"</f>
        <v>19237</v>
      </c>
      <c r="E673" s="14" t="s">
        <v>763</v>
      </c>
      <c r="F673" s="14" t="s">
        <v>175</v>
      </c>
      <c r="G673" s="14" t="str">
        <f>"GR0019237"</f>
        <v>GR0019237</v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112</v>
      </c>
      <c r="L673" s="14" t="s">
        <v>113</v>
      </c>
      <c r="M673" s="14" t="s">
        <v>114</v>
      </c>
      <c r="O673" s="14" t="s">
        <v>764</v>
      </c>
      <c r="P673" s="14" t="s">
        <v>31</v>
      </c>
      <c r="Q673" s="14" t="s">
        <v>31</v>
      </c>
      <c r="R673" s="14" t="s">
        <v>115</v>
      </c>
    </row>
    <row r="674" spans="1:18" s="14" customFormat="1" x14ac:dyDescent="0.25">
      <c r="A674" s="14" t="str">
        <f>"19239"</f>
        <v>19239</v>
      </c>
      <c r="B674" s="14" t="str">
        <f>"01790"</f>
        <v>01790</v>
      </c>
      <c r="C674" s="14" t="str">
        <f>"1300"</f>
        <v>1300</v>
      </c>
      <c r="D674" s="14" t="str">
        <f>"19239"</f>
        <v>19239</v>
      </c>
      <c r="E674" s="14" t="s">
        <v>765</v>
      </c>
      <c r="F674" s="14" t="s">
        <v>178</v>
      </c>
      <c r="G674" s="14" t="str">
        <f>"GR0019239"</f>
        <v>GR0019239</v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112</v>
      </c>
      <c r="L674" s="14" t="s">
        <v>179</v>
      </c>
      <c r="M674" s="14" t="s">
        <v>113</v>
      </c>
      <c r="N674" s="14" t="s">
        <v>114</v>
      </c>
      <c r="O674" s="14" t="s">
        <v>766</v>
      </c>
      <c r="P674" s="14" t="s">
        <v>31</v>
      </c>
      <c r="Q674" s="14" t="s">
        <v>31</v>
      </c>
      <c r="R674" s="14" t="s">
        <v>115</v>
      </c>
    </row>
    <row r="675" spans="1:18" s="14" customFormat="1" x14ac:dyDescent="0.25">
      <c r="A675" s="14" t="str">
        <f>"19240"</f>
        <v>19240</v>
      </c>
      <c r="B675" s="14" t="str">
        <f>"01820"</f>
        <v>01820</v>
      </c>
      <c r="C675" s="14" t="str">
        <f>"1200"</f>
        <v>1200</v>
      </c>
      <c r="D675" s="14" t="str">
        <f>"19240"</f>
        <v>19240</v>
      </c>
      <c r="E675" s="14" t="s">
        <v>767</v>
      </c>
      <c r="F675" s="14" t="s">
        <v>185</v>
      </c>
      <c r="G675" s="14" t="str">
        <f>"GR0019240"</f>
        <v>GR0019240</v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112</v>
      </c>
      <c r="L675" s="14" t="s">
        <v>186</v>
      </c>
      <c r="M675" s="14" t="s">
        <v>113</v>
      </c>
      <c r="N675" s="14" t="s">
        <v>114</v>
      </c>
      <c r="O675" s="14" t="s">
        <v>186</v>
      </c>
      <c r="P675" s="14" t="s">
        <v>31</v>
      </c>
      <c r="Q675" s="14" t="s">
        <v>31</v>
      </c>
      <c r="R675" s="14" t="s">
        <v>115</v>
      </c>
    </row>
    <row r="676" spans="1:18" s="14" customFormat="1" x14ac:dyDescent="0.25">
      <c r="A676" s="14" t="str">
        <f>"19241"</f>
        <v>19241</v>
      </c>
      <c r="B676" s="14" t="str">
        <f>"01790"</f>
        <v>01790</v>
      </c>
      <c r="C676" s="14" t="str">
        <f>"1200"</f>
        <v>1200</v>
      </c>
      <c r="D676" s="14" t="str">
        <f>"19241"</f>
        <v>19241</v>
      </c>
      <c r="E676" s="14" t="s">
        <v>768</v>
      </c>
      <c r="F676" s="14" t="s">
        <v>178</v>
      </c>
      <c r="G676" s="14" t="str">
        <f>"GR0019241"</f>
        <v>GR0019241</v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113</v>
      </c>
      <c r="L676" s="14" t="s">
        <v>179</v>
      </c>
      <c r="M676" s="14" t="s">
        <v>114</v>
      </c>
      <c r="N676" s="14" t="s">
        <v>112</v>
      </c>
      <c r="O676" s="14" t="s">
        <v>114</v>
      </c>
      <c r="P676" s="14" t="s">
        <v>31</v>
      </c>
      <c r="Q676" s="14" t="s">
        <v>31</v>
      </c>
      <c r="R676" s="14" t="s">
        <v>115</v>
      </c>
    </row>
    <row r="677" spans="1:18" s="14" customFormat="1" x14ac:dyDescent="0.25">
      <c r="A677" s="14" t="str">
        <f>"19254"</f>
        <v>19254</v>
      </c>
      <c r="B677" s="14" t="str">
        <f>"01790"</f>
        <v>01790</v>
      </c>
      <c r="C677" s="14" t="str">
        <f>"1200"</f>
        <v>1200</v>
      </c>
      <c r="D677" s="14" t="str">
        <f>"19254"</f>
        <v>19254</v>
      </c>
      <c r="E677" s="14" t="s">
        <v>769</v>
      </c>
      <c r="F677" s="14" t="s">
        <v>178</v>
      </c>
      <c r="G677" s="14" t="str">
        <f>"GR0019254"</f>
        <v>GR0019254</v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112</v>
      </c>
      <c r="L677" s="14" t="s">
        <v>179</v>
      </c>
      <c r="M677" s="14" t="s">
        <v>114</v>
      </c>
      <c r="N677" s="14" t="s">
        <v>113</v>
      </c>
      <c r="O677" s="14" t="s">
        <v>762</v>
      </c>
      <c r="P677" s="14" t="s">
        <v>31</v>
      </c>
      <c r="Q677" s="14" t="s">
        <v>31</v>
      </c>
      <c r="R677" s="14" t="s">
        <v>115</v>
      </c>
    </row>
    <row r="678" spans="1:18" s="14" customFormat="1" x14ac:dyDescent="0.25">
      <c r="A678" s="14" t="str">
        <f>"19256"</f>
        <v>19256</v>
      </c>
      <c r="B678" s="14" t="str">
        <f>"01780"</f>
        <v>01780</v>
      </c>
      <c r="C678" s="14" t="str">
        <f>"1600"</f>
        <v>1600</v>
      </c>
      <c r="D678" s="14" t="str">
        <f>"19256"</f>
        <v>19256</v>
      </c>
      <c r="E678" s="14" t="s">
        <v>770</v>
      </c>
      <c r="F678" s="14" t="s">
        <v>175</v>
      </c>
      <c r="G678" s="14" t="str">
        <f>"GR0019256"</f>
        <v>GR0019256</v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112</v>
      </c>
      <c r="L678" s="14" t="s">
        <v>114</v>
      </c>
      <c r="M678" s="14" t="s">
        <v>113</v>
      </c>
      <c r="O678" s="14" t="s">
        <v>647</v>
      </c>
      <c r="P678" s="14" t="s">
        <v>31</v>
      </c>
      <c r="Q678" s="14" t="s">
        <v>31</v>
      </c>
      <c r="R678" s="14" t="s">
        <v>115</v>
      </c>
    </row>
    <row r="679" spans="1:18" s="14" customFormat="1" x14ac:dyDescent="0.25">
      <c r="A679" s="14" t="str">
        <f>"19259"</f>
        <v>19259</v>
      </c>
      <c r="B679" s="14" t="str">
        <f>"01820"</f>
        <v>01820</v>
      </c>
      <c r="C679" s="14" t="str">
        <f>"1200"</f>
        <v>1200</v>
      </c>
      <c r="D679" s="14" t="str">
        <f>"19259"</f>
        <v>19259</v>
      </c>
      <c r="E679" s="14" t="s">
        <v>771</v>
      </c>
      <c r="F679" s="14" t="s">
        <v>185</v>
      </c>
      <c r="G679" s="14" t="str">
        <f>"GR0019259"</f>
        <v>GR0019259</v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112</v>
      </c>
      <c r="L679" s="14" t="s">
        <v>186</v>
      </c>
      <c r="M679" s="14" t="s">
        <v>114</v>
      </c>
      <c r="N679" s="14" t="s">
        <v>113</v>
      </c>
      <c r="O679" s="14" t="s">
        <v>772</v>
      </c>
      <c r="P679" s="14" t="s">
        <v>31</v>
      </c>
      <c r="Q679" s="14" t="s">
        <v>31</v>
      </c>
      <c r="R679" s="14" t="s">
        <v>115</v>
      </c>
    </row>
    <row r="680" spans="1:18" s="14" customFormat="1" x14ac:dyDescent="0.25">
      <c r="A680" s="14" t="str">
        <f>"19262"</f>
        <v>19262</v>
      </c>
      <c r="B680" s="14" t="str">
        <f>"01810"</f>
        <v>01810</v>
      </c>
      <c r="C680" s="14" t="str">
        <f>"1200"</f>
        <v>1200</v>
      </c>
      <c r="D680" s="14" t="str">
        <f>"19262"</f>
        <v>19262</v>
      </c>
      <c r="E680" s="14" t="s">
        <v>774</v>
      </c>
      <c r="F680" s="14" t="s">
        <v>183</v>
      </c>
      <c r="G680" s="14" t="str">
        <f>"GR0019262"</f>
        <v>GR0019262</v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184</v>
      </c>
      <c r="L680" s="14" t="s">
        <v>112</v>
      </c>
      <c r="M680" s="14" t="s">
        <v>113</v>
      </c>
      <c r="N680" s="14" t="s">
        <v>114</v>
      </c>
      <c r="O680" s="14" t="s">
        <v>775</v>
      </c>
      <c r="P680" s="14" t="s">
        <v>31</v>
      </c>
      <c r="Q680" s="14" t="s">
        <v>31</v>
      </c>
      <c r="R680" s="14" t="s">
        <v>115</v>
      </c>
    </row>
    <row r="681" spans="1:18" s="14" customFormat="1" x14ac:dyDescent="0.25">
      <c r="A681" s="14" t="str">
        <f>"19265"</f>
        <v>19265</v>
      </c>
      <c r="B681" s="14" t="str">
        <f>"01710"</f>
        <v>01710</v>
      </c>
      <c r="C681" s="14" t="str">
        <f>"1300"</f>
        <v>1300</v>
      </c>
      <c r="D681" s="14" t="str">
        <f>"19265"</f>
        <v>19265</v>
      </c>
      <c r="E681" s="14" t="s">
        <v>776</v>
      </c>
      <c r="F681" s="14" t="s">
        <v>161</v>
      </c>
      <c r="G681" s="14" t="str">
        <f>"GR0019265"</f>
        <v>GR0019265</v>
      </c>
      <c r="H681" s="14" t="str">
        <f>" 10"</f>
        <v xml:space="preserve"> 10</v>
      </c>
      <c r="I681" s="14">
        <v>0.01</v>
      </c>
      <c r="J681" s="14">
        <v>500</v>
      </c>
      <c r="K681" s="14" t="s">
        <v>146</v>
      </c>
      <c r="L681" s="14" t="s">
        <v>162</v>
      </c>
      <c r="O681" s="14" t="s">
        <v>777</v>
      </c>
      <c r="P681" s="14" t="s">
        <v>39</v>
      </c>
      <c r="Q681" s="14" t="s">
        <v>39</v>
      </c>
      <c r="R681" s="14" t="s">
        <v>146</v>
      </c>
    </row>
    <row r="682" spans="1:18" s="14" customFormat="1" x14ac:dyDescent="0.25">
      <c r="A682" s="14" t="str">
        <f>"19265"</f>
        <v>19265</v>
      </c>
      <c r="B682" s="14" t="str">
        <f>"01710"</f>
        <v>01710</v>
      </c>
      <c r="C682" s="14" t="str">
        <f>"1300"</f>
        <v>1300</v>
      </c>
      <c r="D682" s="14" t="str">
        <f>"19265"</f>
        <v>19265</v>
      </c>
      <c r="E682" s="14" t="s">
        <v>776</v>
      </c>
      <c r="F682" s="14" t="s">
        <v>161</v>
      </c>
      <c r="G682" s="14" t="str">
        <f>"GR0019265"</f>
        <v>GR0019265</v>
      </c>
      <c r="H682" s="14" t="str">
        <f>" 20"</f>
        <v xml:space="preserve"> 20</v>
      </c>
      <c r="I682" s="14">
        <v>500.01</v>
      </c>
      <c r="J682" s="14">
        <v>9999999.9900000002</v>
      </c>
      <c r="K682" s="14" t="s">
        <v>162</v>
      </c>
      <c r="L682" s="14" t="s">
        <v>147</v>
      </c>
      <c r="M682" s="14" t="s">
        <v>154</v>
      </c>
      <c r="O682" s="14" t="s">
        <v>777</v>
      </c>
      <c r="P682" s="14" t="s">
        <v>39</v>
      </c>
      <c r="Q682" s="14" t="s">
        <v>39</v>
      </c>
      <c r="R682" s="14" t="s">
        <v>146</v>
      </c>
    </row>
    <row r="683" spans="1:18" s="14" customFormat="1" x14ac:dyDescent="0.25">
      <c r="A683" s="14" t="str">
        <f>"19267"</f>
        <v>19267</v>
      </c>
      <c r="B683" s="14" t="str">
        <f>"01550"</f>
        <v>01550</v>
      </c>
      <c r="C683" s="14" t="str">
        <f>"1200"</f>
        <v>1200</v>
      </c>
      <c r="D683" s="14" t="str">
        <f>"19267"</f>
        <v>19267</v>
      </c>
      <c r="E683" s="14" t="s">
        <v>778</v>
      </c>
      <c r="F683" s="14" t="s">
        <v>134</v>
      </c>
      <c r="G683" s="14" t="str">
        <f>"GR0019267"</f>
        <v>GR0019267</v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69</v>
      </c>
      <c r="L683" s="14" t="s">
        <v>70</v>
      </c>
      <c r="M683" s="14" t="s">
        <v>71</v>
      </c>
      <c r="O683" s="14" t="s">
        <v>779</v>
      </c>
      <c r="P683" s="14" t="s">
        <v>31</v>
      </c>
      <c r="Q683" s="14" t="s">
        <v>31</v>
      </c>
      <c r="R683" s="14" t="s">
        <v>72</v>
      </c>
    </row>
    <row r="684" spans="1:18" s="14" customFormat="1" x14ac:dyDescent="0.25">
      <c r="A684" s="14" t="str">
        <f>"19270"</f>
        <v>19270</v>
      </c>
      <c r="B684" s="14" t="str">
        <f>"01760"</f>
        <v>01760</v>
      </c>
      <c r="C684" s="14" t="str">
        <f>"1300"</f>
        <v>1300</v>
      </c>
      <c r="D684" s="14" t="str">
        <f>"19270"</f>
        <v>19270</v>
      </c>
      <c r="E684" s="14" t="s">
        <v>780</v>
      </c>
      <c r="F684" s="14" t="s">
        <v>168</v>
      </c>
      <c r="G684" s="14" t="str">
        <f>"GR0019270"</f>
        <v>GR0019270</v>
      </c>
      <c r="H684" s="14" t="str">
        <f>" 10"</f>
        <v xml:space="preserve"> 10</v>
      </c>
      <c r="I684" s="14">
        <v>0.01</v>
      </c>
      <c r="J684" s="14">
        <v>500</v>
      </c>
      <c r="K684" s="14" t="s">
        <v>146</v>
      </c>
      <c r="L684" s="14" t="s">
        <v>169</v>
      </c>
      <c r="O684" s="14" t="s">
        <v>781</v>
      </c>
      <c r="P684" s="14" t="s">
        <v>39</v>
      </c>
      <c r="Q684" s="14" t="s">
        <v>39</v>
      </c>
      <c r="R684" s="14" t="s">
        <v>146</v>
      </c>
    </row>
    <row r="685" spans="1:18" s="14" customFormat="1" x14ac:dyDescent="0.25">
      <c r="A685" s="14" t="str">
        <f>"19270"</f>
        <v>19270</v>
      </c>
      <c r="B685" s="14" t="str">
        <f>"01760"</f>
        <v>01760</v>
      </c>
      <c r="C685" s="14" t="str">
        <f>"1300"</f>
        <v>1300</v>
      </c>
      <c r="D685" s="14" t="str">
        <f>"19270"</f>
        <v>19270</v>
      </c>
      <c r="E685" s="14" t="s">
        <v>780</v>
      </c>
      <c r="F685" s="14" t="s">
        <v>168</v>
      </c>
      <c r="G685" s="14" t="str">
        <f>"GR0019270"</f>
        <v>GR0019270</v>
      </c>
      <c r="H685" s="14" t="str">
        <f>" 20"</f>
        <v xml:space="preserve"> 20</v>
      </c>
      <c r="I685" s="14">
        <v>500.01</v>
      </c>
      <c r="J685" s="14">
        <v>9999999.9900000002</v>
      </c>
      <c r="K685" s="14" t="s">
        <v>169</v>
      </c>
      <c r="L685" s="14" t="s">
        <v>147</v>
      </c>
      <c r="M685" s="14" t="s">
        <v>154</v>
      </c>
      <c r="O685" s="14" t="s">
        <v>781</v>
      </c>
      <c r="P685" s="14" t="s">
        <v>39</v>
      </c>
      <c r="Q685" s="14" t="s">
        <v>39</v>
      </c>
      <c r="R685" s="14" t="s">
        <v>146</v>
      </c>
    </row>
    <row r="686" spans="1:18" s="14" customFormat="1" x14ac:dyDescent="0.25">
      <c r="A686" s="14" t="str">
        <f>"19271"</f>
        <v>19271</v>
      </c>
      <c r="B686" s="14" t="str">
        <f>"01790"</f>
        <v>01790</v>
      </c>
      <c r="C686" s="14" t="str">
        <f>"1200"</f>
        <v>1200</v>
      </c>
      <c r="D686" s="14" t="str">
        <f>"19271"</f>
        <v>19271</v>
      </c>
      <c r="E686" s="14" t="s">
        <v>782</v>
      </c>
      <c r="F686" s="14" t="s">
        <v>178</v>
      </c>
      <c r="G686" s="14" t="str">
        <f>"GR0019271"</f>
        <v>GR0019271</v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179</v>
      </c>
      <c r="L686" s="14" t="s">
        <v>112</v>
      </c>
      <c r="M686" s="14" t="s">
        <v>113</v>
      </c>
      <c r="N686" s="14" t="s">
        <v>114</v>
      </c>
      <c r="O686" s="14" t="s">
        <v>762</v>
      </c>
      <c r="P686" s="14" t="s">
        <v>31</v>
      </c>
      <c r="Q686" s="14" t="s">
        <v>31</v>
      </c>
      <c r="R686" s="14" t="s">
        <v>115</v>
      </c>
    </row>
    <row r="687" spans="1:18" s="14" customFormat="1" x14ac:dyDescent="0.25">
      <c r="A687" s="14" t="str">
        <f>"19274"</f>
        <v>19274</v>
      </c>
      <c r="B687" s="14" t="str">
        <f>"01550"</f>
        <v>01550</v>
      </c>
      <c r="C687" s="14" t="str">
        <f>"1300"</f>
        <v>1300</v>
      </c>
      <c r="D687" s="14" t="str">
        <f>"19274"</f>
        <v>19274</v>
      </c>
      <c r="E687" s="14" t="s">
        <v>783</v>
      </c>
      <c r="F687" s="14" t="s">
        <v>134</v>
      </c>
      <c r="G687" s="14" t="str">
        <f>"GR0019274"</f>
        <v>GR0019274</v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69</v>
      </c>
      <c r="L687" s="14" t="s">
        <v>70</v>
      </c>
      <c r="M687" s="14" t="s">
        <v>71</v>
      </c>
      <c r="O687" s="14" t="s">
        <v>779</v>
      </c>
      <c r="P687" s="14" t="s">
        <v>31</v>
      </c>
      <c r="Q687" s="14" t="s">
        <v>31</v>
      </c>
      <c r="R687" s="14" t="s">
        <v>72</v>
      </c>
    </row>
    <row r="688" spans="1:18" s="14" customFormat="1" x14ac:dyDescent="0.25">
      <c r="A688" s="14" t="str">
        <f>"19275"</f>
        <v>19275</v>
      </c>
      <c r="B688" s="14" t="str">
        <f>"01500"</f>
        <v>01500</v>
      </c>
      <c r="C688" s="14" t="str">
        <f>"1300"</f>
        <v>1300</v>
      </c>
      <c r="D688" s="14" t="str">
        <f>"19275"</f>
        <v>19275</v>
      </c>
      <c r="E688" s="14" t="s">
        <v>784</v>
      </c>
      <c r="F688" s="14" t="s">
        <v>130</v>
      </c>
      <c r="G688" s="14" t="str">
        <f>"GR0019275"</f>
        <v>GR0019275</v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69</v>
      </c>
      <c r="L688" s="14" t="s">
        <v>70</v>
      </c>
      <c r="M688" s="14" t="s">
        <v>71</v>
      </c>
      <c r="O688" s="14" t="s">
        <v>785</v>
      </c>
      <c r="P688" s="14" t="s">
        <v>31</v>
      </c>
      <c r="Q688" s="14" t="s">
        <v>31</v>
      </c>
      <c r="R688" s="14" t="s">
        <v>72</v>
      </c>
    </row>
    <row r="689" spans="1:18" s="14" customFormat="1" x14ac:dyDescent="0.25">
      <c r="A689" s="14" t="str">
        <f>"19276"</f>
        <v>19276</v>
      </c>
      <c r="B689" s="14" t="str">
        <f>"01800"</f>
        <v>01800</v>
      </c>
      <c r="C689" s="14" t="str">
        <f>"1300"</f>
        <v>1300</v>
      </c>
      <c r="D689" s="14" t="str">
        <f>"19276"</f>
        <v>19276</v>
      </c>
      <c r="E689" s="14" t="s">
        <v>786</v>
      </c>
      <c r="F689" s="14" t="s">
        <v>180</v>
      </c>
      <c r="G689" s="14" t="str">
        <f>"GR0019276"</f>
        <v>GR0019276</v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181</v>
      </c>
      <c r="L689" s="14" t="s">
        <v>112</v>
      </c>
      <c r="M689" s="14" t="s">
        <v>113</v>
      </c>
      <c r="N689" s="14" t="s">
        <v>114</v>
      </c>
      <c r="O689" s="14" t="s">
        <v>787</v>
      </c>
      <c r="P689" s="14" t="s">
        <v>31</v>
      </c>
      <c r="Q689" s="14" t="s">
        <v>31</v>
      </c>
      <c r="R689" s="14" t="s">
        <v>115</v>
      </c>
    </row>
    <row r="690" spans="1:18" s="14" customFormat="1" x14ac:dyDescent="0.25">
      <c r="A690" s="14" t="str">
        <f>"19277"</f>
        <v>19277</v>
      </c>
      <c r="B690" s="14" t="str">
        <f>"01800"</f>
        <v>01800</v>
      </c>
      <c r="C690" s="14" t="str">
        <f>"1300"</f>
        <v>1300</v>
      </c>
      <c r="D690" s="14" t="str">
        <f>"19277"</f>
        <v>19277</v>
      </c>
      <c r="E690" s="14" t="s">
        <v>788</v>
      </c>
      <c r="F690" s="14" t="s">
        <v>180</v>
      </c>
      <c r="G690" s="14" t="str">
        <f>"GR0019277"</f>
        <v>GR0019277</v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181</v>
      </c>
      <c r="L690" s="14" t="s">
        <v>112</v>
      </c>
      <c r="M690" s="14" t="s">
        <v>113</v>
      </c>
      <c r="N690" s="14" t="s">
        <v>114</v>
      </c>
      <c r="O690" s="14" t="s">
        <v>789</v>
      </c>
      <c r="P690" s="14" t="s">
        <v>31</v>
      </c>
      <c r="Q690" s="14" t="s">
        <v>31</v>
      </c>
      <c r="R690" s="14" t="s">
        <v>115</v>
      </c>
    </row>
    <row r="691" spans="1:18" s="14" customFormat="1" x14ac:dyDescent="0.25">
      <c r="A691" s="14" t="str">
        <f>"19278"</f>
        <v>19278</v>
      </c>
      <c r="B691" s="14" t="str">
        <f>"01390"</f>
        <v>01390</v>
      </c>
      <c r="C691" s="14" t="str">
        <f>"1300"</f>
        <v>1300</v>
      </c>
      <c r="D691" s="14" t="str">
        <f>"19278"</f>
        <v>19278</v>
      </c>
      <c r="E691" s="14" t="s">
        <v>790</v>
      </c>
      <c r="F691" s="14" t="s">
        <v>116</v>
      </c>
      <c r="G691" s="14" t="str">
        <f>"GR0019278"</f>
        <v>GR0019278</v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112</v>
      </c>
      <c r="L691" s="14" t="s">
        <v>113</v>
      </c>
      <c r="M691" s="14" t="s">
        <v>114</v>
      </c>
      <c r="O691" s="14" t="s">
        <v>791</v>
      </c>
      <c r="P691" s="14" t="s">
        <v>31</v>
      </c>
      <c r="Q691" s="14" t="s">
        <v>31</v>
      </c>
      <c r="R691" s="14" t="s">
        <v>115</v>
      </c>
    </row>
    <row r="692" spans="1:18" s="14" customFormat="1" x14ac:dyDescent="0.25">
      <c r="A692" s="14" t="str">
        <f>"19279"</f>
        <v>19279</v>
      </c>
      <c r="B692" s="14" t="str">
        <f>"01820"</f>
        <v>01820</v>
      </c>
      <c r="C692" s="14" t="str">
        <f>"1300"</f>
        <v>1300</v>
      </c>
      <c r="D692" s="14" t="str">
        <f>"19279"</f>
        <v>19279</v>
      </c>
      <c r="E692" s="14" t="s">
        <v>792</v>
      </c>
      <c r="F692" s="14" t="s">
        <v>185</v>
      </c>
      <c r="G692" s="14" t="str">
        <f>"GR0019279"</f>
        <v>GR0019279</v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112</v>
      </c>
      <c r="L692" s="14" t="s">
        <v>113</v>
      </c>
      <c r="M692" s="14" t="s">
        <v>114</v>
      </c>
      <c r="O692" s="14" t="s">
        <v>186</v>
      </c>
      <c r="P692" s="14" t="s">
        <v>31</v>
      </c>
      <c r="Q692" s="14" t="s">
        <v>31</v>
      </c>
      <c r="R692" s="14" t="s">
        <v>115</v>
      </c>
    </row>
    <row r="693" spans="1:18" s="14" customFormat="1" x14ac:dyDescent="0.25">
      <c r="A693" s="14" t="str">
        <f>"19280"</f>
        <v>19280</v>
      </c>
      <c r="B693" s="14" t="str">
        <f>"01780"</f>
        <v>01780</v>
      </c>
      <c r="C693" s="14" t="str">
        <f>"1300"</f>
        <v>1300</v>
      </c>
      <c r="D693" s="14" t="str">
        <f>"19280"</f>
        <v>19280</v>
      </c>
      <c r="E693" s="14" t="s">
        <v>793</v>
      </c>
      <c r="F693" s="14" t="s">
        <v>175</v>
      </c>
      <c r="G693" s="14" t="str">
        <f>"GR0019280"</f>
        <v>GR0019280</v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112</v>
      </c>
      <c r="L693" s="14" t="s">
        <v>113</v>
      </c>
      <c r="M693" s="14" t="s">
        <v>114</v>
      </c>
      <c r="O693" s="14" t="s">
        <v>794</v>
      </c>
      <c r="P693" s="14" t="s">
        <v>31</v>
      </c>
      <c r="Q693" s="14" t="s">
        <v>31</v>
      </c>
      <c r="R693" s="14" t="s">
        <v>115</v>
      </c>
    </row>
    <row r="694" spans="1:18" s="14" customFormat="1" x14ac:dyDescent="0.25">
      <c r="A694" s="14" t="str">
        <f>"19281"</f>
        <v>19281</v>
      </c>
      <c r="B694" s="14" t="str">
        <f>"01645"</f>
        <v>01645</v>
      </c>
      <c r="C694" s="14" t="str">
        <f>"1300"</f>
        <v>1300</v>
      </c>
      <c r="D694" s="14" t="str">
        <f>"19281"</f>
        <v>19281</v>
      </c>
      <c r="E694" s="14" t="s">
        <v>795</v>
      </c>
      <c r="F694" s="14" t="s">
        <v>144</v>
      </c>
      <c r="G694" s="14" t="str">
        <f>"GR0019281"</f>
        <v>GR0019281</v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69</v>
      </c>
      <c r="L694" s="14" t="s">
        <v>70</v>
      </c>
      <c r="M694" s="14" t="s">
        <v>796</v>
      </c>
      <c r="O694" s="14" t="s">
        <v>797</v>
      </c>
      <c r="P694" s="14" t="s">
        <v>31</v>
      </c>
      <c r="Q694" s="14" t="s">
        <v>31</v>
      </c>
      <c r="R694" s="14" t="s">
        <v>72</v>
      </c>
    </row>
    <row r="695" spans="1:18" s="14" customFormat="1" x14ac:dyDescent="0.25">
      <c r="A695" s="14" t="str">
        <f>"19282"</f>
        <v>19282</v>
      </c>
      <c r="B695" s="14" t="str">
        <f>"01645"</f>
        <v>01645</v>
      </c>
      <c r="C695" s="14" t="str">
        <f>"1300"</f>
        <v>1300</v>
      </c>
      <c r="D695" s="14" t="str">
        <f>"19282"</f>
        <v>19282</v>
      </c>
      <c r="E695" s="14" t="s">
        <v>798</v>
      </c>
      <c r="F695" s="14" t="s">
        <v>144</v>
      </c>
      <c r="G695" s="14" t="str">
        <f>"GR0019282"</f>
        <v>GR0019282</v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69</v>
      </c>
      <c r="L695" s="14" t="s">
        <v>70</v>
      </c>
      <c r="M695" s="14" t="s">
        <v>71</v>
      </c>
      <c r="O695" s="14" t="s">
        <v>799</v>
      </c>
      <c r="P695" s="14" t="s">
        <v>31</v>
      </c>
      <c r="Q695" s="14" t="s">
        <v>31</v>
      </c>
      <c r="R695" s="14" t="s">
        <v>72</v>
      </c>
    </row>
    <row r="696" spans="1:18" s="14" customFormat="1" x14ac:dyDescent="0.25">
      <c r="A696" s="14" t="str">
        <f>"19283"</f>
        <v>19283</v>
      </c>
      <c r="B696" s="14" t="str">
        <f>"01550"</f>
        <v>01550</v>
      </c>
      <c r="C696" s="14" t="str">
        <f>"1300"</f>
        <v>1300</v>
      </c>
      <c r="D696" s="14" t="str">
        <f>"19283"</f>
        <v>19283</v>
      </c>
      <c r="E696" s="14" t="s">
        <v>800</v>
      </c>
      <c r="F696" s="14" t="s">
        <v>134</v>
      </c>
      <c r="G696" s="14" t="str">
        <f>"GR0019283"</f>
        <v>GR0019283</v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69</v>
      </c>
      <c r="L696" s="14" t="s">
        <v>70</v>
      </c>
      <c r="M696" s="14" t="s">
        <v>71</v>
      </c>
      <c r="O696" s="14" t="s">
        <v>801</v>
      </c>
      <c r="P696" s="14" t="s">
        <v>31</v>
      </c>
      <c r="Q696" s="14" t="s">
        <v>31</v>
      </c>
      <c r="R696" s="14" t="s">
        <v>72</v>
      </c>
    </row>
    <row r="697" spans="1:18" s="14" customFormat="1" x14ac:dyDescent="0.25">
      <c r="A697" s="14" t="str">
        <f>"19285"</f>
        <v>19285</v>
      </c>
      <c r="B697" s="14" t="str">
        <f>"01560"</f>
        <v>01560</v>
      </c>
      <c r="C697" s="14" t="str">
        <f>"1300"</f>
        <v>1300</v>
      </c>
      <c r="D697" s="14" t="str">
        <f>"19285"</f>
        <v>19285</v>
      </c>
      <c r="E697" s="14" t="s">
        <v>802</v>
      </c>
      <c r="F697" s="14" t="s">
        <v>135</v>
      </c>
      <c r="G697" s="14" t="str">
        <f>"GR0019285"</f>
        <v>GR0019285</v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69</v>
      </c>
      <c r="L697" s="14" t="s">
        <v>70</v>
      </c>
      <c r="M697" s="14" t="s">
        <v>71</v>
      </c>
      <c r="O697" s="14" t="s">
        <v>803</v>
      </c>
      <c r="P697" s="14" t="s">
        <v>31</v>
      </c>
      <c r="Q697" s="14" t="s">
        <v>31</v>
      </c>
      <c r="R697" s="14" t="s">
        <v>72</v>
      </c>
    </row>
    <row r="698" spans="1:18" s="14" customFormat="1" x14ac:dyDescent="0.25">
      <c r="A698" s="14" t="str">
        <f>"19286"</f>
        <v>19286</v>
      </c>
      <c r="B698" s="14" t="str">
        <f>"01500"</f>
        <v>01500</v>
      </c>
      <c r="C698" s="14" t="str">
        <f>"1300"</f>
        <v>1300</v>
      </c>
      <c r="D698" s="14" t="str">
        <f>"19286"</f>
        <v>19286</v>
      </c>
      <c r="E698" s="14" t="s">
        <v>804</v>
      </c>
      <c r="F698" s="14" t="s">
        <v>130</v>
      </c>
      <c r="G698" s="14" t="str">
        <f>"GR0019286"</f>
        <v>GR0019286</v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69</v>
      </c>
      <c r="L698" s="14" t="s">
        <v>70</v>
      </c>
      <c r="M698" s="14" t="s">
        <v>71</v>
      </c>
      <c r="O698" s="14" t="s">
        <v>805</v>
      </c>
      <c r="P698" s="14" t="s">
        <v>31</v>
      </c>
      <c r="Q698" s="14" t="s">
        <v>31</v>
      </c>
      <c r="R698" s="14" t="s">
        <v>72</v>
      </c>
    </row>
    <row r="699" spans="1:18" s="14" customFormat="1" x14ac:dyDescent="0.25">
      <c r="A699" s="14" t="str">
        <f>"19287"</f>
        <v>19287</v>
      </c>
      <c r="B699" s="14" t="str">
        <f>"01380"</f>
        <v>01380</v>
      </c>
      <c r="C699" s="14" t="str">
        <f>"1200"</f>
        <v>1200</v>
      </c>
      <c r="D699" s="14" t="str">
        <f>"19287"</f>
        <v>19287</v>
      </c>
      <c r="E699" s="14" t="s">
        <v>806</v>
      </c>
      <c r="F699" s="14" t="s">
        <v>110</v>
      </c>
      <c r="G699" s="14" t="str">
        <f>"GR0019287"</f>
        <v>GR0019287</v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111</v>
      </c>
      <c r="L699" s="14" t="s">
        <v>112</v>
      </c>
      <c r="M699" s="14" t="s">
        <v>113</v>
      </c>
      <c r="N699" s="14" t="s">
        <v>114</v>
      </c>
      <c r="O699" s="14" t="s">
        <v>807</v>
      </c>
      <c r="P699" s="14" t="s">
        <v>31</v>
      </c>
      <c r="Q699" s="14" t="s">
        <v>31</v>
      </c>
      <c r="R699" s="14" t="s">
        <v>115</v>
      </c>
    </row>
    <row r="700" spans="1:18" s="14" customFormat="1" x14ac:dyDescent="0.25">
      <c r="A700" s="14" t="str">
        <f>"19288"</f>
        <v>19288</v>
      </c>
      <c r="B700" s="14" t="str">
        <f>"01800"</f>
        <v>01800</v>
      </c>
      <c r="C700" s="14" t="str">
        <f>"1200"</f>
        <v>1200</v>
      </c>
      <c r="D700" s="14" t="str">
        <f>"19288"</f>
        <v>19288</v>
      </c>
      <c r="E700" s="14" t="s">
        <v>808</v>
      </c>
      <c r="F700" s="14" t="s">
        <v>180</v>
      </c>
      <c r="G700" s="14" t="str">
        <f>"GR0019288"</f>
        <v>GR0019288</v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181</v>
      </c>
      <c r="L700" s="14" t="s">
        <v>112</v>
      </c>
      <c r="M700" s="14" t="s">
        <v>113</v>
      </c>
      <c r="N700" s="14" t="s">
        <v>114</v>
      </c>
      <c r="O700" s="14" t="s">
        <v>809</v>
      </c>
      <c r="P700" s="14" t="s">
        <v>31</v>
      </c>
      <c r="Q700" s="14" t="s">
        <v>31</v>
      </c>
      <c r="R700" s="14" t="s">
        <v>115</v>
      </c>
    </row>
    <row r="701" spans="1:18" s="14" customFormat="1" x14ac:dyDescent="0.25">
      <c r="A701" s="14" t="str">
        <f>"19289"</f>
        <v>19289</v>
      </c>
      <c r="B701" s="14" t="str">
        <f>"01800"</f>
        <v>01800</v>
      </c>
      <c r="C701" s="14" t="str">
        <f>"1200"</f>
        <v>1200</v>
      </c>
      <c r="D701" s="14" t="str">
        <f>"19289"</f>
        <v>19289</v>
      </c>
      <c r="E701" s="14" t="s">
        <v>810</v>
      </c>
      <c r="F701" s="14" t="s">
        <v>180</v>
      </c>
      <c r="G701" s="14" t="str">
        <f>"GR0019289"</f>
        <v>GR0019289</v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181</v>
      </c>
      <c r="L701" s="14" t="s">
        <v>112</v>
      </c>
      <c r="M701" s="14" t="s">
        <v>113</v>
      </c>
      <c r="N701" s="14" t="s">
        <v>114</v>
      </c>
      <c r="O701" s="14" t="s">
        <v>809</v>
      </c>
      <c r="P701" s="14" t="s">
        <v>31</v>
      </c>
      <c r="Q701" s="14" t="s">
        <v>31</v>
      </c>
      <c r="R701" s="14" t="s">
        <v>115</v>
      </c>
    </row>
    <row r="702" spans="1:18" s="14" customFormat="1" x14ac:dyDescent="0.25">
      <c r="A702" s="14" t="str">
        <f>"19290"</f>
        <v>19290</v>
      </c>
      <c r="B702" s="14" t="str">
        <f>"01780"</f>
        <v>01780</v>
      </c>
      <c r="C702" s="14" t="str">
        <f>"1700"</f>
        <v>1700</v>
      </c>
      <c r="D702" s="14" t="str">
        <f>"19290"</f>
        <v>19290</v>
      </c>
      <c r="E702" s="14" t="s">
        <v>811</v>
      </c>
      <c r="F702" s="14" t="s">
        <v>175</v>
      </c>
      <c r="G702" s="14" t="str">
        <f>"GR0019290"</f>
        <v>GR0019290</v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112</v>
      </c>
      <c r="L702" s="14" t="s">
        <v>113</v>
      </c>
      <c r="M702" s="14" t="s">
        <v>114</v>
      </c>
      <c r="O702" s="14" t="s">
        <v>812</v>
      </c>
      <c r="P702" s="14" t="s">
        <v>31</v>
      </c>
      <c r="Q702" s="14" t="s">
        <v>31</v>
      </c>
      <c r="R702" s="14" t="s">
        <v>115</v>
      </c>
    </row>
    <row r="703" spans="1:18" s="14" customFormat="1" x14ac:dyDescent="0.25">
      <c r="A703" s="14" t="str">
        <f>"19291"</f>
        <v>19291</v>
      </c>
      <c r="B703" s="14" t="str">
        <f>"01820"</f>
        <v>01820</v>
      </c>
      <c r="C703" s="14" t="str">
        <f>"1200"</f>
        <v>1200</v>
      </c>
      <c r="D703" s="14" t="str">
        <f>"19291"</f>
        <v>19291</v>
      </c>
      <c r="E703" s="14" t="s">
        <v>813</v>
      </c>
      <c r="F703" s="14" t="s">
        <v>185</v>
      </c>
      <c r="G703" s="14" t="str">
        <f>"GR0019291"</f>
        <v>GR0019291</v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186</v>
      </c>
      <c r="L703" s="14" t="s">
        <v>112</v>
      </c>
      <c r="M703" s="14" t="s">
        <v>113</v>
      </c>
      <c r="N703" s="14" t="s">
        <v>114</v>
      </c>
      <c r="O703" s="14" t="s">
        <v>814</v>
      </c>
      <c r="P703" s="14" t="s">
        <v>31</v>
      </c>
      <c r="Q703" s="14" t="s">
        <v>31</v>
      </c>
      <c r="R703" s="14" t="s">
        <v>115</v>
      </c>
    </row>
    <row r="704" spans="1:18" s="14" customFormat="1" x14ac:dyDescent="0.25">
      <c r="A704" s="14" t="str">
        <f>"19293"</f>
        <v>19293</v>
      </c>
      <c r="B704" s="14" t="str">
        <f>"01670"</f>
        <v>01670</v>
      </c>
      <c r="C704" s="14" t="str">
        <f>"1300"</f>
        <v>1300</v>
      </c>
      <c r="D704" s="14" t="str">
        <f>"19293"</f>
        <v>19293</v>
      </c>
      <c r="E704" s="14" t="s">
        <v>815</v>
      </c>
      <c r="F704" s="14" t="s">
        <v>151</v>
      </c>
      <c r="G704" s="14" t="str">
        <f>"GR0019293"</f>
        <v>GR0019293</v>
      </c>
      <c r="H704" s="14" t="str">
        <f>" 10"</f>
        <v xml:space="preserve"> 10</v>
      </c>
      <c r="I704" s="14">
        <v>0.01</v>
      </c>
      <c r="J704" s="14">
        <v>500</v>
      </c>
      <c r="K704" s="14" t="s">
        <v>146</v>
      </c>
      <c r="L704" s="14" t="s">
        <v>147</v>
      </c>
      <c r="O704" s="14" t="s">
        <v>816</v>
      </c>
      <c r="P704" s="14" t="s">
        <v>39</v>
      </c>
      <c r="Q704" s="14" t="s">
        <v>39</v>
      </c>
      <c r="R704" s="14" t="s">
        <v>146</v>
      </c>
    </row>
    <row r="705" spans="1:18" s="14" customFormat="1" x14ac:dyDescent="0.25">
      <c r="A705" s="14" t="str">
        <f>"19293"</f>
        <v>19293</v>
      </c>
      <c r="B705" s="14" t="str">
        <f>"01670"</f>
        <v>01670</v>
      </c>
      <c r="C705" s="14" t="str">
        <f>"1300"</f>
        <v>1300</v>
      </c>
      <c r="D705" s="14" t="str">
        <f>"19293"</f>
        <v>19293</v>
      </c>
      <c r="E705" s="14" t="s">
        <v>815</v>
      </c>
      <c r="F705" s="14" t="s">
        <v>151</v>
      </c>
      <c r="G705" s="14" t="str">
        <f>"GR0019293"</f>
        <v>GR0019293</v>
      </c>
      <c r="H705" s="14" t="str">
        <f>" 20"</f>
        <v xml:space="preserve"> 20</v>
      </c>
      <c r="I705" s="14">
        <v>500.01</v>
      </c>
      <c r="J705" s="14">
        <v>9999999.9900000002</v>
      </c>
      <c r="K705" s="14" t="s">
        <v>147</v>
      </c>
      <c r="L705" s="14" t="s">
        <v>148</v>
      </c>
      <c r="O705" s="14" t="s">
        <v>816</v>
      </c>
      <c r="P705" s="14" t="s">
        <v>39</v>
      </c>
      <c r="Q705" s="14" t="s">
        <v>39</v>
      </c>
      <c r="R705" s="14" t="s">
        <v>146</v>
      </c>
    </row>
    <row r="706" spans="1:18" s="14" customFormat="1" x14ac:dyDescent="0.25">
      <c r="A706" s="14" t="str">
        <f>"19294"</f>
        <v>19294</v>
      </c>
      <c r="B706" s="14" t="str">
        <f>"01765"</f>
        <v>01765</v>
      </c>
      <c r="C706" s="14" t="str">
        <f>"1300"</f>
        <v>1300</v>
      </c>
      <c r="D706" s="14" t="str">
        <f>"19294"</f>
        <v>19294</v>
      </c>
      <c r="E706" s="14" t="s">
        <v>817</v>
      </c>
      <c r="F706" s="14" t="s">
        <v>170</v>
      </c>
      <c r="G706" s="14" t="str">
        <f>"GR0019294"</f>
        <v>GR0019294</v>
      </c>
      <c r="H706" s="14" t="str">
        <f>" 10"</f>
        <v xml:space="preserve"> 10</v>
      </c>
      <c r="I706" s="14">
        <v>0.01</v>
      </c>
      <c r="J706" s="14">
        <v>500</v>
      </c>
      <c r="K706" s="14" t="s">
        <v>146</v>
      </c>
      <c r="L706" s="14" t="s">
        <v>147</v>
      </c>
      <c r="O706" s="14" t="s">
        <v>818</v>
      </c>
      <c r="P706" s="14" t="s">
        <v>39</v>
      </c>
      <c r="Q706" s="14" t="s">
        <v>39</v>
      </c>
      <c r="R706" s="14" t="s">
        <v>146</v>
      </c>
    </row>
    <row r="707" spans="1:18" s="14" customFormat="1" x14ac:dyDescent="0.25">
      <c r="A707" s="14" t="str">
        <f>"19294"</f>
        <v>19294</v>
      </c>
      <c r="B707" s="14" t="str">
        <f>"01765"</f>
        <v>01765</v>
      </c>
      <c r="C707" s="14" t="str">
        <f>"1300"</f>
        <v>1300</v>
      </c>
      <c r="D707" s="14" t="str">
        <f>"19294"</f>
        <v>19294</v>
      </c>
      <c r="E707" s="14" t="s">
        <v>817</v>
      </c>
      <c r="F707" s="14" t="s">
        <v>170</v>
      </c>
      <c r="G707" s="14" t="str">
        <f>"GR0019294"</f>
        <v>GR0019294</v>
      </c>
      <c r="H707" s="14" t="str">
        <f>" 20"</f>
        <v xml:space="preserve"> 20</v>
      </c>
      <c r="I707" s="14">
        <v>500.01</v>
      </c>
      <c r="J707" s="14">
        <v>9999999.9900000002</v>
      </c>
      <c r="K707" s="14" t="s">
        <v>147</v>
      </c>
      <c r="L707" s="14" t="s">
        <v>171</v>
      </c>
      <c r="O707" s="14" t="s">
        <v>818</v>
      </c>
      <c r="P707" s="14" t="s">
        <v>39</v>
      </c>
      <c r="Q707" s="14" t="s">
        <v>39</v>
      </c>
      <c r="R707" s="14" t="s">
        <v>146</v>
      </c>
    </row>
    <row r="708" spans="1:18" s="14" customFormat="1" x14ac:dyDescent="0.25">
      <c r="A708" s="14" t="str">
        <f>"19295"</f>
        <v>19295</v>
      </c>
      <c r="B708" s="14" t="str">
        <f>"01320"</f>
        <v>01320</v>
      </c>
      <c r="C708" s="14" t="str">
        <f>"1200"</f>
        <v>1200</v>
      </c>
      <c r="D708" s="14" t="str">
        <f>"19295"</f>
        <v>19295</v>
      </c>
      <c r="E708" s="14" t="s">
        <v>819</v>
      </c>
      <c r="F708" s="14" t="s">
        <v>103</v>
      </c>
      <c r="G708" s="14" t="str">
        <f>"GR0019295"</f>
        <v>GR0019295</v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48</v>
      </c>
      <c r="L708" s="14" t="s">
        <v>97</v>
      </c>
      <c r="M708" s="14" t="s">
        <v>98</v>
      </c>
      <c r="O708" s="14" t="s">
        <v>820</v>
      </c>
      <c r="P708" s="14" t="s">
        <v>39</v>
      </c>
      <c r="Q708" s="14" t="s">
        <v>39</v>
      </c>
      <c r="R708" s="14" t="s">
        <v>49</v>
      </c>
    </row>
    <row r="709" spans="1:18" s="14" customFormat="1" x14ac:dyDescent="0.25">
      <c r="A709" s="14" t="str">
        <f>"19296"</f>
        <v>19296</v>
      </c>
      <c r="B709" s="14" t="str">
        <f>"01580"</f>
        <v>01580</v>
      </c>
      <c r="C709" s="14" t="str">
        <f>"1300"</f>
        <v>1300</v>
      </c>
      <c r="D709" s="14" t="str">
        <f>"19296"</f>
        <v>19296</v>
      </c>
      <c r="E709" s="14" t="s">
        <v>821</v>
      </c>
      <c r="F709" s="14" t="s">
        <v>137</v>
      </c>
      <c r="G709" s="14" t="str">
        <f>"GR0019296"</f>
        <v>GR0019296</v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69</v>
      </c>
      <c r="L709" s="14" t="s">
        <v>70</v>
      </c>
      <c r="M709" s="14" t="s">
        <v>71</v>
      </c>
      <c r="O709" s="14" t="s">
        <v>822</v>
      </c>
      <c r="P709" s="14" t="s">
        <v>31</v>
      </c>
      <c r="Q709" s="14" t="s">
        <v>31</v>
      </c>
      <c r="R709" s="14" t="s">
        <v>72</v>
      </c>
    </row>
    <row r="710" spans="1:18" s="14" customFormat="1" x14ac:dyDescent="0.25">
      <c r="A710" s="14" t="str">
        <f>"19297"</f>
        <v>19297</v>
      </c>
      <c r="B710" s="14" t="str">
        <f>"01500"</f>
        <v>01500</v>
      </c>
      <c r="C710" s="14" t="str">
        <f>"1300"</f>
        <v>1300</v>
      </c>
      <c r="D710" s="14" t="str">
        <f>"19297"</f>
        <v>19297</v>
      </c>
      <c r="E710" s="14" t="s">
        <v>823</v>
      </c>
      <c r="F710" s="14" t="s">
        <v>130</v>
      </c>
      <c r="G710" s="14" t="str">
        <f>"GR0019297"</f>
        <v>GR0019297</v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69</v>
      </c>
      <c r="L710" s="14" t="s">
        <v>70</v>
      </c>
      <c r="M710" s="14" t="s">
        <v>71</v>
      </c>
      <c r="O710" s="14" t="s">
        <v>824</v>
      </c>
      <c r="P710" s="14" t="s">
        <v>31</v>
      </c>
      <c r="Q710" s="14" t="s">
        <v>31</v>
      </c>
      <c r="R710" s="14" t="s">
        <v>72</v>
      </c>
    </row>
    <row r="711" spans="1:18" s="14" customFormat="1" x14ac:dyDescent="0.25">
      <c r="A711" s="14" t="str">
        <f>"19298"</f>
        <v>19298</v>
      </c>
      <c r="B711" s="14" t="str">
        <f>"01560"</f>
        <v>01560</v>
      </c>
      <c r="C711" s="14" t="str">
        <f>"1300"</f>
        <v>1300</v>
      </c>
      <c r="D711" s="14" t="str">
        <f>"19298"</f>
        <v>19298</v>
      </c>
      <c r="E711" s="14" t="s">
        <v>825</v>
      </c>
      <c r="F711" s="14" t="s">
        <v>135</v>
      </c>
      <c r="G711" s="14" t="str">
        <f>"GR0019298"</f>
        <v>GR0019298</v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69</v>
      </c>
      <c r="L711" s="14" t="s">
        <v>70</v>
      </c>
      <c r="M711" s="14" t="s">
        <v>71</v>
      </c>
      <c r="O711" s="14" t="s">
        <v>826</v>
      </c>
      <c r="P711" s="14" t="s">
        <v>31</v>
      </c>
      <c r="Q711" s="14" t="s">
        <v>31</v>
      </c>
      <c r="R711" s="14" t="s">
        <v>72</v>
      </c>
    </row>
    <row r="712" spans="1:18" s="14" customFormat="1" x14ac:dyDescent="0.25">
      <c r="A712" s="14" t="str">
        <f>"19299"</f>
        <v>19299</v>
      </c>
      <c r="B712" s="14" t="str">
        <f>"01560"</f>
        <v>01560</v>
      </c>
      <c r="C712" s="14" t="str">
        <f>"1300"</f>
        <v>1300</v>
      </c>
      <c r="D712" s="14" t="str">
        <f>"19299"</f>
        <v>19299</v>
      </c>
      <c r="E712" s="14" t="s">
        <v>827</v>
      </c>
      <c r="F712" s="14" t="s">
        <v>135</v>
      </c>
      <c r="G712" s="14" t="str">
        <f>"GR0019299"</f>
        <v>GR0019299</v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69</v>
      </c>
      <c r="L712" s="14" t="s">
        <v>70</v>
      </c>
      <c r="M712" s="14" t="s">
        <v>71</v>
      </c>
      <c r="O712" s="14" t="s">
        <v>828</v>
      </c>
      <c r="P712" s="14" t="s">
        <v>31</v>
      </c>
      <c r="Q712" s="14" t="s">
        <v>31</v>
      </c>
      <c r="R712" s="14" t="s">
        <v>72</v>
      </c>
    </row>
    <row r="713" spans="1:18" s="14" customFormat="1" x14ac:dyDescent="0.25">
      <c r="A713" s="14" t="str">
        <f>"19300"</f>
        <v>19300</v>
      </c>
      <c r="B713" s="14" t="str">
        <f>"01600"</f>
        <v>01600</v>
      </c>
      <c r="C713" s="14" t="str">
        <f>"1300"</f>
        <v>1300</v>
      </c>
      <c r="D713" s="14" t="str">
        <f>"19300"</f>
        <v>19300</v>
      </c>
      <c r="E713" s="14" t="s">
        <v>829</v>
      </c>
      <c r="F713" s="14" t="s">
        <v>138</v>
      </c>
      <c r="G713" s="14" t="str">
        <f>"GR0019300"</f>
        <v>GR0019300</v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69</v>
      </c>
      <c r="L713" s="14" t="s">
        <v>70</v>
      </c>
      <c r="M713" s="14" t="s">
        <v>71</v>
      </c>
      <c r="O713" s="14" t="s">
        <v>830</v>
      </c>
      <c r="P713" s="14" t="s">
        <v>31</v>
      </c>
      <c r="Q713" s="14" t="s">
        <v>31</v>
      </c>
      <c r="R713" s="14" t="s">
        <v>72</v>
      </c>
    </row>
    <row r="714" spans="1:18" s="14" customFormat="1" x14ac:dyDescent="0.25">
      <c r="A714" s="14" t="str">
        <f>"19301"</f>
        <v>19301</v>
      </c>
      <c r="B714" s="14" t="str">
        <f>"01820"</f>
        <v>01820</v>
      </c>
      <c r="C714" s="14" t="str">
        <f>"1200"</f>
        <v>1200</v>
      </c>
      <c r="D714" s="14" t="str">
        <f>"19301"</f>
        <v>19301</v>
      </c>
      <c r="E714" s="14" t="s">
        <v>831</v>
      </c>
      <c r="F714" s="14" t="s">
        <v>185</v>
      </c>
      <c r="G714" s="14" t="str">
        <f>"GR0019301"</f>
        <v>GR0019301</v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186</v>
      </c>
      <c r="L714" s="14" t="s">
        <v>112</v>
      </c>
      <c r="M714" s="14" t="s">
        <v>113</v>
      </c>
      <c r="N714" s="14" t="s">
        <v>114</v>
      </c>
      <c r="O714" s="14" t="s">
        <v>772</v>
      </c>
      <c r="P714" s="14" t="s">
        <v>31</v>
      </c>
      <c r="Q714" s="14" t="s">
        <v>31</v>
      </c>
      <c r="R714" s="14" t="s">
        <v>115</v>
      </c>
    </row>
    <row r="715" spans="1:18" s="14" customFormat="1" x14ac:dyDescent="0.25">
      <c r="A715" s="14" t="str">
        <f>"19302"</f>
        <v>19302</v>
      </c>
      <c r="B715" s="14" t="str">
        <f>"01630"</f>
        <v>01630</v>
      </c>
      <c r="C715" s="14" t="str">
        <f>"1200"</f>
        <v>1200</v>
      </c>
      <c r="D715" s="14" t="str">
        <f>"19302"</f>
        <v>19302</v>
      </c>
      <c r="E715" s="14" t="s">
        <v>832</v>
      </c>
      <c r="F715" s="14" t="s">
        <v>142</v>
      </c>
      <c r="G715" s="14" t="str">
        <f>"GR0019302"</f>
        <v>GR0019302</v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69</v>
      </c>
      <c r="L715" s="14" t="s">
        <v>70</v>
      </c>
      <c r="M715" s="14" t="s">
        <v>71</v>
      </c>
      <c r="O715" s="14" t="s">
        <v>755</v>
      </c>
      <c r="P715" s="14" t="s">
        <v>31</v>
      </c>
      <c r="Q715" s="14" t="s">
        <v>31</v>
      </c>
      <c r="R715" s="14" t="s">
        <v>72</v>
      </c>
    </row>
    <row r="716" spans="1:18" s="14" customFormat="1" x14ac:dyDescent="0.25">
      <c r="A716" s="14" t="str">
        <f>"19303"</f>
        <v>19303</v>
      </c>
      <c r="B716" s="14" t="str">
        <f>"01630"</f>
        <v>01630</v>
      </c>
      <c r="C716" s="14" t="str">
        <f>"1200"</f>
        <v>1200</v>
      </c>
      <c r="D716" s="14" t="str">
        <f>"19303"</f>
        <v>19303</v>
      </c>
      <c r="E716" s="14" t="s">
        <v>833</v>
      </c>
      <c r="F716" s="14" t="s">
        <v>142</v>
      </c>
      <c r="G716" s="14" t="str">
        <f>"GR0019303"</f>
        <v>GR0019303</v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69</v>
      </c>
      <c r="L716" s="14" t="s">
        <v>70</v>
      </c>
      <c r="M716" s="14" t="s">
        <v>71</v>
      </c>
      <c r="O716" s="14" t="s">
        <v>755</v>
      </c>
      <c r="P716" s="14" t="s">
        <v>31</v>
      </c>
      <c r="Q716" s="14" t="s">
        <v>31</v>
      </c>
      <c r="R716" s="14" t="s">
        <v>72</v>
      </c>
    </row>
    <row r="717" spans="1:18" s="14" customFormat="1" x14ac:dyDescent="0.25">
      <c r="A717" s="14" t="str">
        <f>"19304"</f>
        <v>19304</v>
      </c>
      <c r="B717" s="14" t="str">
        <f>"01630"</f>
        <v>01630</v>
      </c>
      <c r="C717" s="14" t="str">
        <f>"1200"</f>
        <v>1200</v>
      </c>
      <c r="D717" s="14" t="str">
        <f>"19304"</f>
        <v>19304</v>
      </c>
      <c r="E717" s="14" t="s">
        <v>834</v>
      </c>
      <c r="F717" s="14" t="s">
        <v>142</v>
      </c>
      <c r="G717" s="14" t="str">
        <f>"GR0019304"</f>
        <v>GR0019304</v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69</v>
      </c>
      <c r="L717" s="14" t="s">
        <v>70</v>
      </c>
      <c r="M717" s="14" t="s">
        <v>71</v>
      </c>
      <c r="O717" s="14" t="s">
        <v>755</v>
      </c>
      <c r="P717" s="14" t="s">
        <v>31</v>
      </c>
      <c r="Q717" s="14" t="s">
        <v>31</v>
      </c>
      <c r="R717" s="14" t="s">
        <v>72</v>
      </c>
    </row>
    <row r="718" spans="1:18" s="14" customFormat="1" x14ac:dyDescent="0.25">
      <c r="A718" s="14" t="str">
        <f>"19305"</f>
        <v>19305</v>
      </c>
      <c r="B718" s="14" t="str">
        <f>"01500"</f>
        <v>01500</v>
      </c>
      <c r="C718" s="14" t="str">
        <f>"1200"</f>
        <v>1200</v>
      </c>
      <c r="D718" s="14" t="str">
        <f>"19305"</f>
        <v>19305</v>
      </c>
      <c r="E718" s="14" t="s">
        <v>835</v>
      </c>
      <c r="F718" s="14" t="s">
        <v>130</v>
      </c>
      <c r="G718" s="14" t="str">
        <f>"GR0019305"</f>
        <v>GR0019305</v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69</v>
      </c>
      <c r="L718" s="14" t="s">
        <v>70</v>
      </c>
      <c r="M718" s="14" t="s">
        <v>71</v>
      </c>
      <c r="O718" s="14" t="s">
        <v>836</v>
      </c>
      <c r="P718" s="14" t="s">
        <v>31</v>
      </c>
      <c r="Q718" s="14" t="s">
        <v>31</v>
      </c>
      <c r="R718" s="14" t="s">
        <v>72</v>
      </c>
    </row>
    <row r="719" spans="1:18" s="14" customFormat="1" x14ac:dyDescent="0.25">
      <c r="A719" s="14" t="str">
        <f>"19306"</f>
        <v>19306</v>
      </c>
      <c r="B719" s="14" t="str">
        <f>"01620"</f>
        <v>01620</v>
      </c>
      <c r="C719" s="14" t="str">
        <f>"1200"</f>
        <v>1200</v>
      </c>
      <c r="D719" s="14" t="str">
        <f>""</f>
        <v/>
      </c>
      <c r="E719" s="14" t="s">
        <v>1923</v>
      </c>
      <c r="F719" s="14" t="s">
        <v>140</v>
      </c>
      <c r="G719" s="14" t="str">
        <f>"GR0019306"</f>
        <v>GR0019306</v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69</v>
      </c>
      <c r="L719" s="14" t="s">
        <v>70</v>
      </c>
      <c r="M719" s="14" t="s">
        <v>71</v>
      </c>
      <c r="O719" s="14" t="s">
        <v>1924</v>
      </c>
      <c r="P719" s="14" t="s">
        <v>31</v>
      </c>
      <c r="Q719" s="14" t="s">
        <v>31</v>
      </c>
      <c r="R719" s="14" t="s">
        <v>72</v>
      </c>
    </row>
    <row r="720" spans="1:18" s="14" customFormat="1" x14ac:dyDescent="0.25">
      <c r="A720" s="14" t="str">
        <f>"19307"</f>
        <v>19307</v>
      </c>
      <c r="B720" s="14" t="str">
        <f>"01370"</f>
        <v>01370</v>
      </c>
      <c r="C720" s="14" t="str">
        <f>"1200"</f>
        <v>1200</v>
      </c>
      <c r="D720" s="14" t="str">
        <f>""</f>
        <v/>
      </c>
      <c r="E720" s="14" t="s">
        <v>1925</v>
      </c>
      <c r="F720" s="14" t="s">
        <v>108</v>
      </c>
      <c r="G720" s="14" t="str">
        <f>"GR0019307"</f>
        <v>GR0019307</v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69</v>
      </c>
      <c r="L720" s="14" t="s">
        <v>70</v>
      </c>
      <c r="M720" s="14" t="s">
        <v>71</v>
      </c>
      <c r="O720" s="14" t="s">
        <v>1926</v>
      </c>
      <c r="P720" s="14" t="s">
        <v>31</v>
      </c>
      <c r="Q720" s="14" t="s">
        <v>31</v>
      </c>
      <c r="R720" s="14" t="s">
        <v>72</v>
      </c>
    </row>
    <row r="721" spans="1:18" s="14" customFormat="1" x14ac:dyDescent="0.25">
      <c r="A721" s="14" t="str">
        <f>"20001"</f>
        <v>20001</v>
      </c>
      <c r="B721" s="14" t="str">
        <f>"05160"</f>
        <v>05160</v>
      </c>
      <c r="C721" s="14" t="str">
        <f>"1800"</f>
        <v>1800</v>
      </c>
      <c r="D721" s="14" t="str">
        <f>""</f>
        <v/>
      </c>
      <c r="E721" s="14" t="s">
        <v>837</v>
      </c>
      <c r="F721" s="14" t="s">
        <v>406</v>
      </c>
      <c r="G721" s="14" t="str">
        <f>""</f>
        <v/>
      </c>
      <c r="H721" s="14" t="str">
        <f>" 00"</f>
        <v xml:space="preserve"> 00</v>
      </c>
      <c r="I721" s="14">
        <v>0.01</v>
      </c>
      <c r="J721" s="14">
        <v>9999999.9900000002</v>
      </c>
      <c r="K721" s="14" t="s">
        <v>318</v>
      </c>
      <c r="L721" s="14" t="s">
        <v>319</v>
      </c>
      <c r="M721" s="14" t="s">
        <v>90</v>
      </c>
      <c r="P721" s="14" t="s">
        <v>260</v>
      </c>
      <c r="Q721" s="14" t="s">
        <v>25</v>
      </c>
      <c r="R721" s="14" t="s">
        <v>318</v>
      </c>
    </row>
    <row r="722" spans="1:18" s="14" customFormat="1" x14ac:dyDescent="0.25">
      <c r="A722" s="14" t="str">
        <f>"20123"</f>
        <v>20123</v>
      </c>
      <c r="B722" s="14" t="str">
        <f>"05160"</f>
        <v>05160</v>
      </c>
      <c r="C722" s="14" t="str">
        <f>"1800"</f>
        <v>1800</v>
      </c>
      <c r="D722" s="14" t="str">
        <f>""</f>
        <v/>
      </c>
      <c r="E722" s="14" t="s">
        <v>838</v>
      </c>
      <c r="F722" s="14" t="s">
        <v>406</v>
      </c>
      <c r="G722" s="14" t="str">
        <f>""</f>
        <v/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318</v>
      </c>
      <c r="L722" s="14" t="s">
        <v>319</v>
      </c>
      <c r="M722" s="14" t="s">
        <v>90</v>
      </c>
      <c r="P722" s="14" t="s">
        <v>260</v>
      </c>
      <c r="Q722" s="14" t="s">
        <v>25</v>
      </c>
      <c r="R722" s="14" t="s">
        <v>318</v>
      </c>
    </row>
    <row r="723" spans="1:18" s="14" customFormat="1" x14ac:dyDescent="0.25">
      <c r="A723" s="14" t="str">
        <f>"20124"</f>
        <v>20124</v>
      </c>
      <c r="B723" s="14" t="str">
        <f>"05160"</f>
        <v>05160</v>
      </c>
      <c r="C723" s="14" t="str">
        <f>"1800"</f>
        <v>1800</v>
      </c>
      <c r="D723" s="14" t="str">
        <f>""</f>
        <v/>
      </c>
      <c r="E723" s="14" t="s">
        <v>839</v>
      </c>
      <c r="F723" s="14" t="s">
        <v>406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318</v>
      </c>
      <c r="L723" s="14" t="s">
        <v>319</v>
      </c>
      <c r="M723" s="14" t="s">
        <v>90</v>
      </c>
      <c r="P723" s="14" t="s">
        <v>260</v>
      </c>
      <c r="Q723" s="14" t="s">
        <v>25</v>
      </c>
      <c r="R723" s="14" t="s">
        <v>318</v>
      </c>
    </row>
    <row r="724" spans="1:18" s="14" customFormat="1" x14ac:dyDescent="0.25">
      <c r="A724" s="14" t="str">
        <f>"20201"</f>
        <v>20201</v>
      </c>
      <c r="B724" s="14" t="str">
        <f>"05160"</f>
        <v>05160</v>
      </c>
      <c r="C724" s="14" t="str">
        <f>"1800"</f>
        <v>1800</v>
      </c>
      <c r="D724" s="14" t="str">
        <f>""</f>
        <v/>
      </c>
      <c r="E724" s="14" t="s">
        <v>840</v>
      </c>
      <c r="F724" s="14" t="s">
        <v>406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318</v>
      </c>
      <c r="L724" s="14" t="s">
        <v>319</v>
      </c>
      <c r="M724" s="14" t="s">
        <v>90</v>
      </c>
      <c r="P724" s="14" t="s">
        <v>260</v>
      </c>
      <c r="Q724" s="14" t="s">
        <v>25</v>
      </c>
      <c r="R724" s="14" t="s">
        <v>318</v>
      </c>
    </row>
    <row r="725" spans="1:18" s="14" customFormat="1" x14ac:dyDescent="0.25">
      <c r="A725" s="14" t="str">
        <f>"20301"</f>
        <v>20301</v>
      </c>
      <c r="B725" s="14" t="str">
        <f>"05160"</f>
        <v>05160</v>
      </c>
      <c r="C725" s="14" t="str">
        <f>"1400"</f>
        <v>1400</v>
      </c>
      <c r="D725" s="14" t="str">
        <f>""</f>
        <v/>
      </c>
      <c r="E725" s="14" t="s">
        <v>841</v>
      </c>
      <c r="F725" s="14" t="s">
        <v>406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318</v>
      </c>
      <c r="L725" s="14" t="s">
        <v>319</v>
      </c>
      <c r="M725" s="14" t="s">
        <v>90</v>
      </c>
      <c r="P725" s="14" t="s">
        <v>260</v>
      </c>
      <c r="Q725" s="14" t="s">
        <v>25</v>
      </c>
      <c r="R725" s="14" t="s">
        <v>318</v>
      </c>
    </row>
    <row r="726" spans="1:18" s="14" customFormat="1" x14ac:dyDescent="0.25">
      <c r="A726" s="14" t="str">
        <f>"20302"</f>
        <v>20302</v>
      </c>
      <c r="B726" s="14" t="str">
        <f>"05140"</f>
        <v>05140</v>
      </c>
      <c r="C726" s="14" t="str">
        <f>"1700"</f>
        <v>1700</v>
      </c>
      <c r="D726" s="14" t="str">
        <f>"20302"</f>
        <v>20302</v>
      </c>
      <c r="E726" s="14" t="s">
        <v>842</v>
      </c>
      <c r="F726" s="14" t="s">
        <v>400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37</v>
      </c>
      <c r="L726" s="14" t="s">
        <v>34</v>
      </c>
      <c r="P726" s="14" t="s">
        <v>260</v>
      </c>
      <c r="Q726" s="14" t="s">
        <v>25</v>
      </c>
      <c r="R726" s="14" t="s">
        <v>401</v>
      </c>
    </row>
    <row r="727" spans="1:18" s="14" customFormat="1" x14ac:dyDescent="0.25">
      <c r="A727" s="14" t="str">
        <f>"20303"</f>
        <v>20303</v>
      </c>
      <c r="B727" s="14" t="str">
        <f>"05160"</f>
        <v>05160</v>
      </c>
      <c r="C727" s="14" t="str">
        <f>"1600"</f>
        <v>1600</v>
      </c>
      <c r="D727" s="14" t="str">
        <f>""</f>
        <v/>
      </c>
      <c r="E727" s="14" t="s">
        <v>843</v>
      </c>
      <c r="F727" s="14" t="s">
        <v>406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318</v>
      </c>
      <c r="L727" s="14" t="s">
        <v>319</v>
      </c>
      <c r="M727" s="14" t="s">
        <v>90</v>
      </c>
      <c r="P727" s="14" t="s">
        <v>260</v>
      </c>
      <c r="Q727" s="14" t="s">
        <v>25</v>
      </c>
      <c r="R727" s="14" t="s">
        <v>318</v>
      </c>
    </row>
    <row r="728" spans="1:18" s="14" customFormat="1" x14ac:dyDescent="0.25">
      <c r="A728" s="14" t="str">
        <f>"20304"</f>
        <v>20304</v>
      </c>
      <c r="B728" s="14" t="str">
        <f>"05160"</f>
        <v>05160</v>
      </c>
      <c r="C728" s="14" t="str">
        <f>"1600"</f>
        <v>1600</v>
      </c>
      <c r="D728" s="14" t="str">
        <f>""</f>
        <v/>
      </c>
      <c r="E728" s="14" t="s">
        <v>844</v>
      </c>
      <c r="F728" s="14" t="s">
        <v>406</v>
      </c>
      <c r="G728" s="14" t="str">
        <f>""</f>
        <v/>
      </c>
      <c r="H728" s="14" t="str">
        <f>" 00"</f>
        <v xml:space="preserve"> 00</v>
      </c>
      <c r="I728" s="14">
        <v>0.01</v>
      </c>
      <c r="J728" s="14">
        <v>9999999.9900000002</v>
      </c>
      <c r="K728" s="14" t="s">
        <v>318</v>
      </c>
      <c r="L728" s="14" t="s">
        <v>319</v>
      </c>
      <c r="M728" s="14" t="s">
        <v>90</v>
      </c>
      <c r="P728" s="14" t="s">
        <v>260</v>
      </c>
      <c r="Q728" s="14" t="s">
        <v>25</v>
      </c>
      <c r="R728" s="14" t="s">
        <v>318</v>
      </c>
    </row>
    <row r="729" spans="1:18" s="14" customFormat="1" x14ac:dyDescent="0.25">
      <c r="A729" s="14" t="str">
        <f>"20305"</f>
        <v>20305</v>
      </c>
      <c r="B729" s="14" t="str">
        <f>"05160"</f>
        <v>05160</v>
      </c>
      <c r="C729" s="14" t="str">
        <f>"1930"</f>
        <v>1930</v>
      </c>
      <c r="D729" s="14" t="str">
        <f>""</f>
        <v/>
      </c>
      <c r="E729" s="14" t="s">
        <v>845</v>
      </c>
      <c r="F729" s="14" t="s">
        <v>406</v>
      </c>
      <c r="G729" s="14" t="str">
        <f>""</f>
        <v/>
      </c>
      <c r="H729" s="14" t="str">
        <f>" 00"</f>
        <v xml:space="preserve"> 00</v>
      </c>
      <c r="I729" s="14">
        <v>0.01</v>
      </c>
      <c r="J729" s="14">
        <v>9999999.9900000002</v>
      </c>
      <c r="K729" s="14" t="s">
        <v>318</v>
      </c>
      <c r="L729" s="14" t="s">
        <v>319</v>
      </c>
      <c r="M729" s="14" t="s">
        <v>90</v>
      </c>
      <c r="P729" s="14" t="s">
        <v>260</v>
      </c>
      <c r="Q729" s="14" t="s">
        <v>25</v>
      </c>
      <c r="R729" s="14" t="s">
        <v>318</v>
      </c>
    </row>
    <row r="730" spans="1:18" s="14" customFormat="1" x14ac:dyDescent="0.25">
      <c r="A730" s="14" t="str">
        <f>"20308"</f>
        <v>20308</v>
      </c>
      <c r="B730" s="14" t="str">
        <f>"05160"</f>
        <v>05160</v>
      </c>
      <c r="C730" s="14" t="str">
        <f>"1600"</f>
        <v>1600</v>
      </c>
      <c r="D730" s="14" t="str">
        <f>""</f>
        <v/>
      </c>
      <c r="E730" s="14" t="s">
        <v>846</v>
      </c>
      <c r="F730" s="14" t="s">
        <v>406</v>
      </c>
      <c r="G730" s="14" t="str">
        <f>""</f>
        <v/>
      </c>
      <c r="H730" s="14" t="str">
        <f>" 00"</f>
        <v xml:space="preserve"> 00</v>
      </c>
      <c r="I730" s="14">
        <v>0.01</v>
      </c>
      <c r="J730" s="14">
        <v>9999999.9900000002</v>
      </c>
      <c r="K730" s="14" t="s">
        <v>318</v>
      </c>
      <c r="L730" s="14" t="s">
        <v>319</v>
      </c>
      <c r="M730" s="14" t="s">
        <v>90</v>
      </c>
      <c r="P730" s="14" t="s">
        <v>260</v>
      </c>
      <c r="Q730" s="14" t="s">
        <v>25</v>
      </c>
      <c r="R730" s="14" t="s">
        <v>318</v>
      </c>
    </row>
    <row r="731" spans="1:18" s="14" customFormat="1" x14ac:dyDescent="0.25">
      <c r="A731" s="14" t="str">
        <f>"21165"</f>
        <v>21165</v>
      </c>
      <c r="B731" s="14" t="str">
        <f>"01695"</f>
        <v>01695</v>
      </c>
      <c r="C731" s="14" t="str">
        <f>"1600"</f>
        <v>1600</v>
      </c>
      <c r="D731" s="14" t="str">
        <f>"21165"</f>
        <v>21165</v>
      </c>
      <c r="E731" s="14" t="s">
        <v>847</v>
      </c>
      <c r="F731" s="14" t="s">
        <v>155</v>
      </c>
      <c r="G731" s="14" t="str">
        <f>"GR0021161"</f>
        <v>GR0021161</v>
      </c>
      <c r="H731" s="14" t="str">
        <f>" 10"</f>
        <v xml:space="preserve"> 10</v>
      </c>
      <c r="I731" s="14">
        <v>0.01</v>
      </c>
      <c r="J731" s="14">
        <v>500</v>
      </c>
      <c r="K731" s="14" t="s">
        <v>146</v>
      </c>
      <c r="L731" s="14" t="s">
        <v>147</v>
      </c>
      <c r="M731" s="14" t="s">
        <v>156</v>
      </c>
      <c r="O731" s="14" t="s">
        <v>156</v>
      </c>
      <c r="P731" s="14" t="s">
        <v>701</v>
      </c>
      <c r="Q731" s="14" t="s">
        <v>701</v>
      </c>
      <c r="R731" s="14" t="s">
        <v>146</v>
      </c>
    </row>
    <row r="732" spans="1:18" s="14" customFormat="1" x14ac:dyDescent="0.25">
      <c r="A732" s="14" t="str">
        <f>"21165"</f>
        <v>21165</v>
      </c>
      <c r="B732" s="14" t="str">
        <f>"01695"</f>
        <v>01695</v>
      </c>
      <c r="C732" s="14" t="str">
        <f>"1600"</f>
        <v>1600</v>
      </c>
      <c r="D732" s="14" t="str">
        <f>"21165"</f>
        <v>21165</v>
      </c>
      <c r="E732" s="14" t="s">
        <v>847</v>
      </c>
      <c r="F732" s="14" t="s">
        <v>155</v>
      </c>
      <c r="G732" s="14" t="str">
        <f>"GR0021161"</f>
        <v>GR0021161</v>
      </c>
      <c r="H732" s="14" t="str">
        <f>" 20"</f>
        <v xml:space="preserve"> 20</v>
      </c>
      <c r="I732" s="14">
        <v>500.01</v>
      </c>
      <c r="J732" s="14">
        <v>9999999.9900000002</v>
      </c>
      <c r="K732" s="14" t="s">
        <v>147</v>
      </c>
      <c r="L732" s="14" t="s">
        <v>156</v>
      </c>
      <c r="O732" s="14" t="s">
        <v>156</v>
      </c>
      <c r="P732" s="14" t="s">
        <v>701</v>
      </c>
      <c r="Q732" s="14" t="s">
        <v>701</v>
      </c>
      <c r="R732" s="14" t="s">
        <v>146</v>
      </c>
    </row>
    <row r="733" spans="1:18" s="14" customFormat="1" x14ac:dyDescent="0.25">
      <c r="A733" s="14" t="str">
        <f>"21174"</f>
        <v>21174</v>
      </c>
      <c r="B733" s="14" t="str">
        <f>"01260"</f>
        <v>01260</v>
      </c>
      <c r="C733" s="14" t="str">
        <f>"1300"</f>
        <v>1300</v>
      </c>
      <c r="D733" s="14" t="str">
        <f>"21174"</f>
        <v>21174</v>
      </c>
      <c r="E733" s="14" t="s">
        <v>848</v>
      </c>
      <c r="F733" s="14" t="s">
        <v>87</v>
      </c>
      <c r="G733" s="14" t="str">
        <f>"GR0021174"</f>
        <v>GR0021174</v>
      </c>
      <c r="H733" s="14" t="str">
        <f>" 00"</f>
        <v xml:space="preserve"> 00</v>
      </c>
      <c r="I733" s="14">
        <v>0.01</v>
      </c>
      <c r="J733" s="14">
        <v>9999999.9900000002</v>
      </c>
      <c r="K733" s="14" t="s">
        <v>849</v>
      </c>
      <c r="L733" s="14" t="s">
        <v>90</v>
      </c>
      <c r="O733" s="14" t="s">
        <v>849</v>
      </c>
      <c r="P733" s="14" t="s">
        <v>701</v>
      </c>
      <c r="Q733" s="14" t="s">
        <v>701</v>
      </c>
      <c r="R733" s="14" t="s">
        <v>89</v>
      </c>
    </row>
    <row r="734" spans="1:18" s="14" customFormat="1" x14ac:dyDescent="0.25">
      <c r="A734" s="14" t="str">
        <f>"21175"</f>
        <v>21175</v>
      </c>
      <c r="B734" s="14" t="str">
        <f>"01260"</f>
        <v>01260</v>
      </c>
      <c r="C734" s="14" t="str">
        <f>"1300"</f>
        <v>1300</v>
      </c>
      <c r="D734" s="14" t="str">
        <f>"21175"</f>
        <v>21175</v>
      </c>
      <c r="E734" s="14" t="s">
        <v>850</v>
      </c>
      <c r="F734" s="14" t="s">
        <v>87</v>
      </c>
      <c r="G734" s="14" t="str">
        <f>"GR0021174"</f>
        <v>GR0021174</v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849</v>
      </c>
      <c r="L734" s="14" t="s">
        <v>90</v>
      </c>
      <c r="O734" s="14" t="s">
        <v>849</v>
      </c>
      <c r="P734" s="14" t="s">
        <v>701</v>
      </c>
      <c r="Q734" s="14" t="s">
        <v>701</v>
      </c>
      <c r="R734" s="14" t="s">
        <v>89</v>
      </c>
    </row>
    <row r="735" spans="1:18" s="14" customFormat="1" x14ac:dyDescent="0.25">
      <c r="A735" s="14" t="str">
        <f>"21183"</f>
        <v>21183</v>
      </c>
      <c r="B735" s="14" t="str">
        <f>"01695"</f>
        <v>01695</v>
      </c>
      <c r="C735" s="14" t="str">
        <f>"1600"</f>
        <v>1600</v>
      </c>
      <c r="D735" s="14" t="str">
        <f>"21183"</f>
        <v>21183</v>
      </c>
      <c r="E735" s="14" t="s">
        <v>851</v>
      </c>
      <c r="F735" s="14" t="s">
        <v>155</v>
      </c>
      <c r="G735" s="14" t="str">
        <f>"GR0021161"</f>
        <v>GR0021161</v>
      </c>
      <c r="H735" s="14" t="str">
        <f>" 10"</f>
        <v xml:space="preserve"> 10</v>
      </c>
      <c r="I735" s="14">
        <v>0.01</v>
      </c>
      <c r="J735" s="14">
        <v>500</v>
      </c>
      <c r="K735" s="14" t="s">
        <v>146</v>
      </c>
      <c r="L735" s="14" t="s">
        <v>147</v>
      </c>
      <c r="M735" s="14" t="s">
        <v>156</v>
      </c>
      <c r="O735" s="14" t="s">
        <v>156</v>
      </c>
      <c r="P735" s="14" t="s">
        <v>701</v>
      </c>
      <c r="Q735" s="14" t="s">
        <v>701</v>
      </c>
      <c r="R735" s="14" t="s">
        <v>146</v>
      </c>
    </row>
    <row r="736" spans="1:18" s="14" customFormat="1" x14ac:dyDescent="0.25">
      <c r="A736" s="14" t="str">
        <f>"21183"</f>
        <v>21183</v>
      </c>
      <c r="B736" s="14" t="str">
        <f>"01695"</f>
        <v>01695</v>
      </c>
      <c r="C736" s="14" t="str">
        <f>"1600"</f>
        <v>1600</v>
      </c>
      <c r="D736" s="14" t="str">
        <f>"21183"</f>
        <v>21183</v>
      </c>
      <c r="E736" s="14" t="s">
        <v>851</v>
      </c>
      <c r="F736" s="14" t="s">
        <v>155</v>
      </c>
      <c r="G736" s="14" t="str">
        <f>"GR0021161"</f>
        <v>GR0021161</v>
      </c>
      <c r="H736" s="14" t="str">
        <f>" 20"</f>
        <v xml:space="preserve"> 20</v>
      </c>
      <c r="I736" s="14">
        <v>500.01</v>
      </c>
      <c r="J736" s="14">
        <v>9999999.9900000002</v>
      </c>
      <c r="K736" s="14" t="s">
        <v>147</v>
      </c>
      <c r="L736" s="14" t="s">
        <v>156</v>
      </c>
      <c r="O736" s="14" t="s">
        <v>156</v>
      </c>
      <c r="P736" s="14" t="s">
        <v>701</v>
      </c>
      <c r="Q736" s="14" t="s">
        <v>701</v>
      </c>
      <c r="R736" s="14" t="s">
        <v>146</v>
      </c>
    </row>
    <row r="737" spans="1:18" s="14" customFormat="1" x14ac:dyDescent="0.25">
      <c r="A737" s="14" t="str">
        <f>"21186"</f>
        <v>21186</v>
      </c>
      <c r="B737" s="14" t="str">
        <f>"01830"</f>
        <v>01830</v>
      </c>
      <c r="C737" s="14" t="str">
        <f>"1200"</f>
        <v>1200</v>
      </c>
      <c r="D737" s="14" t="str">
        <f>"21186"</f>
        <v>21186</v>
      </c>
      <c r="E737" s="14" t="s">
        <v>852</v>
      </c>
      <c r="F737" s="14" t="s">
        <v>187</v>
      </c>
      <c r="G737" s="14" t="str">
        <f>"GR0021186"</f>
        <v>GR0021186</v>
      </c>
      <c r="H737" s="14" t="str">
        <f>" 00"</f>
        <v xml:space="preserve"> 00</v>
      </c>
      <c r="I737" s="14">
        <v>0.01</v>
      </c>
      <c r="J737" s="14">
        <v>9999999.9900000002</v>
      </c>
      <c r="K737" s="14" t="s">
        <v>112</v>
      </c>
      <c r="L737" s="14" t="s">
        <v>113</v>
      </c>
      <c r="O737" s="14" t="s">
        <v>853</v>
      </c>
      <c r="P737" s="14" t="s">
        <v>701</v>
      </c>
      <c r="Q737" s="14" t="s">
        <v>701</v>
      </c>
      <c r="R737" s="14" t="s">
        <v>115</v>
      </c>
    </row>
    <row r="738" spans="1:18" s="14" customFormat="1" x14ac:dyDescent="0.25">
      <c r="A738" s="14" t="str">
        <f>"21187"</f>
        <v>21187</v>
      </c>
      <c r="B738" s="14" t="str">
        <f>"01830"</f>
        <v>01830</v>
      </c>
      <c r="C738" s="14" t="str">
        <f>"1200"</f>
        <v>1200</v>
      </c>
      <c r="D738" s="14" t="str">
        <f>"21187"</f>
        <v>21187</v>
      </c>
      <c r="E738" s="14" t="s">
        <v>854</v>
      </c>
      <c r="F738" s="14" t="s">
        <v>187</v>
      </c>
      <c r="G738" s="14" t="str">
        <f>"GR0021186"</f>
        <v>GR0021186</v>
      </c>
      <c r="H738" s="14" t="str">
        <f>" 00"</f>
        <v xml:space="preserve"> 00</v>
      </c>
      <c r="I738" s="14">
        <v>0.01</v>
      </c>
      <c r="J738" s="14">
        <v>9999999.9900000002</v>
      </c>
      <c r="K738" s="14" t="s">
        <v>112</v>
      </c>
      <c r="L738" s="14" t="s">
        <v>113</v>
      </c>
      <c r="O738" s="14" t="s">
        <v>853</v>
      </c>
      <c r="P738" s="14" t="s">
        <v>701</v>
      </c>
      <c r="Q738" s="14" t="s">
        <v>701</v>
      </c>
      <c r="R738" s="14" t="s">
        <v>115</v>
      </c>
    </row>
    <row r="739" spans="1:18" s="14" customFormat="1" x14ac:dyDescent="0.25">
      <c r="A739" s="14" t="str">
        <f>"21189"</f>
        <v>21189</v>
      </c>
      <c r="B739" s="14" t="str">
        <f>"01670"</f>
        <v>01670</v>
      </c>
      <c r="C739" s="14" t="str">
        <f>"1600"</f>
        <v>1600</v>
      </c>
      <c r="D739" s="14" t="str">
        <f>"21189"</f>
        <v>21189</v>
      </c>
      <c r="E739" s="14" t="s">
        <v>855</v>
      </c>
      <c r="F739" s="14" t="s">
        <v>151</v>
      </c>
      <c r="G739" s="14" t="str">
        <f>"GR0021157"</f>
        <v>GR0021157</v>
      </c>
      <c r="H739" s="14" t="str">
        <f>" 10"</f>
        <v xml:space="preserve"> 10</v>
      </c>
      <c r="I739" s="14">
        <v>0.01</v>
      </c>
      <c r="J739" s="14">
        <v>500</v>
      </c>
      <c r="K739" s="14" t="s">
        <v>146</v>
      </c>
      <c r="L739" s="14" t="s">
        <v>147</v>
      </c>
      <c r="O739" s="14" t="s">
        <v>856</v>
      </c>
      <c r="P739" s="14" t="s">
        <v>701</v>
      </c>
      <c r="Q739" s="14" t="s">
        <v>701</v>
      </c>
      <c r="R739" s="14" t="s">
        <v>146</v>
      </c>
    </row>
    <row r="740" spans="1:18" s="14" customFormat="1" x14ac:dyDescent="0.25">
      <c r="A740" s="14" t="str">
        <f>"21189"</f>
        <v>21189</v>
      </c>
      <c r="B740" s="14" t="str">
        <f>"01670"</f>
        <v>01670</v>
      </c>
      <c r="C740" s="14" t="str">
        <f>"1600"</f>
        <v>1600</v>
      </c>
      <c r="D740" s="14" t="str">
        <f>"21189"</f>
        <v>21189</v>
      </c>
      <c r="E740" s="14" t="s">
        <v>855</v>
      </c>
      <c r="F740" s="14" t="s">
        <v>151</v>
      </c>
      <c r="G740" s="14" t="str">
        <f>"GR0021157"</f>
        <v>GR0021157</v>
      </c>
      <c r="H740" s="14" t="str">
        <f>" 20"</f>
        <v xml:space="preserve"> 20</v>
      </c>
      <c r="I740" s="14">
        <v>500.01</v>
      </c>
      <c r="J740" s="14">
        <v>9999999.9900000002</v>
      </c>
      <c r="K740" s="14" t="s">
        <v>147</v>
      </c>
      <c r="L740" s="14" t="s">
        <v>856</v>
      </c>
      <c r="M740" s="14" t="s">
        <v>661</v>
      </c>
      <c r="O740" s="14" t="s">
        <v>856</v>
      </c>
      <c r="P740" s="14" t="s">
        <v>701</v>
      </c>
      <c r="Q740" s="14" t="s">
        <v>701</v>
      </c>
      <c r="R740" s="14" t="s">
        <v>146</v>
      </c>
    </row>
    <row r="741" spans="1:18" s="14" customFormat="1" x14ac:dyDescent="0.25">
      <c r="A741" s="14" t="str">
        <f>"21190"</f>
        <v>21190</v>
      </c>
      <c r="B741" s="14" t="str">
        <f>"01670"</f>
        <v>01670</v>
      </c>
      <c r="C741" s="14" t="str">
        <f>"1600"</f>
        <v>1600</v>
      </c>
      <c r="D741" s="14" t="str">
        <f>"21190"</f>
        <v>21190</v>
      </c>
      <c r="E741" s="14" t="s">
        <v>857</v>
      </c>
      <c r="F741" s="14" t="s">
        <v>151</v>
      </c>
      <c r="G741" s="14" t="str">
        <f>"GR0021157"</f>
        <v>GR0021157</v>
      </c>
      <c r="H741" s="14" t="str">
        <f>" 10"</f>
        <v xml:space="preserve"> 10</v>
      </c>
      <c r="I741" s="14">
        <v>0.01</v>
      </c>
      <c r="J741" s="14">
        <v>500</v>
      </c>
      <c r="K741" s="14" t="s">
        <v>146</v>
      </c>
      <c r="L741" s="14" t="s">
        <v>147</v>
      </c>
      <c r="O741" s="14" t="s">
        <v>856</v>
      </c>
      <c r="P741" s="14" t="s">
        <v>701</v>
      </c>
      <c r="Q741" s="14" t="s">
        <v>701</v>
      </c>
      <c r="R741" s="14" t="s">
        <v>146</v>
      </c>
    </row>
    <row r="742" spans="1:18" s="14" customFormat="1" x14ac:dyDescent="0.25">
      <c r="A742" s="14" t="str">
        <f>"21190"</f>
        <v>21190</v>
      </c>
      <c r="B742" s="14" t="str">
        <f>"01670"</f>
        <v>01670</v>
      </c>
      <c r="C742" s="14" t="str">
        <f>"1600"</f>
        <v>1600</v>
      </c>
      <c r="D742" s="14" t="str">
        <f>"21190"</f>
        <v>21190</v>
      </c>
      <c r="E742" s="14" t="s">
        <v>857</v>
      </c>
      <c r="F742" s="14" t="s">
        <v>151</v>
      </c>
      <c r="G742" s="14" t="str">
        <f>"GR0021157"</f>
        <v>GR0021157</v>
      </c>
      <c r="H742" s="14" t="str">
        <f>" 20"</f>
        <v xml:space="preserve"> 20</v>
      </c>
      <c r="I742" s="14">
        <v>500.01</v>
      </c>
      <c r="J742" s="14">
        <v>9999999.9900000002</v>
      </c>
      <c r="K742" s="14" t="s">
        <v>147</v>
      </c>
      <c r="L742" s="14" t="s">
        <v>856</v>
      </c>
      <c r="M742" s="14" t="s">
        <v>661</v>
      </c>
      <c r="O742" s="14" t="s">
        <v>856</v>
      </c>
      <c r="P742" s="14" t="s">
        <v>701</v>
      </c>
      <c r="Q742" s="14" t="s">
        <v>701</v>
      </c>
      <c r="R742" s="14" t="s">
        <v>146</v>
      </c>
    </row>
    <row r="743" spans="1:18" s="14" customFormat="1" x14ac:dyDescent="0.25">
      <c r="A743" s="14" t="str">
        <f>"21191"</f>
        <v>21191</v>
      </c>
      <c r="B743" s="14" t="str">
        <f>"01695"</f>
        <v>01695</v>
      </c>
      <c r="C743" s="14" t="str">
        <f>"1600"</f>
        <v>1600</v>
      </c>
      <c r="D743" s="14" t="str">
        <f>"21191"</f>
        <v>21191</v>
      </c>
      <c r="E743" s="14" t="s">
        <v>858</v>
      </c>
      <c r="F743" s="14" t="s">
        <v>155</v>
      </c>
      <c r="G743" s="14" t="str">
        <f>"GR0021161"</f>
        <v>GR0021161</v>
      </c>
      <c r="H743" s="14" t="str">
        <f>" 10"</f>
        <v xml:space="preserve"> 10</v>
      </c>
      <c r="I743" s="14">
        <v>0.01</v>
      </c>
      <c r="J743" s="14">
        <v>500</v>
      </c>
      <c r="K743" s="14" t="s">
        <v>146</v>
      </c>
      <c r="L743" s="14" t="s">
        <v>147</v>
      </c>
      <c r="M743" s="14" t="s">
        <v>156</v>
      </c>
      <c r="O743" s="14" t="s">
        <v>156</v>
      </c>
      <c r="P743" s="14" t="s">
        <v>701</v>
      </c>
      <c r="Q743" s="14" t="s">
        <v>701</v>
      </c>
      <c r="R743" s="14" t="s">
        <v>146</v>
      </c>
    </row>
    <row r="744" spans="1:18" s="14" customFormat="1" x14ac:dyDescent="0.25">
      <c r="A744" s="14" t="str">
        <f>"21191"</f>
        <v>21191</v>
      </c>
      <c r="B744" s="14" t="str">
        <f>"01695"</f>
        <v>01695</v>
      </c>
      <c r="C744" s="14" t="str">
        <f>"1600"</f>
        <v>1600</v>
      </c>
      <c r="D744" s="14" t="str">
        <f>"21191"</f>
        <v>21191</v>
      </c>
      <c r="E744" s="14" t="s">
        <v>858</v>
      </c>
      <c r="F744" s="14" t="s">
        <v>155</v>
      </c>
      <c r="G744" s="14" t="str">
        <f>"GR0021161"</f>
        <v>GR0021161</v>
      </c>
      <c r="H744" s="14" t="str">
        <f>" 20"</f>
        <v xml:space="preserve"> 20</v>
      </c>
      <c r="I744" s="14">
        <v>500.01</v>
      </c>
      <c r="J744" s="14">
        <v>9999999.9900000002</v>
      </c>
      <c r="K744" s="14" t="s">
        <v>147</v>
      </c>
      <c r="L744" s="14" t="s">
        <v>156</v>
      </c>
      <c r="O744" s="14" t="s">
        <v>156</v>
      </c>
      <c r="P744" s="14" t="s">
        <v>701</v>
      </c>
      <c r="Q744" s="14" t="s">
        <v>701</v>
      </c>
      <c r="R744" s="14" t="s">
        <v>146</v>
      </c>
    </row>
    <row r="745" spans="1:18" s="14" customFormat="1" x14ac:dyDescent="0.25">
      <c r="A745" s="14" t="str">
        <f>"21211"</f>
        <v>21211</v>
      </c>
      <c r="B745" s="14" t="str">
        <f>"01290"</f>
        <v>01290</v>
      </c>
      <c r="C745" s="14" t="str">
        <f>"1300"</f>
        <v>1300</v>
      </c>
      <c r="D745" s="14" t="str">
        <f>"21211"</f>
        <v>21211</v>
      </c>
      <c r="E745" s="14" t="s">
        <v>859</v>
      </c>
      <c r="F745" s="14" t="s">
        <v>95</v>
      </c>
      <c r="G745" s="14" t="str">
        <f>"GR0021211"</f>
        <v>GR0021211</v>
      </c>
      <c r="H745" s="14" t="str">
        <f>" 00"</f>
        <v xml:space="preserve"> 00</v>
      </c>
      <c r="I745" s="14">
        <v>0.01</v>
      </c>
      <c r="J745" s="14">
        <v>9999999.9900000002</v>
      </c>
      <c r="K745" s="14" t="s">
        <v>83</v>
      </c>
      <c r="L745" s="14" t="s">
        <v>37</v>
      </c>
      <c r="M745" s="14" t="s">
        <v>38</v>
      </c>
      <c r="O745" s="14" t="s">
        <v>83</v>
      </c>
      <c r="P745" s="14" t="s">
        <v>701</v>
      </c>
      <c r="Q745" s="14" t="s">
        <v>701</v>
      </c>
      <c r="R745" s="14" t="s">
        <v>38</v>
      </c>
    </row>
    <row r="746" spans="1:18" s="14" customFormat="1" x14ac:dyDescent="0.25">
      <c r="A746" s="14" t="str">
        <f>"21212"</f>
        <v>21212</v>
      </c>
      <c r="B746" s="14" t="str">
        <f>"01290"</f>
        <v>01290</v>
      </c>
      <c r="C746" s="14" t="str">
        <f>"1300"</f>
        <v>1300</v>
      </c>
      <c r="D746" s="14" t="str">
        <f>"21212"</f>
        <v>21212</v>
      </c>
      <c r="E746" s="14" t="s">
        <v>860</v>
      </c>
      <c r="F746" s="14" t="s">
        <v>95</v>
      </c>
      <c r="G746" s="14" t="str">
        <f>"GR0021212"</f>
        <v>GR0021212</v>
      </c>
      <c r="H746" s="14" t="str">
        <f>" 00"</f>
        <v xml:space="preserve"> 00</v>
      </c>
      <c r="I746" s="14">
        <v>0.01</v>
      </c>
      <c r="J746" s="14">
        <v>9999999.9900000002</v>
      </c>
      <c r="K746" s="14" t="s">
        <v>83</v>
      </c>
      <c r="L746" s="14" t="s">
        <v>37</v>
      </c>
      <c r="M746" s="14" t="s">
        <v>38</v>
      </c>
      <c r="O746" s="14" t="s">
        <v>83</v>
      </c>
      <c r="P746" s="14" t="s">
        <v>701</v>
      </c>
      <c r="Q746" s="14" t="s">
        <v>701</v>
      </c>
      <c r="R746" s="14" t="s">
        <v>38</v>
      </c>
    </row>
    <row r="747" spans="1:18" s="14" customFormat="1" x14ac:dyDescent="0.25">
      <c r="A747" s="14" t="str">
        <f>"21214"</f>
        <v>21214</v>
      </c>
      <c r="B747" s="14" t="str">
        <f>"01620"</f>
        <v>01620</v>
      </c>
      <c r="C747" s="14" t="str">
        <f>"1200"</f>
        <v>1200</v>
      </c>
      <c r="D747" s="14" t="str">
        <f>"21214"</f>
        <v>21214</v>
      </c>
      <c r="E747" s="14" t="s">
        <v>861</v>
      </c>
      <c r="F747" s="14" t="s">
        <v>140</v>
      </c>
      <c r="G747" s="14" t="str">
        <f>"GR0021214"</f>
        <v>GR0021214</v>
      </c>
      <c r="H747" s="14" t="str">
        <f>" 00"</f>
        <v xml:space="preserve"> 00</v>
      </c>
      <c r="I747" s="14">
        <v>0.01</v>
      </c>
      <c r="J747" s="14">
        <v>9999999.9900000002</v>
      </c>
      <c r="K747" s="14" t="s">
        <v>69</v>
      </c>
      <c r="L747" s="14" t="s">
        <v>70</v>
      </c>
      <c r="M747" s="14" t="s">
        <v>71</v>
      </c>
      <c r="O747" s="14" t="s">
        <v>862</v>
      </c>
      <c r="P747" s="14" t="s">
        <v>701</v>
      </c>
      <c r="Q747" s="14" t="s">
        <v>701</v>
      </c>
      <c r="R747" s="14" t="s">
        <v>141</v>
      </c>
    </row>
    <row r="748" spans="1:18" s="14" customFormat="1" x14ac:dyDescent="0.25">
      <c r="A748" s="14" t="str">
        <f>"21215"</f>
        <v>21215</v>
      </c>
      <c r="B748" s="14" t="str">
        <f>"01810"</f>
        <v>01810</v>
      </c>
      <c r="C748" s="14" t="str">
        <f>"1200"</f>
        <v>1200</v>
      </c>
      <c r="D748" s="14" t="str">
        <f>"21215"</f>
        <v>21215</v>
      </c>
      <c r="E748" s="14" t="s">
        <v>863</v>
      </c>
      <c r="F748" s="14" t="s">
        <v>183</v>
      </c>
      <c r="G748" s="14" t="str">
        <f>"GR0021215"</f>
        <v>GR0021215</v>
      </c>
      <c r="H748" s="14" t="str">
        <f>" 00"</f>
        <v xml:space="preserve"> 00</v>
      </c>
      <c r="I748" s="14">
        <v>0.01</v>
      </c>
      <c r="J748" s="14">
        <v>9999999.9900000002</v>
      </c>
      <c r="K748" s="14" t="s">
        <v>184</v>
      </c>
      <c r="L748" s="14" t="s">
        <v>112</v>
      </c>
      <c r="M748" s="14" t="s">
        <v>113</v>
      </c>
      <c r="N748" s="14" t="s">
        <v>114</v>
      </c>
      <c r="O748" s="14" t="s">
        <v>184</v>
      </c>
      <c r="P748" s="14" t="s">
        <v>701</v>
      </c>
      <c r="Q748" s="14" t="s">
        <v>701</v>
      </c>
      <c r="R748" s="14" t="s">
        <v>115</v>
      </c>
    </row>
    <row r="749" spans="1:18" s="14" customFormat="1" x14ac:dyDescent="0.25">
      <c r="A749" s="14" t="str">
        <f>"21216"</f>
        <v>21216</v>
      </c>
      <c r="B749" s="14" t="str">
        <f>"01810"</f>
        <v>01810</v>
      </c>
      <c r="C749" s="14" t="str">
        <f>"1200"</f>
        <v>1200</v>
      </c>
      <c r="D749" s="14" t="str">
        <f>"21216"</f>
        <v>21216</v>
      </c>
      <c r="E749" s="14" t="s">
        <v>864</v>
      </c>
      <c r="F749" s="14" t="s">
        <v>183</v>
      </c>
      <c r="G749" s="14" t="str">
        <f>"GR0021215"</f>
        <v>GR0021215</v>
      </c>
      <c r="H749" s="14" t="str">
        <f>" 00"</f>
        <v xml:space="preserve"> 00</v>
      </c>
      <c r="I749" s="14">
        <v>0.01</v>
      </c>
      <c r="J749" s="14">
        <v>9999999.9900000002</v>
      </c>
      <c r="K749" s="14" t="s">
        <v>184</v>
      </c>
      <c r="L749" s="14" t="s">
        <v>112</v>
      </c>
      <c r="M749" s="14" t="s">
        <v>113</v>
      </c>
      <c r="N749" s="14" t="s">
        <v>114</v>
      </c>
      <c r="O749" s="14" t="s">
        <v>184</v>
      </c>
      <c r="P749" s="14" t="s">
        <v>701</v>
      </c>
      <c r="Q749" s="14" t="s">
        <v>701</v>
      </c>
      <c r="R749" s="14" t="s">
        <v>115</v>
      </c>
    </row>
    <row r="750" spans="1:18" s="14" customFormat="1" x14ac:dyDescent="0.25">
      <c r="A750" s="14" t="str">
        <f>"21217"</f>
        <v>21217</v>
      </c>
      <c r="B750" s="14" t="str">
        <f>"01810"</f>
        <v>01810</v>
      </c>
      <c r="C750" s="14" t="str">
        <f>"1200"</f>
        <v>1200</v>
      </c>
      <c r="D750" s="14" t="str">
        <f>"21217"</f>
        <v>21217</v>
      </c>
      <c r="E750" s="14" t="s">
        <v>865</v>
      </c>
      <c r="F750" s="14" t="s">
        <v>183</v>
      </c>
      <c r="G750" s="14" t="str">
        <f>"GR0021215"</f>
        <v>GR0021215</v>
      </c>
      <c r="H750" s="14" t="str">
        <f>" 00"</f>
        <v xml:space="preserve"> 00</v>
      </c>
      <c r="I750" s="14">
        <v>0.01</v>
      </c>
      <c r="J750" s="14">
        <v>9999999.9900000002</v>
      </c>
      <c r="K750" s="14" t="s">
        <v>184</v>
      </c>
      <c r="L750" s="14" t="s">
        <v>112</v>
      </c>
      <c r="M750" s="14" t="s">
        <v>113</v>
      </c>
      <c r="N750" s="14" t="s">
        <v>114</v>
      </c>
      <c r="O750" s="14" t="s">
        <v>184</v>
      </c>
      <c r="P750" s="14" t="s">
        <v>701</v>
      </c>
      <c r="Q750" s="14" t="s">
        <v>701</v>
      </c>
      <c r="R750" s="14" t="s">
        <v>115</v>
      </c>
    </row>
    <row r="751" spans="1:18" s="14" customFormat="1" x14ac:dyDescent="0.25">
      <c r="A751" s="14" t="str">
        <f>"21218"</f>
        <v>21218</v>
      </c>
      <c r="B751" s="14" t="str">
        <f>"01810"</f>
        <v>01810</v>
      </c>
      <c r="C751" s="14" t="str">
        <f>"1200"</f>
        <v>1200</v>
      </c>
      <c r="D751" s="14" t="str">
        <f>"21218"</f>
        <v>21218</v>
      </c>
      <c r="E751" s="14" t="s">
        <v>866</v>
      </c>
      <c r="F751" s="14" t="s">
        <v>183</v>
      </c>
      <c r="G751" s="14" t="str">
        <f>"GR0021215"</f>
        <v>GR0021215</v>
      </c>
      <c r="H751" s="14" t="str">
        <f>" 00"</f>
        <v xml:space="preserve"> 00</v>
      </c>
      <c r="I751" s="14">
        <v>0.01</v>
      </c>
      <c r="J751" s="14">
        <v>9999999.9900000002</v>
      </c>
      <c r="K751" s="14" t="s">
        <v>184</v>
      </c>
      <c r="L751" s="14" t="s">
        <v>112</v>
      </c>
      <c r="M751" s="14" t="s">
        <v>113</v>
      </c>
      <c r="N751" s="14" t="s">
        <v>114</v>
      </c>
      <c r="O751" s="14" t="s">
        <v>184</v>
      </c>
      <c r="P751" s="14" t="s">
        <v>701</v>
      </c>
      <c r="Q751" s="14" t="s">
        <v>701</v>
      </c>
      <c r="R751" s="14" t="s">
        <v>115</v>
      </c>
    </row>
    <row r="752" spans="1:18" s="14" customFormat="1" x14ac:dyDescent="0.25">
      <c r="A752" s="14" t="str">
        <f>"22271"</f>
        <v>22271</v>
      </c>
      <c r="B752" s="14" t="str">
        <f>"01660"</f>
        <v>01660</v>
      </c>
      <c r="C752" s="14" t="str">
        <f>"1600"</f>
        <v>1600</v>
      </c>
      <c r="D752" s="14" t="str">
        <f>"22271"</f>
        <v>22271</v>
      </c>
      <c r="E752" s="14" t="s">
        <v>867</v>
      </c>
      <c r="F752" s="14" t="s">
        <v>145</v>
      </c>
      <c r="G752" s="14" t="str">
        <f>"GR0022271"</f>
        <v>GR0022271</v>
      </c>
      <c r="H752" s="14" t="str">
        <f>" 10"</f>
        <v xml:space="preserve"> 10</v>
      </c>
      <c r="I752" s="14">
        <v>0.01</v>
      </c>
      <c r="J752" s="14">
        <v>500</v>
      </c>
      <c r="K752" s="14" t="s">
        <v>146</v>
      </c>
      <c r="L752" s="14" t="s">
        <v>147</v>
      </c>
      <c r="O752" s="14" t="s">
        <v>661</v>
      </c>
      <c r="P752" s="14" t="s">
        <v>701</v>
      </c>
      <c r="Q752" s="14" t="s">
        <v>701</v>
      </c>
      <c r="R752" s="14" t="s">
        <v>146</v>
      </c>
    </row>
    <row r="753" spans="1:18" s="14" customFormat="1" x14ac:dyDescent="0.25">
      <c r="A753" s="14" t="str">
        <f>"22271"</f>
        <v>22271</v>
      </c>
      <c r="B753" s="14" t="str">
        <f>"01660"</f>
        <v>01660</v>
      </c>
      <c r="C753" s="14" t="str">
        <f>"1600"</f>
        <v>1600</v>
      </c>
      <c r="D753" s="14" t="str">
        <f>"22271"</f>
        <v>22271</v>
      </c>
      <c r="E753" s="14" t="s">
        <v>867</v>
      </c>
      <c r="F753" s="14" t="s">
        <v>145</v>
      </c>
      <c r="G753" s="14" t="str">
        <f>"GR0022271"</f>
        <v>GR0022271</v>
      </c>
      <c r="H753" s="14" t="str">
        <f>" 20"</f>
        <v xml:space="preserve"> 20</v>
      </c>
      <c r="I753" s="14">
        <v>500.01</v>
      </c>
      <c r="J753" s="14">
        <v>9999999.9900000002</v>
      </c>
      <c r="K753" s="14" t="s">
        <v>147</v>
      </c>
      <c r="L753" s="14" t="s">
        <v>661</v>
      </c>
      <c r="O753" s="14" t="s">
        <v>661</v>
      </c>
      <c r="P753" s="14" t="s">
        <v>701</v>
      </c>
      <c r="Q753" s="14" t="s">
        <v>701</v>
      </c>
      <c r="R753" s="14" t="s">
        <v>146</v>
      </c>
    </row>
    <row r="754" spans="1:18" s="14" customFormat="1" x14ac:dyDescent="0.25">
      <c r="A754" s="14" t="str">
        <f>"22275"</f>
        <v>22275</v>
      </c>
      <c r="B754" s="14" t="str">
        <f>"01660"</f>
        <v>01660</v>
      </c>
      <c r="C754" s="14" t="str">
        <f>"1700"</f>
        <v>1700</v>
      </c>
      <c r="D754" s="14" t="str">
        <f>"22275"</f>
        <v>22275</v>
      </c>
      <c r="E754" s="14" t="s">
        <v>868</v>
      </c>
      <c r="F754" s="14" t="s">
        <v>145</v>
      </c>
      <c r="G754" s="14" t="str">
        <f>"GR0022268"</f>
        <v>GR0022268</v>
      </c>
      <c r="H754" s="14" t="str">
        <f>" 10"</f>
        <v xml:space="preserve"> 10</v>
      </c>
      <c r="I754" s="14">
        <v>0.01</v>
      </c>
      <c r="J754" s="14">
        <v>500</v>
      </c>
      <c r="K754" s="14" t="s">
        <v>146</v>
      </c>
      <c r="L754" s="14" t="s">
        <v>147</v>
      </c>
      <c r="O754" s="14" t="s">
        <v>147</v>
      </c>
      <c r="P754" s="14" t="s">
        <v>701</v>
      </c>
      <c r="Q754" s="14" t="s">
        <v>701</v>
      </c>
      <c r="R754" s="14" t="s">
        <v>146</v>
      </c>
    </row>
    <row r="755" spans="1:18" s="14" customFormat="1" x14ac:dyDescent="0.25">
      <c r="A755" s="14" t="str">
        <f>"22275"</f>
        <v>22275</v>
      </c>
      <c r="B755" s="14" t="str">
        <f>"01660"</f>
        <v>01660</v>
      </c>
      <c r="C755" s="14" t="str">
        <f>"1700"</f>
        <v>1700</v>
      </c>
      <c r="D755" s="14" t="str">
        <f>"22275"</f>
        <v>22275</v>
      </c>
      <c r="E755" s="14" t="s">
        <v>868</v>
      </c>
      <c r="F755" s="14" t="s">
        <v>145</v>
      </c>
      <c r="G755" s="14" t="str">
        <f>"GR0022268"</f>
        <v>GR0022268</v>
      </c>
      <c r="H755" s="14" t="str">
        <f>" 20"</f>
        <v xml:space="preserve"> 20</v>
      </c>
      <c r="I755" s="14">
        <v>500.01</v>
      </c>
      <c r="J755" s="14">
        <v>9999999.9900000002</v>
      </c>
      <c r="K755" s="14" t="s">
        <v>147</v>
      </c>
      <c r="L755" s="14" t="s">
        <v>148</v>
      </c>
      <c r="O755" s="14" t="s">
        <v>147</v>
      </c>
      <c r="P755" s="14" t="s">
        <v>701</v>
      </c>
      <c r="Q755" s="14" t="s">
        <v>701</v>
      </c>
      <c r="R755" s="14" t="s">
        <v>146</v>
      </c>
    </row>
    <row r="756" spans="1:18" s="14" customFormat="1" x14ac:dyDescent="0.25">
      <c r="A756" s="14" t="str">
        <f>"22276"</f>
        <v>22276</v>
      </c>
      <c r="B756" s="14" t="str">
        <f>"01660"</f>
        <v>01660</v>
      </c>
      <c r="C756" s="14" t="str">
        <f>"1800"</f>
        <v>1800</v>
      </c>
      <c r="D756" s="14" t="str">
        <f>"22276"</f>
        <v>22276</v>
      </c>
      <c r="E756" s="14" t="s">
        <v>869</v>
      </c>
      <c r="F756" s="14" t="s">
        <v>145</v>
      </c>
      <c r="G756" s="14" t="str">
        <f>"GR0022268"</f>
        <v>GR0022268</v>
      </c>
      <c r="H756" s="14" t="str">
        <f>" 10"</f>
        <v xml:space="preserve"> 10</v>
      </c>
      <c r="I756" s="14">
        <v>0.01</v>
      </c>
      <c r="J756" s="14">
        <v>500</v>
      </c>
      <c r="K756" s="14" t="s">
        <v>146</v>
      </c>
      <c r="L756" s="14" t="s">
        <v>147</v>
      </c>
      <c r="O756" s="14" t="s">
        <v>147</v>
      </c>
      <c r="P756" s="14" t="s">
        <v>701</v>
      </c>
      <c r="Q756" s="14" t="s">
        <v>701</v>
      </c>
      <c r="R756" s="14" t="s">
        <v>146</v>
      </c>
    </row>
    <row r="757" spans="1:18" s="14" customFormat="1" x14ac:dyDescent="0.25">
      <c r="A757" s="14" t="str">
        <f>"22276"</f>
        <v>22276</v>
      </c>
      <c r="B757" s="14" t="str">
        <f>"01660"</f>
        <v>01660</v>
      </c>
      <c r="C757" s="14" t="str">
        <f>"1800"</f>
        <v>1800</v>
      </c>
      <c r="D757" s="14" t="str">
        <f>"22276"</f>
        <v>22276</v>
      </c>
      <c r="E757" s="14" t="s">
        <v>869</v>
      </c>
      <c r="F757" s="14" t="s">
        <v>145</v>
      </c>
      <c r="G757" s="14" t="str">
        <f>"GR0022268"</f>
        <v>GR0022268</v>
      </c>
      <c r="H757" s="14" t="str">
        <f>" 20"</f>
        <v xml:space="preserve"> 20</v>
      </c>
      <c r="I757" s="14">
        <v>500.01</v>
      </c>
      <c r="J757" s="14">
        <v>9999999.9900000002</v>
      </c>
      <c r="K757" s="14" t="s">
        <v>147</v>
      </c>
      <c r="L757" s="14" t="s">
        <v>148</v>
      </c>
      <c r="O757" s="14" t="s">
        <v>147</v>
      </c>
      <c r="P757" s="14" t="s">
        <v>701</v>
      </c>
      <c r="Q757" s="14" t="s">
        <v>701</v>
      </c>
      <c r="R757" s="14" t="s">
        <v>146</v>
      </c>
    </row>
    <row r="758" spans="1:18" s="14" customFormat="1" x14ac:dyDescent="0.25">
      <c r="A758" s="14" t="str">
        <f>"22277"</f>
        <v>22277</v>
      </c>
      <c r="B758" s="14" t="str">
        <f>"01660"</f>
        <v>01660</v>
      </c>
      <c r="C758" s="14" t="str">
        <f>"1600"</f>
        <v>1600</v>
      </c>
      <c r="D758" s="14" t="str">
        <f>"22277"</f>
        <v>22277</v>
      </c>
      <c r="E758" s="14" t="s">
        <v>870</v>
      </c>
      <c r="F758" s="14" t="s">
        <v>145</v>
      </c>
      <c r="G758" s="14" t="str">
        <f>"GR0022274"</f>
        <v>GR0022274</v>
      </c>
      <c r="H758" s="14" t="str">
        <f>" 10"</f>
        <v xml:space="preserve"> 10</v>
      </c>
      <c r="I758" s="14">
        <v>0.01</v>
      </c>
      <c r="J758" s="14">
        <v>500</v>
      </c>
      <c r="K758" s="14" t="s">
        <v>146</v>
      </c>
      <c r="L758" s="14" t="s">
        <v>147</v>
      </c>
      <c r="O758" s="14" t="s">
        <v>661</v>
      </c>
      <c r="P758" s="14" t="s">
        <v>701</v>
      </c>
      <c r="Q758" s="14" t="s">
        <v>701</v>
      </c>
      <c r="R758" s="14" t="s">
        <v>146</v>
      </c>
    </row>
    <row r="759" spans="1:18" s="14" customFormat="1" x14ac:dyDescent="0.25">
      <c r="A759" s="14" t="str">
        <f>"22277"</f>
        <v>22277</v>
      </c>
      <c r="B759" s="14" t="str">
        <f>"01660"</f>
        <v>01660</v>
      </c>
      <c r="C759" s="14" t="str">
        <f>"1600"</f>
        <v>1600</v>
      </c>
      <c r="D759" s="14" t="str">
        <f>"22277"</f>
        <v>22277</v>
      </c>
      <c r="E759" s="14" t="s">
        <v>870</v>
      </c>
      <c r="F759" s="14" t="s">
        <v>145</v>
      </c>
      <c r="G759" s="14" t="str">
        <f>"GR0022274"</f>
        <v>GR0022274</v>
      </c>
      <c r="H759" s="14" t="str">
        <f>" 20"</f>
        <v xml:space="preserve"> 20</v>
      </c>
      <c r="I759" s="14">
        <v>500.01</v>
      </c>
      <c r="J759" s="14">
        <v>9999999.9900000002</v>
      </c>
      <c r="K759" s="14" t="s">
        <v>147</v>
      </c>
      <c r="L759" s="14" t="s">
        <v>661</v>
      </c>
      <c r="O759" s="14" t="s">
        <v>661</v>
      </c>
      <c r="P759" s="14" t="s">
        <v>701</v>
      </c>
      <c r="Q759" s="14" t="s">
        <v>701</v>
      </c>
      <c r="R759" s="14" t="s">
        <v>146</v>
      </c>
    </row>
    <row r="760" spans="1:18" s="14" customFormat="1" x14ac:dyDescent="0.25">
      <c r="A760" s="14" t="str">
        <f>"22650"</f>
        <v>22650</v>
      </c>
      <c r="B760" s="14" t="str">
        <f>"01660"</f>
        <v>01660</v>
      </c>
      <c r="C760" s="14" t="str">
        <f>"1100"</f>
        <v>1100</v>
      </c>
      <c r="D760" s="14" t="str">
        <f>"22650"</f>
        <v>22650</v>
      </c>
      <c r="E760" s="14" t="s">
        <v>871</v>
      </c>
      <c r="F760" s="14" t="s">
        <v>145</v>
      </c>
      <c r="G760" s="14" t="str">
        <f>"GR0022650"</f>
        <v>GR0022650</v>
      </c>
      <c r="H760" s="14" t="str">
        <f>" 10"</f>
        <v xml:space="preserve"> 10</v>
      </c>
      <c r="I760" s="14">
        <v>0.01</v>
      </c>
      <c r="J760" s="14">
        <v>500</v>
      </c>
      <c r="K760" s="14" t="s">
        <v>146</v>
      </c>
      <c r="L760" s="14" t="s">
        <v>147</v>
      </c>
      <c r="O760" s="14" t="s">
        <v>147</v>
      </c>
      <c r="P760" s="14" t="s">
        <v>701</v>
      </c>
      <c r="Q760" s="14" t="s">
        <v>701</v>
      </c>
      <c r="R760" s="14" t="s">
        <v>146</v>
      </c>
    </row>
    <row r="761" spans="1:18" s="14" customFormat="1" x14ac:dyDescent="0.25">
      <c r="A761" s="14" t="str">
        <f>"22650"</f>
        <v>22650</v>
      </c>
      <c r="B761" s="14" t="str">
        <f>"01660"</f>
        <v>01660</v>
      </c>
      <c r="C761" s="14" t="str">
        <f>"1100"</f>
        <v>1100</v>
      </c>
      <c r="D761" s="14" t="str">
        <f>"22650"</f>
        <v>22650</v>
      </c>
      <c r="E761" s="14" t="s">
        <v>871</v>
      </c>
      <c r="F761" s="14" t="s">
        <v>145</v>
      </c>
      <c r="G761" s="14" t="str">
        <f>"GR0022650"</f>
        <v>GR0022650</v>
      </c>
      <c r="H761" s="14" t="str">
        <f>" 20"</f>
        <v xml:space="preserve"> 20</v>
      </c>
      <c r="I761" s="14">
        <v>500.01</v>
      </c>
      <c r="J761" s="14">
        <v>9999999.9900000002</v>
      </c>
      <c r="K761" s="14" t="s">
        <v>147</v>
      </c>
      <c r="L761" s="14" t="s">
        <v>148</v>
      </c>
      <c r="O761" s="14" t="s">
        <v>147</v>
      </c>
      <c r="P761" s="14" t="s">
        <v>701</v>
      </c>
      <c r="Q761" s="14" t="s">
        <v>701</v>
      </c>
      <c r="R761" s="14" t="s">
        <v>146</v>
      </c>
    </row>
    <row r="762" spans="1:18" s="14" customFormat="1" x14ac:dyDescent="0.25">
      <c r="A762" s="14" t="str">
        <f>"22651"</f>
        <v>22651</v>
      </c>
      <c r="B762" s="14" t="str">
        <f>"01800"</f>
        <v>01800</v>
      </c>
      <c r="C762" s="14" t="str">
        <f>"1200"</f>
        <v>1200</v>
      </c>
      <c r="D762" s="14" t="str">
        <f>"22651"</f>
        <v>22651</v>
      </c>
      <c r="E762" s="14" t="s">
        <v>872</v>
      </c>
      <c r="F762" s="14" t="s">
        <v>180</v>
      </c>
      <c r="G762" s="14" t="str">
        <f>"GR0022651"</f>
        <v>GR0022651</v>
      </c>
      <c r="H762" s="14" t="str">
        <f>" 00"</f>
        <v xml:space="preserve"> 00</v>
      </c>
      <c r="I762" s="14">
        <v>0.01</v>
      </c>
      <c r="J762" s="14">
        <v>9999999.9900000002</v>
      </c>
      <c r="K762" s="14" t="s">
        <v>114</v>
      </c>
      <c r="L762" s="14" t="s">
        <v>113</v>
      </c>
      <c r="M762" s="14" t="s">
        <v>112</v>
      </c>
      <c r="N762" s="14" t="s">
        <v>181</v>
      </c>
      <c r="O762" s="14" t="s">
        <v>873</v>
      </c>
      <c r="P762" s="14" t="s">
        <v>701</v>
      </c>
      <c r="Q762" s="14" t="s">
        <v>701</v>
      </c>
      <c r="R762" s="14" t="s">
        <v>115</v>
      </c>
    </row>
    <row r="763" spans="1:18" s="14" customFormat="1" x14ac:dyDescent="0.25">
      <c r="A763" s="14" t="str">
        <f>"22654"</f>
        <v>22654</v>
      </c>
      <c r="B763" s="14" t="str">
        <f>"05080"</f>
        <v>05080</v>
      </c>
      <c r="C763" s="14" t="str">
        <f>"1600"</f>
        <v>1600</v>
      </c>
      <c r="D763" s="14" t="str">
        <f>"22654"</f>
        <v>22654</v>
      </c>
      <c r="E763" s="14" t="s">
        <v>874</v>
      </c>
      <c r="F763" s="14" t="s">
        <v>385</v>
      </c>
      <c r="G763" s="14" t="str">
        <f>"GR0022654"</f>
        <v>GR0022654</v>
      </c>
      <c r="H763" s="14" t="str">
        <f>" 00"</f>
        <v xml:space="preserve"> 00</v>
      </c>
      <c r="I763" s="14">
        <v>0.01</v>
      </c>
      <c r="J763" s="14">
        <v>9999999.9900000002</v>
      </c>
      <c r="K763" s="14" t="s">
        <v>386</v>
      </c>
      <c r="L763" s="14" t="s">
        <v>875</v>
      </c>
      <c r="M763" s="14" t="s">
        <v>53</v>
      </c>
      <c r="O763" s="14" t="s">
        <v>386</v>
      </c>
      <c r="P763" s="14" t="s">
        <v>701</v>
      </c>
      <c r="Q763" s="14" t="s">
        <v>701</v>
      </c>
      <c r="R763" s="14" t="s">
        <v>875</v>
      </c>
    </row>
    <row r="764" spans="1:18" s="14" customFormat="1" x14ac:dyDescent="0.25">
      <c r="A764" s="14" t="str">
        <f>"22655"</f>
        <v>22655</v>
      </c>
      <c r="B764" s="14" t="str">
        <f>"01660"</f>
        <v>01660</v>
      </c>
      <c r="C764" s="14" t="str">
        <f>"1600"</f>
        <v>1600</v>
      </c>
      <c r="D764" s="14" t="str">
        <f>"22655"</f>
        <v>22655</v>
      </c>
      <c r="E764" s="14" t="s">
        <v>876</v>
      </c>
      <c r="F764" s="14" t="s">
        <v>145</v>
      </c>
      <c r="G764" s="14" t="str">
        <f>"GR0022655"</f>
        <v>GR0022655</v>
      </c>
      <c r="H764" s="14" t="str">
        <f>" 10"</f>
        <v xml:space="preserve"> 10</v>
      </c>
      <c r="I764" s="14">
        <v>0.01</v>
      </c>
      <c r="J764" s="14">
        <v>500</v>
      </c>
      <c r="K764" s="14" t="s">
        <v>146</v>
      </c>
      <c r="L764" s="14" t="s">
        <v>147</v>
      </c>
      <c r="O764" s="14" t="s">
        <v>661</v>
      </c>
      <c r="P764" s="14" t="s">
        <v>701</v>
      </c>
      <c r="Q764" s="14" t="s">
        <v>701</v>
      </c>
      <c r="R764" s="14" t="s">
        <v>146</v>
      </c>
    </row>
    <row r="765" spans="1:18" s="14" customFormat="1" x14ac:dyDescent="0.25">
      <c r="A765" s="14" t="str">
        <f>"22655"</f>
        <v>22655</v>
      </c>
      <c r="B765" s="14" t="str">
        <f>"01660"</f>
        <v>01660</v>
      </c>
      <c r="C765" s="14" t="str">
        <f>"1600"</f>
        <v>1600</v>
      </c>
      <c r="D765" s="14" t="str">
        <f>"22655"</f>
        <v>22655</v>
      </c>
      <c r="E765" s="14" t="s">
        <v>876</v>
      </c>
      <c r="F765" s="14" t="s">
        <v>145</v>
      </c>
      <c r="G765" s="14" t="str">
        <f>"GR0022655"</f>
        <v>GR0022655</v>
      </c>
      <c r="H765" s="14" t="str">
        <f>" 20"</f>
        <v xml:space="preserve"> 20</v>
      </c>
      <c r="I765" s="14">
        <v>500.01</v>
      </c>
      <c r="J765" s="14">
        <v>9999999.9900000002</v>
      </c>
      <c r="K765" s="14" t="s">
        <v>147</v>
      </c>
      <c r="L765" s="14" t="s">
        <v>661</v>
      </c>
      <c r="O765" s="14" t="s">
        <v>661</v>
      </c>
      <c r="P765" s="14" t="s">
        <v>701</v>
      </c>
      <c r="Q765" s="14" t="s">
        <v>701</v>
      </c>
      <c r="R765" s="14" t="s">
        <v>146</v>
      </c>
    </row>
    <row r="766" spans="1:18" s="14" customFormat="1" x14ac:dyDescent="0.25">
      <c r="A766" s="14" t="str">
        <f>"22656"</f>
        <v>22656</v>
      </c>
      <c r="B766" s="14" t="str">
        <f>"01800"</f>
        <v>01800</v>
      </c>
      <c r="C766" s="14" t="str">
        <f>"1200"</f>
        <v>1200</v>
      </c>
      <c r="D766" s="14" t="str">
        <f>"22656"</f>
        <v>22656</v>
      </c>
      <c r="E766" s="14" t="s">
        <v>877</v>
      </c>
      <c r="F766" s="14" t="s">
        <v>180</v>
      </c>
      <c r="G766" s="14" t="str">
        <f>"GR0022656"</f>
        <v>GR0022656</v>
      </c>
      <c r="H766" s="14" t="str">
        <f>" 00"</f>
        <v xml:space="preserve"> 00</v>
      </c>
      <c r="I766" s="14">
        <v>0.01</v>
      </c>
      <c r="J766" s="14">
        <v>9999999.9900000002</v>
      </c>
      <c r="K766" s="14" t="s">
        <v>113</v>
      </c>
      <c r="L766" s="14" t="s">
        <v>112</v>
      </c>
      <c r="M766" s="14" t="s">
        <v>181</v>
      </c>
      <c r="N766" s="14" t="s">
        <v>114</v>
      </c>
      <c r="O766" s="14" t="s">
        <v>873</v>
      </c>
      <c r="P766" s="14" t="s">
        <v>701</v>
      </c>
      <c r="Q766" s="14" t="s">
        <v>701</v>
      </c>
      <c r="R766" s="14" t="s">
        <v>115</v>
      </c>
    </row>
    <row r="767" spans="1:18" s="14" customFormat="1" x14ac:dyDescent="0.25">
      <c r="A767" s="14" t="str">
        <f>"22657"</f>
        <v>22657</v>
      </c>
      <c r="B767" s="14" t="str">
        <f>"01830"</f>
        <v>01830</v>
      </c>
      <c r="C767" s="14" t="str">
        <f>"1200"</f>
        <v>1200</v>
      </c>
      <c r="D767" s="14" t="str">
        <f>"22657"</f>
        <v>22657</v>
      </c>
      <c r="E767" s="14" t="s">
        <v>1927</v>
      </c>
      <c r="F767" s="14" t="s">
        <v>187</v>
      </c>
      <c r="G767" s="14" t="str">
        <f>"GR0022657"</f>
        <v>GR0022657</v>
      </c>
      <c r="H767" s="14" t="str">
        <f>" 00"</f>
        <v xml:space="preserve"> 00</v>
      </c>
      <c r="I767" s="14">
        <v>0.01</v>
      </c>
      <c r="J767" s="14">
        <v>9999999.9900000002</v>
      </c>
      <c r="K767" s="14" t="s">
        <v>113</v>
      </c>
      <c r="L767" s="14" t="s">
        <v>112</v>
      </c>
      <c r="O767" s="14" t="s">
        <v>853</v>
      </c>
      <c r="P767" s="14" t="s">
        <v>701</v>
      </c>
      <c r="Q767" s="14" t="s">
        <v>701</v>
      </c>
      <c r="R767" s="14" t="s">
        <v>115</v>
      </c>
    </row>
    <row r="768" spans="1:18" s="14" customFormat="1" x14ac:dyDescent="0.25">
      <c r="A768" s="14" t="str">
        <f>"22658"</f>
        <v>22658</v>
      </c>
      <c r="B768" s="14" t="str">
        <f>"01100"</f>
        <v>01100</v>
      </c>
      <c r="C768" s="14" t="str">
        <f>"1930"</f>
        <v>1930</v>
      </c>
      <c r="D768" s="14" t="str">
        <f>"22658"</f>
        <v>22658</v>
      </c>
      <c r="E768" s="14" t="s">
        <v>1932</v>
      </c>
      <c r="F768" s="14" t="s">
        <v>725</v>
      </c>
      <c r="G768" s="14" t="str">
        <f>"GR0022658"</f>
        <v>GR0022658</v>
      </c>
      <c r="H768" s="14" t="str">
        <f>" 00"</f>
        <v xml:space="preserve"> 00</v>
      </c>
      <c r="I768" s="14">
        <v>0.01</v>
      </c>
      <c r="J768" s="14">
        <v>9999999.9900000002</v>
      </c>
      <c r="K768" s="14" t="s">
        <v>55</v>
      </c>
      <c r="L768" s="14" t="s">
        <v>726</v>
      </c>
      <c r="M768" s="14" t="s">
        <v>53</v>
      </c>
      <c r="O768" s="14" t="s">
        <v>64</v>
      </c>
      <c r="P768" s="14" t="s">
        <v>701</v>
      </c>
      <c r="Q768" s="14" t="s">
        <v>701</v>
      </c>
      <c r="R768" s="14" t="s">
        <v>727</v>
      </c>
    </row>
    <row r="769" spans="1:18" s="14" customFormat="1" x14ac:dyDescent="0.25">
      <c r="A769" s="14" t="str">
        <f>"22659"</f>
        <v>22659</v>
      </c>
      <c r="B769" s="14" t="str">
        <f>"01100"</f>
        <v>01100</v>
      </c>
      <c r="C769" s="14" t="str">
        <f>"1930"</f>
        <v>1930</v>
      </c>
      <c r="D769" s="14" t="str">
        <f>"22658"</f>
        <v>22658</v>
      </c>
      <c r="E769" s="14" t="s">
        <v>1931</v>
      </c>
      <c r="F769" s="14" t="s">
        <v>725</v>
      </c>
      <c r="G769" s="14" t="str">
        <f>"GR0022658"</f>
        <v>GR0022658</v>
      </c>
      <c r="H769" s="14" t="str">
        <f>" 00"</f>
        <v xml:space="preserve"> 00</v>
      </c>
      <c r="I769" s="14">
        <v>0.01</v>
      </c>
      <c r="J769" s="14">
        <v>9999999.9900000002</v>
      </c>
      <c r="K769" s="14" t="s">
        <v>55</v>
      </c>
      <c r="L769" s="14" t="s">
        <v>726</v>
      </c>
      <c r="M769" s="14" t="s">
        <v>53</v>
      </c>
      <c r="O769" s="14" t="s">
        <v>64</v>
      </c>
      <c r="P769" s="14" t="s">
        <v>701</v>
      </c>
      <c r="Q769" s="14" t="s">
        <v>701</v>
      </c>
      <c r="R769" s="14" t="s">
        <v>727</v>
      </c>
    </row>
    <row r="770" spans="1:18" s="14" customFormat="1" x14ac:dyDescent="0.25">
      <c r="A770" s="14" t="str">
        <f>"23001"</f>
        <v>23001</v>
      </c>
      <c r="B770" s="14" t="str">
        <f>"05160"</f>
        <v>05160</v>
      </c>
      <c r="C770" s="14" t="str">
        <f>"1800"</f>
        <v>1800</v>
      </c>
      <c r="D770" s="14" t="str">
        <f>""</f>
        <v/>
      </c>
      <c r="E770" s="14" t="s">
        <v>878</v>
      </c>
      <c r="F770" s="14" t="s">
        <v>406</v>
      </c>
      <c r="G770" s="14" t="str">
        <f>""</f>
        <v/>
      </c>
      <c r="H770" s="14" t="str">
        <f>" 00"</f>
        <v xml:space="preserve"> 00</v>
      </c>
      <c r="I770" s="14">
        <v>0.01</v>
      </c>
      <c r="J770" s="14">
        <v>9999999.9900000002</v>
      </c>
      <c r="K770" s="14" t="s">
        <v>318</v>
      </c>
      <c r="L770" s="14" t="s">
        <v>319</v>
      </c>
      <c r="M770" s="14" t="s">
        <v>90</v>
      </c>
      <c r="P770" s="14" t="s">
        <v>260</v>
      </c>
      <c r="Q770" s="14" t="s">
        <v>25</v>
      </c>
      <c r="R770" s="14" t="s">
        <v>318</v>
      </c>
    </row>
    <row r="771" spans="1:18" s="14" customFormat="1" x14ac:dyDescent="0.25">
      <c r="A771" s="14" t="str">
        <f>"23006"</f>
        <v>23006</v>
      </c>
      <c r="B771" s="14" t="str">
        <f>"05160"</f>
        <v>05160</v>
      </c>
      <c r="C771" s="14" t="str">
        <f>"1800"</f>
        <v>1800</v>
      </c>
      <c r="D771" s="14" t="str">
        <f>""</f>
        <v/>
      </c>
      <c r="E771" s="14" t="s">
        <v>879</v>
      </c>
      <c r="F771" s="14" t="s">
        <v>406</v>
      </c>
      <c r="G771" s="14" t="str">
        <f>""</f>
        <v/>
      </c>
      <c r="H771" s="14" t="str">
        <f>" 00"</f>
        <v xml:space="preserve"> 00</v>
      </c>
      <c r="I771" s="14">
        <v>0.01</v>
      </c>
      <c r="J771" s="14">
        <v>9999999.9900000002</v>
      </c>
      <c r="K771" s="14" t="s">
        <v>318</v>
      </c>
      <c r="L771" s="14" t="s">
        <v>319</v>
      </c>
      <c r="M771" s="14" t="s">
        <v>90</v>
      </c>
      <c r="P771" s="14" t="s">
        <v>260</v>
      </c>
      <c r="Q771" s="14" t="s">
        <v>25</v>
      </c>
      <c r="R771" s="14" t="s">
        <v>318</v>
      </c>
    </row>
    <row r="772" spans="1:18" s="14" customFormat="1" x14ac:dyDescent="0.25">
      <c r="A772" s="14" t="str">
        <f>"23007"</f>
        <v>23007</v>
      </c>
      <c r="B772" s="14" t="str">
        <f>"05160"</f>
        <v>05160</v>
      </c>
      <c r="C772" s="14" t="str">
        <f>"1800"</f>
        <v>1800</v>
      </c>
      <c r="D772" s="14" t="str">
        <f>""</f>
        <v/>
      </c>
      <c r="E772" s="14" t="s">
        <v>880</v>
      </c>
      <c r="F772" s="14" t="s">
        <v>406</v>
      </c>
      <c r="G772" s="14" t="str">
        <f>""</f>
        <v/>
      </c>
      <c r="H772" s="14" t="str">
        <f>" 00"</f>
        <v xml:space="preserve"> 00</v>
      </c>
      <c r="I772" s="14">
        <v>0.01</v>
      </c>
      <c r="J772" s="14">
        <v>9999999.9900000002</v>
      </c>
      <c r="K772" s="14" t="s">
        <v>318</v>
      </c>
      <c r="L772" s="14" t="s">
        <v>319</v>
      </c>
      <c r="M772" s="14" t="s">
        <v>90</v>
      </c>
      <c r="P772" s="14" t="s">
        <v>260</v>
      </c>
      <c r="Q772" s="14" t="s">
        <v>25</v>
      </c>
      <c r="R772" s="14" t="s">
        <v>318</v>
      </c>
    </row>
    <row r="773" spans="1:18" s="14" customFormat="1" x14ac:dyDescent="0.25">
      <c r="A773" s="14" t="str">
        <f>"23008"</f>
        <v>23008</v>
      </c>
      <c r="B773" s="14" t="str">
        <f>"05160"</f>
        <v>05160</v>
      </c>
      <c r="C773" s="14" t="str">
        <f>"1800"</f>
        <v>1800</v>
      </c>
      <c r="D773" s="14" t="str">
        <f>""</f>
        <v/>
      </c>
      <c r="E773" s="14" t="s">
        <v>881</v>
      </c>
      <c r="F773" s="14" t="s">
        <v>406</v>
      </c>
      <c r="G773" s="14" t="str">
        <f>""</f>
        <v/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318</v>
      </c>
      <c r="L773" s="14" t="s">
        <v>319</v>
      </c>
      <c r="M773" s="14" t="s">
        <v>90</v>
      </c>
      <c r="P773" s="14" t="s">
        <v>260</v>
      </c>
      <c r="Q773" s="14" t="s">
        <v>25</v>
      </c>
      <c r="R773" s="14" t="s">
        <v>318</v>
      </c>
    </row>
    <row r="774" spans="1:18" s="14" customFormat="1" x14ac:dyDescent="0.25">
      <c r="A774" s="14" t="str">
        <f>"23012"</f>
        <v>23012</v>
      </c>
      <c r="B774" s="14" t="str">
        <f>"05160"</f>
        <v>05160</v>
      </c>
      <c r="C774" s="14" t="str">
        <f>"1800"</f>
        <v>1800</v>
      </c>
      <c r="D774" s="14" t="str">
        <f>""</f>
        <v/>
      </c>
      <c r="E774" s="14" t="s">
        <v>882</v>
      </c>
      <c r="F774" s="14" t="s">
        <v>406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318</v>
      </c>
      <c r="L774" s="14" t="s">
        <v>319</v>
      </c>
      <c r="M774" s="14" t="s">
        <v>90</v>
      </c>
      <c r="P774" s="14" t="s">
        <v>260</v>
      </c>
      <c r="Q774" s="14" t="s">
        <v>25</v>
      </c>
      <c r="R774" s="14" t="s">
        <v>318</v>
      </c>
    </row>
    <row r="775" spans="1:18" s="14" customFormat="1" x14ac:dyDescent="0.25">
      <c r="A775" s="14" t="str">
        <f>"23017"</f>
        <v>23017</v>
      </c>
      <c r="B775" s="14" t="str">
        <f>"05160"</f>
        <v>05160</v>
      </c>
      <c r="C775" s="14" t="str">
        <f>"1800"</f>
        <v>1800</v>
      </c>
      <c r="D775" s="14" t="str">
        <f>""</f>
        <v/>
      </c>
      <c r="E775" s="14" t="s">
        <v>883</v>
      </c>
      <c r="F775" s="14" t="s">
        <v>406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318</v>
      </c>
      <c r="L775" s="14" t="s">
        <v>319</v>
      </c>
      <c r="M775" s="14" t="s">
        <v>90</v>
      </c>
      <c r="P775" s="14" t="s">
        <v>260</v>
      </c>
      <c r="Q775" s="14" t="s">
        <v>25</v>
      </c>
      <c r="R775" s="14" t="s">
        <v>318</v>
      </c>
    </row>
    <row r="776" spans="1:18" s="14" customFormat="1" x14ac:dyDescent="0.25">
      <c r="A776" s="14" t="str">
        <f>"23021"</f>
        <v>23021</v>
      </c>
      <c r="B776" s="14" t="str">
        <f>"05160"</f>
        <v>05160</v>
      </c>
      <c r="C776" s="14" t="str">
        <f>"1800"</f>
        <v>1800</v>
      </c>
      <c r="D776" s="14" t="str">
        <f>""</f>
        <v/>
      </c>
      <c r="E776" s="14" t="s">
        <v>884</v>
      </c>
      <c r="F776" s="14" t="s">
        <v>406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318</v>
      </c>
      <c r="L776" s="14" t="s">
        <v>319</v>
      </c>
      <c r="M776" s="14" t="s">
        <v>90</v>
      </c>
      <c r="P776" s="14" t="s">
        <v>260</v>
      </c>
      <c r="Q776" s="14" t="s">
        <v>25</v>
      </c>
      <c r="R776" s="14" t="s">
        <v>318</v>
      </c>
    </row>
    <row r="777" spans="1:18" s="14" customFormat="1" x14ac:dyDescent="0.25">
      <c r="A777" s="14" t="str">
        <f>"23022"</f>
        <v>23022</v>
      </c>
      <c r="B777" s="14" t="str">
        <f>"05160"</f>
        <v>05160</v>
      </c>
      <c r="C777" s="14" t="str">
        <f>"1800"</f>
        <v>1800</v>
      </c>
      <c r="D777" s="14" t="str">
        <f>""</f>
        <v/>
      </c>
      <c r="E777" s="14" t="s">
        <v>885</v>
      </c>
      <c r="F777" s="14" t="s">
        <v>406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318</v>
      </c>
      <c r="L777" s="14" t="s">
        <v>319</v>
      </c>
      <c r="M777" s="14" t="s">
        <v>90</v>
      </c>
      <c r="P777" s="14" t="s">
        <v>260</v>
      </c>
      <c r="Q777" s="14" t="s">
        <v>25</v>
      </c>
      <c r="R777" s="14" t="s">
        <v>318</v>
      </c>
    </row>
    <row r="778" spans="1:18" s="14" customFormat="1" x14ac:dyDescent="0.25">
      <c r="A778" s="14" t="str">
        <f>"23023"</f>
        <v>23023</v>
      </c>
      <c r="B778" s="14" t="str">
        <f>"05160"</f>
        <v>05160</v>
      </c>
      <c r="C778" s="14" t="str">
        <f>"1800"</f>
        <v>1800</v>
      </c>
      <c r="D778" s="14" t="str">
        <f>""</f>
        <v/>
      </c>
      <c r="E778" s="14" t="s">
        <v>886</v>
      </c>
      <c r="F778" s="14" t="s">
        <v>406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318</v>
      </c>
      <c r="L778" s="14" t="s">
        <v>319</v>
      </c>
      <c r="M778" s="14" t="s">
        <v>90</v>
      </c>
      <c r="P778" s="14" t="s">
        <v>260</v>
      </c>
      <c r="Q778" s="14" t="s">
        <v>25</v>
      </c>
      <c r="R778" s="14" t="s">
        <v>318</v>
      </c>
    </row>
    <row r="779" spans="1:18" s="14" customFormat="1" x14ac:dyDescent="0.25">
      <c r="A779" s="14" t="str">
        <f>"23024"</f>
        <v>23024</v>
      </c>
      <c r="B779" s="14" t="str">
        <f>"05160"</f>
        <v>05160</v>
      </c>
      <c r="C779" s="14" t="str">
        <f>"1800"</f>
        <v>1800</v>
      </c>
      <c r="D779" s="14" t="str">
        <f>""</f>
        <v/>
      </c>
      <c r="E779" s="14" t="s">
        <v>887</v>
      </c>
      <c r="F779" s="14" t="s">
        <v>406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318</v>
      </c>
      <c r="L779" s="14" t="s">
        <v>319</v>
      </c>
      <c r="M779" s="14" t="s">
        <v>90</v>
      </c>
      <c r="P779" s="14" t="s">
        <v>260</v>
      </c>
      <c r="Q779" s="14" t="s">
        <v>25</v>
      </c>
      <c r="R779" s="14" t="s">
        <v>318</v>
      </c>
    </row>
    <row r="780" spans="1:18" s="14" customFormat="1" x14ac:dyDescent="0.25">
      <c r="A780" s="14" t="str">
        <f>"23025"</f>
        <v>23025</v>
      </c>
      <c r="B780" s="14" t="str">
        <f>"05160"</f>
        <v>05160</v>
      </c>
      <c r="C780" s="14" t="str">
        <f>"1800"</f>
        <v>1800</v>
      </c>
      <c r="D780" s="14" t="str">
        <f>""</f>
        <v/>
      </c>
      <c r="E780" s="14" t="s">
        <v>888</v>
      </c>
      <c r="F780" s="14" t="s">
        <v>406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318</v>
      </c>
      <c r="L780" s="14" t="s">
        <v>319</v>
      </c>
      <c r="M780" s="14" t="s">
        <v>90</v>
      </c>
      <c r="P780" s="14" t="s">
        <v>260</v>
      </c>
      <c r="Q780" s="14" t="s">
        <v>25</v>
      </c>
      <c r="R780" s="14" t="s">
        <v>318</v>
      </c>
    </row>
    <row r="781" spans="1:18" s="14" customFormat="1" x14ac:dyDescent="0.25">
      <c r="A781" s="14" t="str">
        <f>"24269"</f>
        <v>24269</v>
      </c>
      <c r="B781" s="14" t="str">
        <f>"01370"</f>
        <v>01370</v>
      </c>
      <c r="C781" s="14" t="str">
        <f>"1600"</f>
        <v>1600</v>
      </c>
      <c r="D781" s="14" t="str">
        <f>""</f>
        <v/>
      </c>
      <c r="E781" s="14" t="s">
        <v>889</v>
      </c>
      <c r="F781" s="14" t="s">
        <v>108</v>
      </c>
      <c r="G781" s="14" t="str">
        <f>"GR0024269"</f>
        <v>GR0024269</v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69</v>
      </c>
      <c r="L781" s="14" t="s">
        <v>109</v>
      </c>
      <c r="M781" s="14" t="s">
        <v>70</v>
      </c>
      <c r="N781" s="14" t="s">
        <v>890</v>
      </c>
      <c r="O781" s="14" t="s">
        <v>890</v>
      </c>
      <c r="P781" s="14" t="s">
        <v>701</v>
      </c>
      <c r="Q781" s="14" t="s">
        <v>701</v>
      </c>
      <c r="R781" s="14" t="s">
        <v>109</v>
      </c>
    </row>
    <row r="782" spans="1:18" s="14" customFormat="1" x14ac:dyDescent="0.25">
      <c r="A782" s="14" t="str">
        <f>"24270"</f>
        <v>24270</v>
      </c>
      <c r="B782" s="14" t="str">
        <f>"01370"</f>
        <v>01370</v>
      </c>
      <c r="C782" s="14" t="str">
        <f>"1600"</f>
        <v>1600</v>
      </c>
      <c r="D782" s="14" t="str">
        <f>""</f>
        <v/>
      </c>
      <c r="E782" s="14" t="s">
        <v>891</v>
      </c>
      <c r="F782" s="14" t="s">
        <v>108</v>
      </c>
      <c r="G782" s="14" t="str">
        <f>"GR0024270"</f>
        <v>GR0024270</v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69</v>
      </c>
      <c r="L782" s="14" t="s">
        <v>109</v>
      </c>
      <c r="M782" s="14" t="s">
        <v>70</v>
      </c>
      <c r="N782" s="14" t="s">
        <v>890</v>
      </c>
      <c r="O782" s="14" t="s">
        <v>890</v>
      </c>
      <c r="P782" s="14" t="s">
        <v>701</v>
      </c>
      <c r="Q782" s="14" t="s">
        <v>701</v>
      </c>
      <c r="R782" s="14" t="s">
        <v>109</v>
      </c>
    </row>
    <row r="783" spans="1:18" s="14" customFormat="1" x14ac:dyDescent="0.25">
      <c r="A783" s="14" t="str">
        <f>"24271"</f>
        <v>24271</v>
      </c>
      <c r="B783" s="14" t="str">
        <f>"01810"</f>
        <v>01810</v>
      </c>
      <c r="C783" s="14" t="str">
        <f>"1700"</f>
        <v>1700</v>
      </c>
      <c r="D783" s="14" t="str">
        <f>"24271"</f>
        <v>24271</v>
      </c>
      <c r="E783" s="14" t="s">
        <v>892</v>
      </c>
      <c r="F783" s="14" t="s">
        <v>183</v>
      </c>
      <c r="G783" s="14" t="str">
        <f>"GR0024271"</f>
        <v>GR0024271</v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184</v>
      </c>
      <c r="L783" s="14" t="s">
        <v>112</v>
      </c>
      <c r="M783" s="14" t="s">
        <v>113</v>
      </c>
      <c r="N783" s="14" t="s">
        <v>114</v>
      </c>
      <c r="O783" s="14" t="s">
        <v>184</v>
      </c>
      <c r="P783" s="14" t="s">
        <v>701</v>
      </c>
      <c r="Q783" s="14" t="s">
        <v>701</v>
      </c>
      <c r="R783" s="14" t="s">
        <v>115</v>
      </c>
    </row>
    <row r="784" spans="1:18" s="14" customFormat="1" x14ac:dyDescent="0.25">
      <c r="A784" s="14" t="str">
        <f>"24272"</f>
        <v>24272</v>
      </c>
      <c r="B784" s="14" t="str">
        <f>"01810"</f>
        <v>01810</v>
      </c>
      <c r="C784" s="14" t="str">
        <f>"1800"</f>
        <v>1800</v>
      </c>
      <c r="D784" s="14" t="str">
        <f>""</f>
        <v/>
      </c>
      <c r="E784" s="14" t="s">
        <v>893</v>
      </c>
      <c r="F784" s="14" t="s">
        <v>183</v>
      </c>
      <c r="G784" s="14" t="str">
        <f>"GR0024271"</f>
        <v>GR0024271</v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184</v>
      </c>
      <c r="L784" s="14" t="s">
        <v>112</v>
      </c>
      <c r="M784" s="14" t="s">
        <v>113</v>
      </c>
      <c r="N784" s="14" t="s">
        <v>114</v>
      </c>
      <c r="O784" s="14" t="s">
        <v>184</v>
      </c>
      <c r="P784" s="14" t="s">
        <v>701</v>
      </c>
      <c r="Q784" s="14" t="s">
        <v>701</v>
      </c>
      <c r="R784" s="14" t="s">
        <v>115</v>
      </c>
    </row>
    <row r="785" spans="1:18" s="14" customFormat="1" x14ac:dyDescent="0.25">
      <c r="A785" s="14" t="str">
        <f>"24273"</f>
        <v>24273</v>
      </c>
      <c r="B785" s="14" t="str">
        <f>"01390"</f>
        <v>01390</v>
      </c>
      <c r="C785" s="14" t="str">
        <f>"1700"</f>
        <v>1700</v>
      </c>
      <c r="D785" s="14" t="str">
        <f>"24273"</f>
        <v>24273</v>
      </c>
      <c r="E785" s="14" t="s">
        <v>894</v>
      </c>
      <c r="F785" s="14" t="s">
        <v>116</v>
      </c>
      <c r="G785" s="14" t="str">
        <f>"GR0024273"</f>
        <v>GR0024273</v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113</v>
      </c>
      <c r="L785" s="14" t="s">
        <v>112</v>
      </c>
      <c r="M785" s="14" t="s">
        <v>114</v>
      </c>
      <c r="O785" s="14" t="s">
        <v>895</v>
      </c>
      <c r="P785" s="14" t="s">
        <v>701</v>
      </c>
      <c r="Q785" s="14" t="s">
        <v>701</v>
      </c>
      <c r="R785" s="14" t="s">
        <v>115</v>
      </c>
    </row>
    <row r="786" spans="1:18" s="14" customFormat="1" x14ac:dyDescent="0.25">
      <c r="A786" s="14" t="str">
        <f>"24276"</f>
        <v>24276</v>
      </c>
      <c r="B786" s="14" t="str">
        <f>"01370"</f>
        <v>01370</v>
      </c>
      <c r="C786" s="14" t="str">
        <f>"1100"</f>
        <v>1100</v>
      </c>
      <c r="D786" s="14" t="str">
        <f>"24276"</f>
        <v>24276</v>
      </c>
      <c r="E786" s="14" t="s">
        <v>896</v>
      </c>
      <c r="F786" s="14" t="s">
        <v>108</v>
      </c>
      <c r="G786" s="14" t="str">
        <f>"GR0024268"</f>
        <v>GR0024268</v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69</v>
      </c>
      <c r="L786" s="14" t="s">
        <v>70</v>
      </c>
      <c r="M786" s="14" t="s">
        <v>71</v>
      </c>
      <c r="O786" s="14" t="s">
        <v>897</v>
      </c>
      <c r="P786" s="14" t="s">
        <v>701</v>
      </c>
      <c r="Q786" s="14" t="s">
        <v>701</v>
      </c>
      <c r="R786" s="14" t="s">
        <v>898</v>
      </c>
    </row>
    <row r="787" spans="1:18" s="14" customFormat="1" x14ac:dyDescent="0.25">
      <c r="A787" s="14" t="str">
        <f>"24277"</f>
        <v>24277</v>
      </c>
      <c r="B787" s="14" t="str">
        <f>"01810"</f>
        <v>01810</v>
      </c>
      <c r="C787" s="14" t="str">
        <f>"1700"</f>
        <v>1700</v>
      </c>
      <c r="D787" s="14" t="str">
        <f>"24277"</f>
        <v>24277</v>
      </c>
      <c r="E787" s="14" t="s">
        <v>899</v>
      </c>
      <c r="F787" s="14" t="s">
        <v>183</v>
      </c>
      <c r="G787" s="14" t="str">
        <f>"GR0024277"</f>
        <v>GR0024277</v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184</v>
      </c>
      <c r="L787" s="14" t="s">
        <v>112</v>
      </c>
      <c r="M787" s="14" t="s">
        <v>113</v>
      </c>
      <c r="N787" s="14" t="s">
        <v>114</v>
      </c>
      <c r="O787" s="14" t="s">
        <v>184</v>
      </c>
      <c r="P787" s="14" t="s">
        <v>701</v>
      </c>
      <c r="Q787" s="14" t="s">
        <v>701</v>
      </c>
      <c r="R787" s="14" t="s">
        <v>115</v>
      </c>
    </row>
    <row r="788" spans="1:18" s="14" customFormat="1" x14ac:dyDescent="0.25">
      <c r="A788" s="14" t="str">
        <f>"24278"</f>
        <v>24278</v>
      </c>
      <c r="B788" s="14" t="str">
        <f>"01810"</f>
        <v>01810</v>
      </c>
      <c r="C788" s="14" t="str">
        <f>"1800"</f>
        <v>1800</v>
      </c>
      <c r="D788" s="14" t="str">
        <f>""</f>
        <v/>
      </c>
      <c r="E788" s="14" t="s">
        <v>900</v>
      </c>
      <c r="F788" s="14" t="s">
        <v>183</v>
      </c>
      <c r="G788" s="14" t="str">
        <f>"GR0024277"</f>
        <v>GR0024277</v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184</v>
      </c>
      <c r="L788" s="14" t="s">
        <v>112</v>
      </c>
      <c r="M788" s="14" t="s">
        <v>113</v>
      </c>
      <c r="N788" s="14" t="s">
        <v>114</v>
      </c>
      <c r="O788" s="14" t="s">
        <v>184</v>
      </c>
      <c r="P788" s="14" t="s">
        <v>701</v>
      </c>
      <c r="Q788" s="14" t="s">
        <v>701</v>
      </c>
      <c r="R788" s="14" t="s">
        <v>115</v>
      </c>
    </row>
    <row r="789" spans="1:18" s="14" customFormat="1" x14ac:dyDescent="0.25">
      <c r="A789" s="14" t="str">
        <f>"24279"</f>
        <v>24279</v>
      </c>
      <c r="B789" s="14" t="str">
        <f>"01390"</f>
        <v>01390</v>
      </c>
      <c r="C789" s="14" t="str">
        <f>"1700"</f>
        <v>1700</v>
      </c>
      <c r="D789" s="14" t="str">
        <f>"24279"</f>
        <v>24279</v>
      </c>
      <c r="E789" s="14" t="s">
        <v>901</v>
      </c>
      <c r="F789" s="14" t="s">
        <v>116</v>
      </c>
      <c r="G789" s="14" t="str">
        <f>"GR0024279"</f>
        <v>GR0024279</v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113</v>
      </c>
      <c r="L789" s="14" t="s">
        <v>112</v>
      </c>
      <c r="M789" s="14" t="s">
        <v>114</v>
      </c>
      <c r="O789" s="14" t="s">
        <v>895</v>
      </c>
      <c r="P789" s="14" t="s">
        <v>701</v>
      </c>
      <c r="Q789" s="14" t="s">
        <v>701</v>
      </c>
      <c r="R789" s="14" t="s">
        <v>115</v>
      </c>
    </row>
    <row r="790" spans="1:18" s="14" customFormat="1" x14ac:dyDescent="0.25">
      <c r="A790" s="14" t="str">
        <f>"24280"</f>
        <v>24280</v>
      </c>
      <c r="B790" s="14" t="str">
        <f>"01390"</f>
        <v>01390</v>
      </c>
      <c r="C790" s="14" t="str">
        <f>"1800"</f>
        <v>1800</v>
      </c>
      <c r="D790" s="14" t="str">
        <f>""</f>
        <v/>
      </c>
      <c r="E790" s="14" t="s">
        <v>902</v>
      </c>
      <c r="F790" s="14" t="s">
        <v>116</v>
      </c>
      <c r="G790" s="14" t="str">
        <f>"GR0024279"</f>
        <v>GR0024279</v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113</v>
      </c>
      <c r="L790" s="14" t="s">
        <v>112</v>
      </c>
      <c r="M790" s="14" t="s">
        <v>114</v>
      </c>
      <c r="O790" s="14" t="s">
        <v>895</v>
      </c>
      <c r="P790" s="14" t="s">
        <v>701</v>
      </c>
      <c r="Q790" s="14" t="s">
        <v>701</v>
      </c>
      <c r="R790" s="14" t="s">
        <v>115</v>
      </c>
    </row>
    <row r="791" spans="1:18" s="14" customFormat="1" x14ac:dyDescent="0.25">
      <c r="A791" s="14" t="str">
        <f>"24281"</f>
        <v>24281</v>
      </c>
      <c r="B791" s="14" t="str">
        <f>"05000"</f>
        <v>05000</v>
      </c>
      <c r="C791" s="14" t="str">
        <f>"1700"</f>
        <v>1700</v>
      </c>
      <c r="D791" s="14" t="str">
        <f>"24281"</f>
        <v>24281</v>
      </c>
      <c r="E791" s="14" t="s">
        <v>903</v>
      </c>
      <c r="F791" s="14" t="s">
        <v>366</v>
      </c>
      <c r="G791" s="14" t="str">
        <f>"GR0024281"</f>
        <v>GR0024281</v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47</v>
      </c>
      <c r="L791" s="14" t="s">
        <v>37</v>
      </c>
      <c r="M791" s="14" t="s">
        <v>370</v>
      </c>
      <c r="O791" s="14" t="s">
        <v>47</v>
      </c>
      <c r="P791" s="14" t="s">
        <v>701</v>
      </c>
      <c r="Q791" s="14" t="s">
        <v>701</v>
      </c>
      <c r="R791" s="14" t="s">
        <v>367</v>
      </c>
    </row>
    <row r="792" spans="1:18" s="14" customFormat="1" x14ac:dyDescent="0.25">
      <c r="A792" s="14" t="str">
        <f>"24282"</f>
        <v>24282</v>
      </c>
      <c r="B792" s="14" t="str">
        <f>"01390"</f>
        <v>01390</v>
      </c>
      <c r="C792" s="14" t="str">
        <f>"1100"</f>
        <v>1100</v>
      </c>
      <c r="D792" s="14" t="str">
        <f>"24282"</f>
        <v>24282</v>
      </c>
      <c r="E792" s="14" t="s">
        <v>1928</v>
      </c>
      <c r="F792" s="14" t="s">
        <v>116</v>
      </c>
      <c r="G792" s="14" t="str">
        <f>"GR0024282"</f>
        <v>GR0024282</v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112</v>
      </c>
      <c r="L792" s="14" t="s">
        <v>113</v>
      </c>
      <c r="M792" s="14" t="s">
        <v>114</v>
      </c>
      <c r="O792" s="14" t="s">
        <v>1929</v>
      </c>
      <c r="P792" s="14" t="s">
        <v>701</v>
      </c>
      <c r="Q792" s="14" t="s">
        <v>701</v>
      </c>
      <c r="R792" s="14" t="s">
        <v>115</v>
      </c>
    </row>
    <row r="793" spans="1:18" s="14" customFormat="1" x14ac:dyDescent="0.25">
      <c r="A793" s="14" t="str">
        <f>"24435"</f>
        <v>24435</v>
      </c>
      <c r="B793" s="14" t="str">
        <f>"01110"</f>
        <v>01110</v>
      </c>
      <c r="C793" s="14" t="str">
        <f>"1930"</f>
        <v>1930</v>
      </c>
      <c r="D793" s="14" t="str">
        <f>"24435"</f>
        <v>24435</v>
      </c>
      <c r="E793" s="14" t="s">
        <v>904</v>
      </c>
      <c r="F793" s="14" t="s">
        <v>905</v>
      </c>
      <c r="G793" s="14" t="str">
        <f>"GR0024435"</f>
        <v>GR0024435</v>
      </c>
      <c r="H793" s="14" t="str">
        <f>" 10"</f>
        <v xml:space="preserve"> 10</v>
      </c>
      <c r="I793" s="14">
        <v>0.01</v>
      </c>
      <c r="J793" s="14">
        <v>500</v>
      </c>
      <c r="K793" s="14" t="s">
        <v>727</v>
      </c>
      <c r="L793" s="14" t="s">
        <v>906</v>
      </c>
      <c r="M793" s="14" t="s">
        <v>55</v>
      </c>
      <c r="N793" s="14" t="s">
        <v>907</v>
      </c>
      <c r="O793" s="14" t="s">
        <v>55</v>
      </c>
      <c r="P793" s="14" t="s">
        <v>701</v>
      </c>
      <c r="Q793" s="14" t="s">
        <v>701</v>
      </c>
      <c r="R793" s="14" t="s">
        <v>727</v>
      </c>
    </row>
    <row r="794" spans="1:18" s="14" customFormat="1" x14ac:dyDescent="0.25">
      <c r="A794" s="14" t="str">
        <f>"24435"</f>
        <v>24435</v>
      </c>
      <c r="B794" s="14" t="str">
        <f>"01110"</f>
        <v>01110</v>
      </c>
      <c r="C794" s="14" t="str">
        <f>"1930"</f>
        <v>1930</v>
      </c>
      <c r="D794" s="14" t="str">
        <f>"24435"</f>
        <v>24435</v>
      </c>
      <c r="E794" s="14" t="s">
        <v>904</v>
      </c>
      <c r="F794" s="14" t="s">
        <v>905</v>
      </c>
      <c r="G794" s="14" t="str">
        <f>"GR0024435"</f>
        <v>GR0024435</v>
      </c>
      <c r="H794" s="14" t="str">
        <f>" 20"</f>
        <v xml:space="preserve"> 20</v>
      </c>
      <c r="I794" s="14">
        <v>500.01</v>
      </c>
      <c r="J794" s="14">
        <v>9999999.9900000002</v>
      </c>
      <c r="K794" s="14" t="s">
        <v>906</v>
      </c>
      <c r="L794" s="14" t="s">
        <v>55</v>
      </c>
      <c r="M794" s="14" t="s">
        <v>53</v>
      </c>
      <c r="N794" s="14" t="s">
        <v>907</v>
      </c>
      <c r="O794" s="14" t="s">
        <v>55</v>
      </c>
      <c r="P794" s="14" t="s">
        <v>701</v>
      </c>
      <c r="Q794" s="14" t="s">
        <v>701</v>
      </c>
      <c r="R794" s="14" t="s">
        <v>727</v>
      </c>
    </row>
    <row r="795" spans="1:18" s="14" customFormat="1" x14ac:dyDescent="0.25">
      <c r="A795" s="14" t="str">
        <f>"24538"</f>
        <v>24538</v>
      </c>
      <c r="B795" s="14" t="str">
        <f>"01660"</f>
        <v>01660</v>
      </c>
      <c r="C795" s="14" t="str">
        <f>"1600"</f>
        <v>1600</v>
      </c>
      <c r="D795" s="14" t="str">
        <f>"24538"</f>
        <v>24538</v>
      </c>
      <c r="E795" s="14" t="s">
        <v>908</v>
      </c>
      <c r="F795" s="14" t="s">
        <v>145</v>
      </c>
      <c r="G795" s="14" t="str">
        <f>"GR0024538"</f>
        <v>GR0024538</v>
      </c>
      <c r="H795" s="14" t="str">
        <f>" 10"</f>
        <v xml:space="preserve"> 10</v>
      </c>
      <c r="I795" s="14">
        <v>0.01</v>
      </c>
      <c r="J795" s="14">
        <v>500</v>
      </c>
      <c r="K795" s="14" t="s">
        <v>146</v>
      </c>
      <c r="L795" s="14" t="s">
        <v>147</v>
      </c>
      <c r="O795" s="14" t="s">
        <v>661</v>
      </c>
      <c r="P795" s="14" t="s">
        <v>701</v>
      </c>
      <c r="Q795" s="14" t="s">
        <v>701</v>
      </c>
      <c r="R795" s="14" t="s">
        <v>146</v>
      </c>
    </row>
    <row r="796" spans="1:18" s="14" customFormat="1" x14ac:dyDescent="0.25">
      <c r="A796" s="14" t="str">
        <f>"24538"</f>
        <v>24538</v>
      </c>
      <c r="B796" s="14" t="str">
        <f>"01660"</f>
        <v>01660</v>
      </c>
      <c r="C796" s="14" t="str">
        <f>"1600"</f>
        <v>1600</v>
      </c>
      <c r="D796" s="14" t="str">
        <f>"24538"</f>
        <v>24538</v>
      </c>
      <c r="E796" s="14" t="s">
        <v>908</v>
      </c>
      <c r="F796" s="14" t="s">
        <v>145</v>
      </c>
      <c r="G796" s="14" t="str">
        <f>"GR0024538"</f>
        <v>GR0024538</v>
      </c>
      <c r="H796" s="14" t="str">
        <f>" 20"</f>
        <v xml:space="preserve"> 20</v>
      </c>
      <c r="I796" s="14">
        <v>500.01</v>
      </c>
      <c r="J796" s="14">
        <v>9999999.9900000002</v>
      </c>
      <c r="K796" s="14" t="s">
        <v>147</v>
      </c>
      <c r="L796" s="14" t="s">
        <v>661</v>
      </c>
      <c r="O796" s="14" t="s">
        <v>661</v>
      </c>
      <c r="P796" s="14" t="s">
        <v>701</v>
      </c>
      <c r="Q796" s="14" t="s">
        <v>701</v>
      </c>
      <c r="R796" s="14" t="s">
        <v>146</v>
      </c>
    </row>
    <row r="797" spans="1:18" s="14" customFormat="1" x14ac:dyDescent="0.25">
      <c r="A797" s="14" t="str">
        <f>"24539"</f>
        <v>24539</v>
      </c>
      <c r="B797" s="14" t="str">
        <f>"01660"</f>
        <v>01660</v>
      </c>
      <c r="C797" s="14" t="str">
        <f>"1600"</f>
        <v>1600</v>
      </c>
      <c r="D797" s="14" t="str">
        <f>"24539"</f>
        <v>24539</v>
      </c>
      <c r="E797" s="14" t="s">
        <v>909</v>
      </c>
      <c r="F797" s="14" t="s">
        <v>145</v>
      </c>
      <c r="G797" s="14" t="str">
        <f>"GR0024538"</f>
        <v>GR0024538</v>
      </c>
      <c r="H797" s="14" t="str">
        <f>" 10"</f>
        <v xml:space="preserve"> 10</v>
      </c>
      <c r="I797" s="14">
        <v>0.01</v>
      </c>
      <c r="J797" s="14">
        <v>500</v>
      </c>
      <c r="K797" s="14" t="s">
        <v>146</v>
      </c>
      <c r="L797" s="14" t="s">
        <v>147</v>
      </c>
      <c r="O797" s="14" t="s">
        <v>661</v>
      </c>
      <c r="P797" s="14" t="s">
        <v>701</v>
      </c>
      <c r="Q797" s="14" t="s">
        <v>701</v>
      </c>
      <c r="R797" s="14" t="s">
        <v>146</v>
      </c>
    </row>
    <row r="798" spans="1:18" s="14" customFormat="1" x14ac:dyDescent="0.25">
      <c r="A798" s="14" t="str">
        <f>"24539"</f>
        <v>24539</v>
      </c>
      <c r="B798" s="14" t="str">
        <f>"01660"</f>
        <v>01660</v>
      </c>
      <c r="C798" s="14" t="str">
        <f>"1600"</f>
        <v>1600</v>
      </c>
      <c r="D798" s="14" t="str">
        <f>"24539"</f>
        <v>24539</v>
      </c>
      <c r="E798" s="14" t="s">
        <v>909</v>
      </c>
      <c r="F798" s="14" t="s">
        <v>145</v>
      </c>
      <c r="G798" s="14" t="str">
        <f>"GR0024538"</f>
        <v>GR0024538</v>
      </c>
      <c r="H798" s="14" t="str">
        <f>" 20"</f>
        <v xml:space="preserve"> 20</v>
      </c>
      <c r="I798" s="14">
        <v>500.01</v>
      </c>
      <c r="J798" s="14">
        <v>9999999.9900000002</v>
      </c>
      <c r="K798" s="14" t="s">
        <v>147</v>
      </c>
      <c r="L798" s="14" t="s">
        <v>661</v>
      </c>
      <c r="O798" s="14" t="s">
        <v>661</v>
      </c>
      <c r="P798" s="14" t="s">
        <v>701</v>
      </c>
      <c r="Q798" s="14" t="s">
        <v>701</v>
      </c>
      <c r="R798" s="14" t="s">
        <v>146</v>
      </c>
    </row>
    <row r="799" spans="1:18" s="14" customFormat="1" x14ac:dyDescent="0.25">
      <c r="A799" s="14" t="str">
        <f>"24660"</f>
        <v>24660</v>
      </c>
      <c r="B799" s="14" t="str">
        <f>"01390"</f>
        <v>01390</v>
      </c>
      <c r="C799" s="14" t="str">
        <f>"1600"</f>
        <v>1600</v>
      </c>
      <c r="D799" s="14" t="str">
        <f>"24660"</f>
        <v>24660</v>
      </c>
      <c r="E799" s="14" t="s">
        <v>910</v>
      </c>
      <c r="F799" s="14" t="s">
        <v>116</v>
      </c>
      <c r="G799" s="14" t="str">
        <f>"GR0024660"</f>
        <v>GR0024660</v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112</v>
      </c>
      <c r="L799" s="14" t="s">
        <v>113</v>
      </c>
      <c r="M799" s="14" t="s">
        <v>114</v>
      </c>
      <c r="O799" s="14" t="s">
        <v>911</v>
      </c>
      <c r="P799" s="14" t="s">
        <v>701</v>
      </c>
      <c r="Q799" s="14" t="s">
        <v>701</v>
      </c>
      <c r="R799" s="14" t="s">
        <v>115</v>
      </c>
    </row>
    <row r="800" spans="1:18" s="14" customFormat="1" x14ac:dyDescent="0.25">
      <c r="A800" s="14" t="str">
        <f>"24661"</f>
        <v>24661</v>
      </c>
      <c r="B800" s="14" t="str">
        <f>"01390"</f>
        <v>01390</v>
      </c>
      <c r="C800" s="14" t="str">
        <f>"1600"</f>
        <v>1600</v>
      </c>
      <c r="D800" s="14" t="str">
        <f>"24661"</f>
        <v>24661</v>
      </c>
      <c r="E800" s="14" t="s">
        <v>912</v>
      </c>
      <c r="F800" s="14" t="s">
        <v>116</v>
      </c>
      <c r="G800" s="14" t="str">
        <f>"GR0024660"</f>
        <v>GR0024660</v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112</v>
      </c>
      <c r="L800" s="14" t="s">
        <v>113</v>
      </c>
      <c r="M800" s="14" t="s">
        <v>114</v>
      </c>
      <c r="O800" s="14" t="s">
        <v>911</v>
      </c>
      <c r="P800" s="14" t="s">
        <v>701</v>
      </c>
      <c r="Q800" s="14" t="s">
        <v>701</v>
      </c>
      <c r="R800" s="14" t="s">
        <v>115</v>
      </c>
    </row>
    <row r="801" spans="1:18" s="14" customFormat="1" x14ac:dyDescent="0.25">
      <c r="A801" s="14" t="str">
        <f>"25004"</f>
        <v>25004</v>
      </c>
      <c r="B801" s="14" t="str">
        <f>"01400"</f>
        <v>01400</v>
      </c>
      <c r="C801" s="14" t="str">
        <f>"1200"</f>
        <v>1200</v>
      </c>
      <c r="D801" s="14" t="str">
        <f>"25004"</f>
        <v>25004</v>
      </c>
      <c r="E801" s="14" t="s">
        <v>913</v>
      </c>
      <c r="F801" s="14" t="s">
        <v>117</v>
      </c>
      <c r="G801" s="14" t="str">
        <f>"GR0025004"</f>
        <v>GR0025004</v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69</v>
      </c>
      <c r="L801" s="14" t="s">
        <v>70</v>
      </c>
      <c r="M801" s="14" t="s">
        <v>71</v>
      </c>
      <c r="O801" s="14" t="s">
        <v>914</v>
      </c>
      <c r="P801" s="14" t="s">
        <v>701</v>
      </c>
      <c r="Q801" s="14" t="s">
        <v>701</v>
      </c>
      <c r="R801" s="14" t="s">
        <v>72</v>
      </c>
    </row>
    <row r="802" spans="1:18" s="14" customFormat="1" x14ac:dyDescent="0.25">
      <c r="A802" s="14" t="str">
        <f>"25097"</f>
        <v>25097</v>
      </c>
      <c r="B802" s="14" t="str">
        <f>"01500"</f>
        <v>01500</v>
      </c>
      <c r="C802" s="14" t="str">
        <f>"1600"</f>
        <v>1600</v>
      </c>
      <c r="D802" s="14" t="str">
        <f>"25097"</f>
        <v>25097</v>
      </c>
      <c r="E802" s="14" t="s">
        <v>915</v>
      </c>
      <c r="F802" s="14" t="s">
        <v>130</v>
      </c>
      <c r="G802" s="14" t="str">
        <f>"GR0025097"</f>
        <v>GR0025097</v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69</v>
      </c>
      <c r="L802" s="14" t="s">
        <v>70</v>
      </c>
      <c r="M802" s="14" t="s">
        <v>71</v>
      </c>
      <c r="O802" s="14" t="s">
        <v>916</v>
      </c>
      <c r="P802" s="14" t="s">
        <v>701</v>
      </c>
      <c r="Q802" s="14" t="s">
        <v>701</v>
      </c>
      <c r="R802" s="14" t="s">
        <v>72</v>
      </c>
    </row>
    <row r="803" spans="1:18" s="14" customFormat="1" x14ac:dyDescent="0.25">
      <c r="A803" s="14" t="str">
        <f>"25116"</f>
        <v>25116</v>
      </c>
      <c r="B803" s="14" t="str">
        <f>"01705"</f>
        <v>01705</v>
      </c>
      <c r="C803" s="14" t="str">
        <f>"1600"</f>
        <v>1600</v>
      </c>
      <c r="D803" s="14" t="str">
        <f>"25116"</f>
        <v>25116</v>
      </c>
      <c r="E803" s="14" t="s">
        <v>917</v>
      </c>
      <c r="F803" s="14" t="s">
        <v>159</v>
      </c>
      <c r="G803" s="14" t="str">
        <f>"GR0025116"</f>
        <v>GR0025116</v>
      </c>
      <c r="H803" s="14" t="str">
        <f>" 10"</f>
        <v xml:space="preserve"> 10</v>
      </c>
      <c r="I803" s="14">
        <v>0.01</v>
      </c>
      <c r="J803" s="14">
        <v>500</v>
      </c>
      <c r="K803" s="14" t="s">
        <v>146</v>
      </c>
      <c r="L803" s="14" t="s">
        <v>147</v>
      </c>
      <c r="O803" s="14" t="s">
        <v>147</v>
      </c>
      <c r="P803" s="14" t="s">
        <v>701</v>
      </c>
      <c r="Q803" s="14" t="s">
        <v>701</v>
      </c>
      <c r="R803" s="14" t="s">
        <v>146</v>
      </c>
    </row>
    <row r="804" spans="1:18" s="14" customFormat="1" x14ac:dyDescent="0.25">
      <c r="A804" s="14" t="str">
        <f>"25116"</f>
        <v>25116</v>
      </c>
      <c r="B804" s="14" t="str">
        <f>"01705"</f>
        <v>01705</v>
      </c>
      <c r="C804" s="14" t="str">
        <f>"1600"</f>
        <v>1600</v>
      </c>
      <c r="D804" s="14" t="str">
        <f>"25116"</f>
        <v>25116</v>
      </c>
      <c r="E804" s="14" t="s">
        <v>917</v>
      </c>
      <c r="F804" s="14" t="s">
        <v>159</v>
      </c>
      <c r="G804" s="14" t="str">
        <f>"GR0025116"</f>
        <v>GR0025116</v>
      </c>
      <c r="H804" s="14" t="str">
        <f>" 20"</f>
        <v xml:space="preserve"> 20</v>
      </c>
      <c r="I804" s="14">
        <v>500.01</v>
      </c>
      <c r="J804" s="14">
        <v>9999999.9900000002</v>
      </c>
      <c r="K804" s="14" t="s">
        <v>147</v>
      </c>
      <c r="L804" s="14" t="s">
        <v>147</v>
      </c>
      <c r="O804" s="14" t="s">
        <v>147</v>
      </c>
      <c r="P804" s="14" t="s">
        <v>701</v>
      </c>
      <c r="Q804" s="14" t="s">
        <v>701</v>
      </c>
      <c r="R804" s="14" t="s">
        <v>146</v>
      </c>
    </row>
    <row r="805" spans="1:18" s="14" customFormat="1" x14ac:dyDescent="0.25">
      <c r="A805" s="14" t="str">
        <f>"25122"</f>
        <v>25122</v>
      </c>
      <c r="B805" s="14" t="str">
        <f>"01630"</f>
        <v>01630</v>
      </c>
      <c r="C805" s="14" t="str">
        <f>"1300"</f>
        <v>1300</v>
      </c>
      <c r="D805" s="14" t="str">
        <f>"25122"</f>
        <v>25122</v>
      </c>
      <c r="E805" s="14" t="s">
        <v>918</v>
      </c>
      <c r="F805" s="14" t="s">
        <v>142</v>
      </c>
      <c r="G805" s="14" t="str">
        <f>"GR0025122"</f>
        <v>GR0025122</v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69</v>
      </c>
      <c r="L805" s="14" t="s">
        <v>70</v>
      </c>
      <c r="M805" s="14" t="s">
        <v>71</v>
      </c>
      <c r="O805" s="14" t="s">
        <v>919</v>
      </c>
      <c r="P805" s="14" t="s">
        <v>701</v>
      </c>
      <c r="Q805" s="14" t="s">
        <v>701</v>
      </c>
      <c r="R805" s="14" t="s">
        <v>72</v>
      </c>
    </row>
    <row r="806" spans="1:18" s="14" customFormat="1" x14ac:dyDescent="0.25">
      <c r="A806" s="14" t="str">
        <f>"25133"</f>
        <v>25133</v>
      </c>
      <c r="B806" s="14" t="str">
        <f>"01080"</f>
        <v>01080</v>
      </c>
      <c r="C806" s="14" t="str">
        <f>"1700"</f>
        <v>1700</v>
      </c>
      <c r="D806" s="14" t="str">
        <f>"25133"</f>
        <v>25133</v>
      </c>
      <c r="E806" s="14" t="s">
        <v>920</v>
      </c>
      <c r="F806" s="14" t="s">
        <v>61</v>
      </c>
      <c r="G806" s="14" t="str">
        <f>"GR0025133"</f>
        <v>GR0025133</v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37</v>
      </c>
      <c r="L806" s="14" t="s">
        <v>50</v>
      </c>
      <c r="O806" s="14" t="s">
        <v>37</v>
      </c>
      <c r="P806" s="14" t="s">
        <v>701</v>
      </c>
      <c r="Q806" s="14" t="s">
        <v>701</v>
      </c>
      <c r="R806" s="14" t="s">
        <v>38</v>
      </c>
    </row>
    <row r="807" spans="1:18" s="14" customFormat="1" x14ac:dyDescent="0.25">
      <c r="A807" s="14" t="str">
        <f>"25136"</f>
        <v>25136</v>
      </c>
      <c r="B807" s="14" t="str">
        <f>"01240"</f>
        <v>01240</v>
      </c>
      <c r="C807" s="14" t="str">
        <f>"1400"</f>
        <v>1400</v>
      </c>
      <c r="D807" s="14" t="str">
        <f>"25136"</f>
        <v>25136</v>
      </c>
      <c r="E807" s="14" t="s">
        <v>921</v>
      </c>
      <c r="F807" s="14" t="s">
        <v>80</v>
      </c>
      <c r="G807" s="14" t="str">
        <f>"GR0025136"</f>
        <v>GR0025136</v>
      </c>
      <c r="H807" s="14" t="str">
        <f>" 00"</f>
        <v xml:space="preserve"> 00</v>
      </c>
      <c r="I807" s="14">
        <v>0.01</v>
      </c>
      <c r="J807" s="14">
        <v>9999999.9900000002</v>
      </c>
      <c r="K807" s="14" t="s">
        <v>37</v>
      </c>
      <c r="L807" s="14" t="s">
        <v>81</v>
      </c>
      <c r="O807" s="14" t="s">
        <v>81</v>
      </c>
      <c r="P807" s="14" t="s">
        <v>701</v>
      </c>
      <c r="Q807" s="14" t="s">
        <v>701</v>
      </c>
      <c r="R807" s="14" t="s">
        <v>81</v>
      </c>
    </row>
    <row r="808" spans="1:18" s="14" customFormat="1" x14ac:dyDescent="0.25">
      <c r="A808" s="14" t="str">
        <f>"25139"</f>
        <v>25139</v>
      </c>
      <c r="B808" s="14" t="str">
        <f>"01695"</f>
        <v>01695</v>
      </c>
      <c r="C808" s="14" t="str">
        <f>"1200"</f>
        <v>1200</v>
      </c>
      <c r="D808" s="14" t="str">
        <f>"25139"</f>
        <v>25139</v>
      </c>
      <c r="E808" s="14" t="s">
        <v>922</v>
      </c>
      <c r="F808" s="14" t="s">
        <v>155</v>
      </c>
      <c r="G808" s="14" t="str">
        <f>"GR0025139"</f>
        <v>GR0025139</v>
      </c>
      <c r="H808" s="14" t="str">
        <f>" 10"</f>
        <v xml:space="preserve"> 10</v>
      </c>
      <c r="I808" s="14">
        <v>0.01</v>
      </c>
      <c r="J808" s="14">
        <v>500</v>
      </c>
      <c r="K808" s="14" t="s">
        <v>146</v>
      </c>
      <c r="L808" s="14" t="s">
        <v>147</v>
      </c>
      <c r="O808" s="14" t="s">
        <v>156</v>
      </c>
      <c r="P808" s="14" t="s">
        <v>701</v>
      </c>
      <c r="Q808" s="14" t="s">
        <v>701</v>
      </c>
      <c r="R808" s="14" t="s">
        <v>146</v>
      </c>
    </row>
    <row r="809" spans="1:18" s="14" customFormat="1" x14ac:dyDescent="0.25">
      <c r="A809" s="14" t="str">
        <f>"25139"</f>
        <v>25139</v>
      </c>
      <c r="B809" s="14" t="str">
        <f>"01695"</f>
        <v>01695</v>
      </c>
      <c r="C809" s="14" t="str">
        <f>"1200"</f>
        <v>1200</v>
      </c>
      <c r="D809" s="14" t="str">
        <f>"25139"</f>
        <v>25139</v>
      </c>
      <c r="E809" s="14" t="s">
        <v>922</v>
      </c>
      <c r="F809" s="14" t="s">
        <v>155</v>
      </c>
      <c r="G809" s="14" t="str">
        <f>"GR0025139"</f>
        <v>GR0025139</v>
      </c>
      <c r="H809" s="14" t="str">
        <f>" 20"</f>
        <v xml:space="preserve"> 20</v>
      </c>
      <c r="I809" s="14">
        <v>500.01</v>
      </c>
      <c r="J809" s="14">
        <v>9999999.9900000002</v>
      </c>
      <c r="K809" s="14" t="s">
        <v>156</v>
      </c>
      <c r="L809" s="14" t="s">
        <v>147</v>
      </c>
      <c r="O809" s="14" t="s">
        <v>156</v>
      </c>
      <c r="P809" s="14" t="s">
        <v>701</v>
      </c>
      <c r="Q809" s="14" t="s">
        <v>701</v>
      </c>
      <c r="R809" s="14" t="s">
        <v>146</v>
      </c>
    </row>
    <row r="810" spans="1:18" s="14" customFormat="1" x14ac:dyDescent="0.25">
      <c r="A810" s="14" t="str">
        <f>"25143"</f>
        <v>25143</v>
      </c>
      <c r="B810" s="14" t="str">
        <f>"01630"</f>
        <v>01630</v>
      </c>
      <c r="C810" s="14" t="str">
        <f>"1200"</f>
        <v>1200</v>
      </c>
      <c r="D810" s="14" t="str">
        <f>"25143"</f>
        <v>25143</v>
      </c>
      <c r="E810" s="14" t="s">
        <v>923</v>
      </c>
      <c r="F810" s="14" t="s">
        <v>142</v>
      </c>
      <c r="G810" s="14" t="str">
        <f>"GR0025143"</f>
        <v>GR0025143</v>
      </c>
      <c r="H810" s="14" t="str">
        <f>" 00"</f>
        <v xml:space="preserve"> 00</v>
      </c>
      <c r="I810" s="14">
        <v>0.01</v>
      </c>
      <c r="J810" s="14">
        <v>9999999.9900000002</v>
      </c>
      <c r="K810" s="14" t="s">
        <v>69</v>
      </c>
      <c r="L810" s="14" t="s">
        <v>70</v>
      </c>
      <c r="M810" s="14" t="s">
        <v>71</v>
      </c>
      <c r="O810" s="14" t="s">
        <v>755</v>
      </c>
      <c r="P810" s="14" t="s">
        <v>701</v>
      </c>
      <c r="Q810" s="14" t="s">
        <v>701</v>
      </c>
      <c r="R810" s="14" t="s">
        <v>72</v>
      </c>
    </row>
    <row r="811" spans="1:18" s="14" customFormat="1" x14ac:dyDescent="0.25">
      <c r="A811" s="14" t="str">
        <f>"25146"</f>
        <v>25146</v>
      </c>
      <c r="B811" s="14" t="str">
        <f>"01390"</f>
        <v>01390</v>
      </c>
      <c r="C811" s="14" t="str">
        <f>"1300"</f>
        <v>1300</v>
      </c>
      <c r="D811" s="14" t="str">
        <f>"25146"</f>
        <v>25146</v>
      </c>
      <c r="E811" s="14" t="s">
        <v>924</v>
      </c>
      <c r="F811" s="14" t="s">
        <v>116</v>
      </c>
      <c r="G811" s="14" t="str">
        <f>"GR0025146"</f>
        <v>GR0025146</v>
      </c>
      <c r="H811" s="14" t="str">
        <f>" 00"</f>
        <v xml:space="preserve"> 00</v>
      </c>
      <c r="I811" s="14">
        <v>0.01</v>
      </c>
      <c r="J811" s="14">
        <v>9999999.9900000002</v>
      </c>
      <c r="K811" s="14" t="s">
        <v>113</v>
      </c>
      <c r="L811" s="14" t="s">
        <v>112</v>
      </c>
      <c r="O811" s="14" t="s">
        <v>113</v>
      </c>
      <c r="P811" s="14" t="s">
        <v>701</v>
      </c>
      <c r="Q811" s="14" t="s">
        <v>701</v>
      </c>
      <c r="R811" s="14" t="s">
        <v>115</v>
      </c>
    </row>
    <row r="812" spans="1:18" s="14" customFormat="1" x14ac:dyDescent="0.25">
      <c r="A812" s="14" t="str">
        <f>"25147"</f>
        <v>25147</v>
      </c>
      <c r="B812" s="14" t="str">
        <f>"01790"</f>
        <v>01790</v>
      </c>
      <c r="C812" s="14" t="str">
        <f>"1600"</f>
        <v>1600</v>
      </c>
      <c r="D812" s="14" t="str">
        <f>"25147"</f>
        <v>25147</v>
      </c>
      <c r="E812" s="14" t="s">
        <v>925</v>
      </c>
      <c r="F812" s="14" t="s">
        <v>178</v>
      </c>
      <c r="G812" s="14" t="str">
        <f>"GR0025147"</f>
        <v>GR0025147</v>
      </c>
      <c r="H812" s="14" t="str">
        <f>" 00"</f>
        <v xml:space="preserve"> 00</v>
      </c>
      <c r="I812" s="14">
        <v>0.01</v>
      </c>
      <c r="J812" s="14">
        <v>9999999.9900000002</v>
      </c>
      <c r="K812" s="14" t="s">
        <v>179</v>
      </c>
      <c r="L812" s="14" t="s">
        <v>112</v>
      </c>
      <c r="M812" s="14" t="s">
        <v>113</v>
      </c>
      <c r="O812" s="14" t="s">
        <v>926</v>
      </c>
      <c r="P812" s="14" t="s">
        <v>701</v>
      </c>
      <c r="Q812" s="14" t="s">
        <v>701</v>
      </c>
      <c r="R812" s="14" t="s">
        <v>115</v>
      </c>
    </row>
    <row r="813" spans="1:18" s="14" customFormat="1" x14ac:dyDescent="0.25">
      <c r="A813" s="14" t="str">
        <f>"25149"</f>
        <v>25149</v>
      </c>
      <c r="B813" s="14" t="str">
        <f>"01100"</f>
        <v>01100</v>
      </c>
      <c r="C813" s="14" t="str">
        <f>"1930"</f>
        <v>1930</v>
      </c>
      <c r="D813" s="14" t="str">
        <f>"25149"</f>
        <v>25149</v>
      </c>
      <c r="E813" s="14" t="s">
        <v>927</v>
      </c>
      <c r="F813" s="14" t="s">
        <v>725</v>
      </c>
      <c r="G813" s="14" t="str">
        <f>"GR0025149"</f>
        <v>GR0025149</v>
      </c>
      <c r="H813" s="14" t="str">
        <f>" 10"</f>
        <v xml:space="preserve"> 10</v>
      </c>
      <c r="I813" s="14">
        <v>0.01</v>
      </c>
      <c r="J813" s="14">
        <v>500</v>
      </c>
      <c r="K813" s="14" t="s">
        <v>727</v>
      </c>
      <c r="L813" s="14" t="s">
        <v>55</v>
      </c>
      <c r="O813" s="14" t="s">
        <v>55</v>
      </c>
      <c r="P813" s="14" t="s">
        <v>701</v>
      </c>
      <c r="Q813" s="14" t="s">
        <v>701</v>
      </c>
      <c r="R813" s="14" t="s">
        <v>727</v>
      </c>
    </row>
    <row r="814" spans="1:18" s="14" customFormat="1" x14ac:dyDescent="0.25">
      <c r="A814" s="14" t="str">
        <f>"25149"</f>
        <v>25149</v>
      </c>
      <c r="B814" s="14" t="str">
        <f>"01100"</f>
        <v>01100</v>
      </c>
      <c r="C814" s="14" t="str">
        <f>"1930"</f>
        <v>1930</v>
      </c>
      <c r="D814" s="14" t="str">
        <f>"25149"</f>
        <v>25149</v>
      </c>
      <c r="E814" s="14" t="s">
        <v>927</v>
      </c>
      <c r="F814" s="14" t="s">
        <v>725</v>
      </c>
      <c r="G814" s="14" t="str">
        <f>"GR0025149"</f>
        <v>GR0025149</v>
      </c>
      <c r="H814" s="14" t="str">
        <f>" 20"</f>
        <v xml:space="preserve"> 20</v>
      </c>
      <c r="I814" s="14">
        <v>500.01</v>
      </c>
      <c r="J814" s="14">
        <v>9999999.9900000002</v>
      </c>
      <c r="K814" s="14" t="s">
        <v>55</v>
      </c>
      <c r="L814" s="14" t="s">
        <v>726</v>
      </c>
      <c r="M814" s="14" t="s">
        <v>53</v>
      </c>
      <c r="O814" s="14" t="s">
        <v>55</v>
      </c>
      <c r="P814" s="14" t="s">
        <v>701</v>
      </c>
      <c r="Q814" s="14" t="s">
        <v>701</v>
      </c>
      <c r="R814" s="14" t="s">
        <v>727</v>
      </c>
    </row>
    <row r="815" spans="1:18" s="14" customFormat="1" x14ac:dyDescent="0.25">
      <c r="A815" s="14" t="str">
        <f>"25150"</f>
        <v>25150</v>
      </c>
      <c r="B815" s="14" t="str">
        <f>"01695"</f>
        <v>01695</v>
      </c>
      <c r="C815" s="14" t="str">
        <f>"1600"</f>
        <v>1600</v>
      </c>
      <c r="D815" s="14" t="str">
        <f>"25150"</f>
        <v>25150</v>
      </c>
      <c r="E815" s="14" t="s">
        <v>928</v>
      </c>
      <c r="F815" s="14" t="s">
        <v>155</v>
      </c>
      <c r="G815" s="14" t="str">
        <f>"GR0025150"</f>
        <v>GR0025150</v>
      </c>
      <c r="H815" s="14" t="str">
        <f>" 10"</f>
        <v xml:space="preserve"> 10</v>
      </c>
      <c r="I815" s="14">
        <v>0.01</v>
      </c>
      <c r="J815" s="14">
        <v>500</v>
      </c>
      <c r="K815" s="14" t="s">
        <v>146</v>
      </c>
      <c r="L815" s="14" t="s">
        <v>147</v>
      </c>
      <c r="M815" s="14" t="s">
        <v>156</v>
      </c>
      <c r="O815" s="14" t="s">
        <v>156</v>
      </c>
      <c r="P815" s="14" t="s">
        <v>701</v>
      </c>
      <c r="Q815" s="14" t="s">
        <v>701</v>
      </c>
      <c r="R815" s="14" t="s">
        <v>146</v>
      </c>
    </row>
    <row r="816" spans="1:18" s="14" customFormat="1" x14ac:dyDescent="0.25">
      <c r="A816" s="14" t="str">
        <f>"25150"</f>
        <v>25150</v>
      </c>
      <c r="B816" s="14" t="str">
        <f>"01695"</f>
        <v>01695</v>
      </c>
      <c r="C816" s="14" t="str">
        <f>"1600"</f>
        <v>1600</v>
      </c>
      <c r="D816" s="14" t="str">
        <f>"25150"</f>
        <v>25150</v>
      </c>
      <c r="E816" s="14" t="s">
        <v>928</v>
      </c>
      <c r="F816" s="14" t="s">
        <v>155</v>
      </c>
      <c r="G816" s="14" t="str">
        <f>"GR0025150"</f>
        <v>GR0025150</v>
      </c>
      <c r="H816" s="14" t="str">
        <f>" 20"</f>
        <v xml:space="preserve"> 20</v>
      </c>
      <c r="I816" s="14">
        <v>500.01</v>
      </c>
      <c r="J816" s="14">
        <v>9999999.9900000002</v>
      </c>
      <c r="K816" s="14" t="s">
        <v>147</v>
      </c>
      <c r="L816" s="14" t="s">
        <v>156</v>
      </c>
      <c r="O816" s="14" t="s">
        <v>156</v>
      </c>
      <c r="P816" s="14" t="s">
        <v>701</v>
      </c>
      <c r="Q816" s="14" t="s">
        <v>701</v>
      </c>
      <c r="R816" s="14" t="s">
        <v>146</v>
      </c>
    </row>
    <row r="817" spans="1:18" s="14" customFormat="1" x14ac:dyDescent="0.25">
      <c r="A817" s="14" t="str">
        <f>"25151"</f>
        <v>25151</v>
      </c>
      <c r="B817" s="14" t="str">
        <f>"01030"</f>
        <v>01030</v>
      </c>
      <c r="C817" s="14" t="str">
        <f>"1600"</f>
        <v>1600</v>
      </c>
      <c r="D817" s="14" t="str">
        <f>"25151"</f>
        <v>25151</v>
      </c>
      <c r="E817" s="14" t="s">
        <v>929</v>
      </c>
      <c r="F817" s="14" t="s">
        <v>52</v>
      </c>
      <c r="G817" s="14" t="str">
        <f>"GR0025151"</f>
        <v>GR0025151</v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53</v>
      </c>
      <c r="L817" s="14" t="s">
        <v>69</v>
      </c>
      <c r="M817" s="14" t="s">
        <v>48</v>
      </c>
      <c r="O817" s="14" t="s">
        <v>53</v>
      </c>
      <c r="P817" s="14" t="s">
        <v>701</v>
      </c>
      <c r="Q817" s="14" t="s">
        <v>701</v>
      </c>
      <c r="R817" s="14" t="s">
        <v>54</v>
      </c>
    </row>
    <row r="818" spans="1:18" s="14" customFormat="1" x14ac:dyDescent="0.25">
      <c r="A818" s="14" t="str">
        <f>"25152"</f>
        <v>25152</v>
      </c>
      <c r="B818" s="14" t="str">
        <f>"01100"</f>
        <v>01100</v>
      </c>
      <c r="C818" s="14" t="str">
        <f>"1930"</f>
        <v>1930</v>
      </c>
      <c r="D818" s="14" t="str">
        <f>"25152"</f>
        <v>25152</v>
      </c>
      <c r="E818" s="14" t="s">
        <v>930</v>
      </c>
      <c r="F818" s="14" t="s">
        <v>725</v>
      </c>
      <c r="G818" s="14" t="str">
        <f>"GR0025152"</f>
        <v>GR0025152</v>
      </c>
      <c r="H818" s="14" t="str">
        <f>" 10"</f>
        <v xml:space="preserve"> 10</v>
      </c>
      <c r="I818" s="14">
        <v>0.01</v>
      </c>
      <c r="J818" s="14">
        <v>500</v>
      </c>
      <c r="K818" s="14" t="s">
        <v>727</v>
      </c>
      <c r="L818" s="14" t="s">
        <v>55</v>
      </c>
      <c r="O818" s="14" t="s">
        <v>55</v>
      </c>
      <c r="P818" s="14" t="s">
        <v>701</v>
      </c>
      <c r="Q818" s="14" t="s">
        <v>701</v>
      </c>
      <c r="R818" s="14" t="s">
        <v>727</v>
      </c>
    </row>
    <row r="819" spans="1:18" s="14" customFormat="1" x14ac:dyDescent="0.25">
      <c r="A819" s="14" t="str">
        <f>"25152"</f>
        <v>25152</v>
      </c>
      <c r="B819" s="14" t="str">
        <f>"01100"</f>
        <v>01100</v>
      </c>
      <c r="C819" s="14" t="str">
        <f>"1930"</f>
        <v>1930</v>
      </c>
      <c r="D819" s="14" t="str">
        <f>"25152"</f>
        <v>25152</v>
      </c>
      <c r="E819" s="14" t="s">
        <v>930</v>
      </c>
      <c r="F819" s="14" t="s">
        <v>725</v>
      </c>
      <c r="G819" s="14" t="str">
        <f>"GR0025152"</f>
        <v>GR0025152</v>
      </c>
      <c r="H819" s="14" t="str">
        <f>" 20"</f>
        <v xml:space="preserve"> 20</v>
      </c>
      <c r="I819" s="14">
        <v>500.01</v>
      </c>
      <c r="J819" s="14">
        <v>9999999.9900000002</v>
      </c>
      <c r="K819" s="14" t="s">
        <v>55</v>
      </c>
      <c r="L819" s="14" t="s">
        <v>726</v>
      </c>
      <c r="M819" s="14" t="s">
        <v>53</v>
      </c>
      <c r="O819" s="14" t="s">
        <v>55</v>
      </c>
      <c r="P819" s="14" t="s">
        <v>701</v>
      </c>
      <c r="Q819" s="14" t="s">
        <v>701</v>
      </c>
      <c r="R819" s="14" t="s">
        <v>727</v>
      </c>
    </row>
    <row r="820" spans="1:18" s="14" customFormat="1" x14ac:dyDescent="0.25">
      <c r="A820" s="14" t="str">
        <f>"25153"</f>
        <v>25153</v>
      </c>
      <c r="B820" s="14" t="str">
        <f>"01160"</f>
        <v>01160</v>
      </c>
      <c r="C820" s="14" t="str">
        <f>"1700"</f>
        <v>1700</v>
      </c>
      <c r="D820" s="14" t="str">
        <f>"25153"</f>
        <v>25153</v>
      </c>
      <c r="E820" s="14" t="s">
        <v>931</v>
      </c>
      <c r="F820" s="14" t="s">
        <v>63</v>
      </c>
      <c r="G820" s="14" t="str">
        <f>"GR0025153"</f>
        <v>GR0025153</v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53</v>
      </c>
      <c r="L820" s="14" t="s">
        <v>55</v>
      </c>
      <c r="M820" s="14" t="s">
        <v>54</v>
      </c>
      <c r="O820" s="14" t="s">
        <v>875</v>
      </c>
      <c r="P820" s="14" t="s">
        <v>701</v>
      </c>
      <c r="Q820" s="14" t="s">
        <v>701</v>
      </c>
      <c r="R820" s="14" t="s">
        <v>875</v>
      </c>
    </row>
    <row r="821" spans="1:18" s="14" customFormat="1" x14ac:dyDescent="0.25">
      <c r="A821" s="14" t="str">
        <f>"25154"</f>
        <v>25154</v>
      </c>
      <c r="B821" s="14" t="str">
        <f>"01580"</f>
        <v>01580</v>
      </c>
      <c r="C821" s="14" t="str">
        <f>"1700"</f>
        <v>1700</v>
      </c>
      <c r="D821" s="14" t="str">
        <f>"25154"</f>
        <v>25154</v>
      </c>
      <c r="E821" s="14" t="s">
        <v>932</v>
      </c>
      <c r="F821" s="14" t="s">
        <v>137</v>
      </c>
      <c r="G821" s="14" t="str">
        <f>"GR0025154"</f>
        <v>GR0025154</v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69</v>
      </c>
      <c r="L821" s="14" t="s">
        <v>70</v>
      </c>
      <c r="M821" s="14" t="s">
        <v>71</v>
      </c>
      <c r="O821" s="14" t="s">
        <v>933</v>
      </c>
      <c r="P821" s="14" t="s">
        <v>701</v>
      </c>
      <c r="Q821" s="14" t="s">
        <v>701</v>
      </c>
      <c r="R821" s="14" t="s">
        <v>72</v>
      </c>
    </row>
    <row r="822" spans="1:18" s="14" customFormat="1" x14ac:dyDescent="0.25">
      <c r="A822" s="14" t="str">
        <f>"25155"</f>
        <v>25155</v>
      </c>
      <c r="B822" s="14" t="str">
        <f>"01100"</f>
        <v>01100</v>
      </c>
      <c r="C822" s="14" t="str">
        <f>"1930"</f>
        <v>1930</v>
      </c>
      <c r="D822" s="14" t="str">
        <f>""</f>
        <v/>
      </c>
      <c r="E822" s="14" t="s">
        <v>934</v>
      </c>
      <c r="F822" s="14" t="s">
        <v>725</v>
      </c>
      <c r="G822" s="14" t="str">
        <f>"GR0025155"</f>
        <v>GR0025155</v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55</v>
      </c>
      <c r="L822" s="14" t="s">
        <v>726</v>
      </c>
      <c r="M822" s="14" t="s">
        <v>53</v>
      </c>
      <c r="O822" s="14" t="s">
        <v>55</v>
      </c>
      <c r="P822" s="14" t="s">
        <v>701</v>
      </c>
      <c r="Q822" s="14" t="s">
        <v>701</v>
      </c>
      <c r="R822" s="14" t="s">
        <v>727</v>
      </c>
    </row>
    <row r="823" spans="1:18" s="14" customFormat="1" x14ac:dyDescent="0.25">
      <c r="A823" s="14" t="str">
        <f>"25156"</f>
        <v>25156</v>
      </c>
      <c r="B823" s="14" t="str">
        <f>"01710"</f>
        <v>01710</v>
      </c>
      <c r="C823" s="14" t="str">
        <f>"1200"</f>
        <v>1200</v>
      </c>
      <c r="D823" s="14" t="str">
        <f>"25156"</f>
        <v>25156</v>
      </c>
      <c r="E823" s="14" t="s">
        <v>935</v>
      </c>
      <c r="F823" s="14" t="s">
        <v>161</v>
      </c>
      <c r="G823" s="14" t="str">
        <f>"GR0025156"</f>
        <v>GR0025156</v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162</v>
      </c>
      <c r="L823" s="14" t="s">
        <v>147</v>
      </c>
      <c r="M823" s="14" t="s">
        <v>154</v>
      </c>
      <c r="N823" s="14" t="s">
        <v>773</v>
      </c>
      <c r="O823" s="14" t="s">
        <v>773</v>
      </c>
      <c r="P823" s="14" t="s">
        <v>701</v>
      </c>
      <c r="Q823" s="14" t="s">
        <v>701</v>
      </c>
      <c r="R823" s="14" t="s">
        <v>146</v>
      </c>
    </row>
    <row r="824" spans="1:18" s="14" customFormat="1" x14ac:dyDescent="0.25">
      <c r="A824" s="14" t="str">
        <f>"25157"</f>
        <v>25157</v>
      </c>
      <c r="B824" s="14" t="str">
        <f>"01710"</f>
        <v>01710</v>
      </c>
      <c r="C824" s="14" t="str">
        <f>"1200"</f>
        <v>1200</v>
      </c>
      <c r="D824" s="14" t="str">
        <f>"25157"</f>
        <v>25157</v>
      </c>
      <c r="E824" s="14" t="s">
        <v>936</v>
      </c>
      <c r="F824" s="14" t="s">
        <v>161</v>
      </c>
      <c r="G824" s="14" t="str">
        <f>"GR0025156"</f>
        <v>GR0025156</v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162</v>
      </c>
      <c r="L824" s="14" t="s">
        <v>147</v>
      </c>
      <c r="M824" s="14" t="s">
        <v>154</v>
      </c>
      <c r="N824" s="14" t="s">
        <v>773</v>
      </c>
      <c r="O824" s="14" t="s">
        <v>773</v>
      </c>
      <c r="P824" s="14" t="s">
        <v>701</v>
      </c>
      <c r="Q824" s="14" t="s">
        <v>701</v>
      </c>
      <c r="R824" s="14" t="s">
        <v>146</v>
      </c>
    </row>
    <row r="825" spans="1:18" s="14" customFormat="1" x14ac:dyDescent="0.25">
      <c r="A825" s="14" t="str">
        <f>"25158"</f>
        <v>25158</v>
      </c>
      <c r="B825" s="14" t="str">
        <f>"01390"</f>
        <v>01390</v>
      </c>
      <c r="C825" s="14" t="str">
        <f>"1300"</f>
        <v>1300</v>
      </c>
      <c r="D825" s="14" t="str">
        <f>"25158"</f>
        <v>25158</v>
      </c>
      <c r="E825" s="14" t="s">
        <v>937</v>
      </c>
      <c r="F825" s="14" t="s">
        <v>116</v>
      </c>
      <c r="G825" s="14" t="str">
        <f>"GR0025158"</f>
        <v>GR0025158</v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113</v>
      </c>
      <c r="L825" s="14" t="s">
        <v>112</v>
      </c>
      <c r="M825" s="14" t="s">
        <v>114</v>
      </c>
      <c r="O825" s="14" t="s">
        <v>113</v>
      </c>
      <c r="P825" s="14" t="s">
        <v>701</v>
      </c>
      <c r="Q825" s="14" t="s">
        <v>701</v>
      </c>
      <c r="R825" s="14" t="s">
        <v>115</v>
      </c>
    </row>
    <row r="826" spans="1:18" s="14" customFormat="1" x14ac:dyDescent="0.25">
      <c r="A826" s="14" t="str">
        <f>"25159"</f>
        <v>25159</v>
      </c>
      <c r="B826" s="14" t="str">
        <f>"01695"</f>
        <v>01695</v>
      </c>
      <c r="C826" s="14" t="str">
        <f>"1600"</f>
        <v>1600</v>
      </c>
      <c r="D826" s="14" t="str">
        <f>"25159"</f>
        <v>25159</v>
      </c>
      <c r="E826" s="14" t="s">
        <v>938</v>
      </c>
      <c r="F826" s="14" t="s">
        <v>155</v>
      </c>
      <c r="G826" s="14" t="str">
        <f>"GR0025159"</f>
        <v>GR0025159</v>
      </c>
      <c r="H826" s="14" t="str">
        <f>" 10"</f>
        <v xml:space="preserve"> 10</v>
      </c>
      <c r="I826" s="14">
        <v>0.01</v>
      </c>
      <c r="J826" s="14">
        <v>500</v>
      </c>
      <c r="K826" s="14" t="s">
        <v>146</v>
      </c>
      <c r="L826" s="14" t="s">
        <v>156</v>
      </c>
      <c r="O826" s="14" t="s">
        <v>156</v>
      </c>
      <c r="P826" s="14" t="s">
        <v>701</v>
      </c>
      <c r="Q826" s="14" t="s">
        <v>701</v>
      </c>
      <c r="R826" s="14" t="s">
        <v>146</v>
      </c>
    </row>
    <row r="827" spans="1:18" s="14" customFormat="1" x14ac:dyDescent="0.25">
      <c r="A827" s="14" t="str">
        <f>"25159"</f>
        <v>25159</v>
      </c>
      <c r="B827" s="14" t="str">
        <f>"01695"</f>
        <v>01695</v>
      </c>
      <c r="C827" s="14" t="str">
        <f>"1600"</f>
        <v>1600</v>
      </c>
      <c r="D827" s="14" t="str">
        <f>"25159"</f>
        <v>25159</v>
      </c>
      <c r="E827" s="14" t="s">
        <v>938</v>
      </c>
      <c r="F827" s="14" t="s">
        <v>155</v>
      </c>
      <c r="G827" s="14" t="str">
        <f>"GR0025159"</f>
        <v>GR0025159</v>
      </c>
      <c r="H827" s="14" t="str">
        <f>" 20"</f>
        <v xml:space="preserve"> 20</v>
      </c>
      <c r="I827" s="14">
        <v>500.01</v>
      </c>
      <c r="J827" s="14">
        <v>9999999.9900000002</v>
      </c>
      <c r="K827" s="14" t="s">
        <v>156</v>
      </c>
      <c r="L827" s="14" t="s">
        <v>147</v>
      </c>
      <c r="O827" s="14" t="s">
        <v>156</v>
      </c>
      <c r="P827" s="14" t="s">
        <v>701</v>
      </c>
      <c r="Q827" s="14" t="s">
        <v>701</v>
      </c>
      <c r="R827" s="14" t="s">
        <v>146</v>
      </c>
    </row>
    <row r="828" spans="1:18" s="14" customFormat="1" x14ac:dyDescent="0.25">
      <c r="A828" s="14" t="str">
        <f>"25160"</f>
        <v>25160</v>
      </c>
      <c r="B828" s="14" t="str">
        <f>"01660"</f>
        <v>01660</v>
      </c>
      <c r="C828" s="14" t="str">
        <f>"1800"</f>
        <v>1800</v>
      </c>
      <c r="D828" s="14" t="str">
        <f>""</f>
        <v/>
      </c>
      <c r="E828" s="14" t="s">
        <v>939</v>
      </c>
      <c r="F828" s="14" t="s">
        <v>145</v>
      </c>
      <c r="G828" s="14" t="str">
        <f>"GR0025160"</f>
        <v>GR0025160</v>
      </c>
      <c r="H828" s="14" t="str">
        <f>" 10"</f>
        <v xml:space="preserve"> 10</v>
      </c>
      <c r="I828" s="14">
        <v>0.01</v>
      </c>
      <c r="J828" s="14">
        <v>500</v>
      </c>
      <c r="K828" s="14" t="s">
        <v>146</v>
      </c>
      <c r="L828" s="14" t="s">
        <v>147</v>
      </c>
      <c r="O828" s="14" t="s">
        <v>147</v>
      </c>
      <c r="P828" s="14" t="s">
        <v>701</v>
      </c>
      <c r="Q828" s="14" t="s">
        <v>701</v>
      </c>
      <c r="R828" s="14" t="s">
        <v>146</v>
      </c>
    </row>
    <row r="829" spans="1:18" s="14" customFormat="1" x14ac:dyDescent="0.25">
      <c r="A829" s="14" t="str">
        <f>"25160"</f>
        <v>25160</v>
      </c>
      <c r="B829" s="14" t="str">
        <f>"01660"</f>
        <v>01660</v>
      </c>
      <c r="C829" s="14" t="str">
        <f>"1800"</f>
        <v>1800</v>
      </c>
      <c r="D829" s="14" t="str">
        <f>""</f>
        <v/>
      </c>
      <c r="E829" s="14" t="s">
        <v>939</v>
      </c>
      <c r="F829" s="14" t="s">
        <v>145</v>
      </c>
      <c r="G829" s="14" t="str">
        <f>"GR0025160"</f>
        <v>GR0025160</v>
      </c>
      <c r="H829" s="14" t="str">
        <f>" 20"</f>
        <v xml:space="preserve"> 20</v>
      </c>
      <c r="I829" s="14">
        <v>500.01</v>
      </c>
      <c r="J829" s="14">
        <v>9999999.9900000002</v>
      </c>
      <c r="K829" s="14" t="s">
        <v>147</v>
      </c>
      <c r="L829" s="14" t="s">
        <v>148</v>
      </c>
      <c r="O829" s="14" t="s">
        <v>147</v>
      </c>
      <c r="P829" s="14" t="s">
        <v>701</v>
      </c>
      <c r="Q829" s="14" t="s">
        <v>701</v>
      </c>
      <c r="R829" s="14" t="s">
        <v>146</v>
      </c>
    </row>
    <row r="830" spans="1:18" s="14" customFormat="1" x14ac:dyDescent="0.25">
      <c r="A830" s="14" t="str">
        <f>"26029"</f>
        <v>26029</v>
      </c>
      <c r="B830" s="14" t="str">
        <f>"01000"</f>
        <v>01000</v>
      </c>
      <c r="C830" s="14" t="str">
        <f>"1300"</f>
        <v>1300</v>
      </c>
      <c r="D830" s="14" t="str">
        <f>"26029"</f>
        <v>26029</v>
      </c>
      <c r="E830" s="14" t="s">
        <v>940</v>
      </c>
      <c r="F830" s="14" t="s">
        <v>44</v>
      </c>
      <c r="G830" s="14" t="str">
        <f>"GR0026029"</f>
        <v>GR0026029</v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37</v>
      </c>
      <c r="L830" s="14" t="s">
        <v>38</v>
      </c>
      <c r="O830" s="14" t="s">
        <v>579</v>
      </c>
      <c r="P830" s="14" t="s">
        <v>701</v>
      </c>
      <c r="Q830" s="14" t="s">
        <v>701</v>
      </c>
      <c r="R830" s="14" t="s">
        <v>38</v>
      </c>
    </row>
    <row r="831" spans="1:18" s="14" customFormat="1" x14ac:dyDescent="0.25">
      <c r="A831" s="14" t="str">
        <f>"26030"</f>
        <v>26030</v>
      </c>
      <c r="B831" s="14" t="str">
        <f>"01000"</f>
        <v>01000</v>
      </c>
      <c r="C831" s="14" t="str">
        <f>"1300"</f>
        <v>1300</v>
      </c>
      <c r="D831" s="14" t="str">
        <f>"26030"</f>
        <v>26030</v>
      </c>
      <c r="E831" s="14" t="s">
        <v>941</v>
      </c>
      <c r="F831" s="14" t="s">
        <v>44</v>
      </c>
      <c r="G831" s="14" t="str">
        <f>"GR0026029"</f>
        <v>GR0026029</v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37</v>
      </c>
      <c r="L831" s="14" t="s">
        <v>38</v>
      </c>
      <c r="O831" s="14" t="s">
        <v>579</v>
      </c>
      <c r="P831" s="14" t="s">
        <v>701</v>
      </c>
      <c r="Q831" s="14" t="s">
        <v>701</v>
      </c>
      <c r="R831" s="14" t="s">
        <v>38</v>
      </c>
    </row>
    <row r="832" spans="1:18" s="14" customFormat="1" x14ac:dyDescent="0.25">
      <c r="A832" s="14" t="str">
        <f>"26032"</f>
        <v>26032</v>
      </c>
      <c r="B832" s="14" t="str">
        <f>"01000"</f>
        <v>01000</v>
      </c>
      <c r="C832" s="14" t="str">
        <f>"1700"</f>
        <v>1700</v>
      </c>
      <c r="D832" s="14" t="str">
        <f>"26032"</f>
        <v>26032</v>
      </c>
      <c r="E832" s="14" t="s">
        <v>942</v>
      </c>
      <c r="F832" s="14" t="s">
        <v>44</v>
      </c>
      <c r="G832" s="14" t="str">
        <f>"GR0026029"</f>
        <v>GR0026029</v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37</v>
      </c>
      <c r="L832" s="14" t="s">
        <v>38</v>
      </c>
      <c r="O832" s="14" t="s">
        <v>579</v>
      </c>
      <c r="P832" s="14" t="s">
        <v>701</v>
      </c>
      <c r="Q832" s="14" t="s">
        <v>701</v>
      </c>
      <c r="R832" s="14" t="s">
        <v>38</v>
      </c>
    </row>
    <row r="833" spans="1:18" s="14" customFormat="1" x14ac:dyDescent="0.25">
      <c r="A833" s="14" t="str">
        <f>"26034"</f>
        <v>26034</v>
      </c>
      <c r="B833" s="14" t="str">
        <f>"01000"</f>
        <v>01000</v>
      </c>
      <c r="C833" s="14" t="str">
        <f>"1300"</f>
        <v>1300</v>
      </c>
      <c r="D833" s="14" t="str">
        <f>"26034"</f>
        <v>26034</v>
      </c>
      <c r="E833" s="14" t="s">
        <v>943</v>
      </c>
      <c r="F833" s="14" t="s">
        <v>44</v>
      </c>
      <c r="G833" s="14" t="str">
        <f>"GR0026029"</f>
        <v>GR0026029</v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37</v>
      </c>
      <c r="L833" s="14" t="s">
        <v>38</v>
      </c>
      <c r="O833" s="14" t="s">
        <v>579</v>
      </c>
      <c r="P833" s="14" t="s">
        <v>701</v>
      </c>
      <c r="Q833" s="14" t="s">
        <v>701</v>
      </c>
      <c r="R833" s="14" t="s">
        <v>38</v>
      </c>
    </row>
    <row r="834" spans="1:18" s="14" customFormat="1" x14ac:dyDescent="0.25">
      <c r="A834" s="14" t="str">
        <f>"26035"</f>
        <v>26035</v>
      </c>
      <c r="B834" s="14" t="str">
        <f>"01000"</f>
        <v>01000</v>
      </c>
      <c r="C834" s="14" t="str">
        <f>"1300"</f>
        <v>1300</v>
      </c>
      <c r="D834" s="14" t="str">
        <f>"26035"</f>
        <v>26035</v>
      </c>
      <c r="E834" s="14" t="s">
        <v>944</v>
      </c>
      <c r="F834" s="14" t="s">
        <v>44</v>
      </c>
      <c r="G834" s="14" t="str">
        <f>"GR0026029"</f>
        <v>GR0026029</v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37</v>
      </c>
      <c r="L834" s="14" t="s">
        <v>38</v>
      </c>
      <c r="O834" s="14" t="s">
        <v>579</v>
      </c>
      <c r="P834" s="14" t="s">
        <v>701</v>
      </c>
      <c r="Q834" s="14" t="s">
        <v>701</v>
      </c>
      <c r="R834" s="14" t="s">
        <v>38</v>
      </c>
    </row>
    <row r="835" spans="1:18" s="14" customFormat="1" x14ac:dyDescent="0.25">
      <c r="A835" s="14" t="str">
        <f>"26047"</f>
        <v>26047</v>
      </c>
      <c r="B835" s="14" t="str">
        <f>"05160"</f>
        <v>05160</v>
      </c>
      <c r="C835" s="14" t="str">
        <f>"1800"</f>
        <v>1800</v>
      </c>
      <c r="D835" s="14" t="str">
        <f>"26047"</f>
        <v>26047</v>
      </c>
      <c r="E835" s="14" t="s">
        <v>945</v>
      </c>
      <c r="F835" s="14" t="s">
        <v>406</v>
      </c>
      <c r="G835" s="14" t="str">
        <f>"GR0026047"</f>
        <v>GR0026047</v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318</v>
      </c>
      <c r="L835" s="14" t="s">
        <v>319</v>
      </c>
      <c r="M835" s="14" t="s">
        <v>90</v>
      </c>
      <c r="O835" s="14" t="s">
        <v>318</v>
      </c>
      <c r="P835" s="14" t="s">
        <v>701</v>
      </c>
      <c r="Q835" s="14" t="s">
        <v>701</v>
      </c>
      <c r="R835" s="14" t="s">
        <v>318</v>
      </c>
    </row>
    <row r="836" spans="1:18" s="14" customFormat="1" x14ac:dyDescent="0.25">
      <c r="A836" s="14" t="str">
        <f>"30003"</f>
        <v>30003</v>
      </c>
      <c r="B836" s="14" t="str">
        <f>"06000"</f>
        <v>06000</v>
      </c>
      <c r="C836" s="14" t="str">
        <f>"1700"</f>
        <v>1700</v>
      </c>
      <c r="D836" s="14" t="str">
        <f>""</f>
        <v/>
      </c>
      <c r="E836" s="14" t="s">
        <v>946</v>
      </c>
      <c r="F836" s="14" t="s">
        <v>409</v>
      </c>
      <c r="G836" s="14" t="str">
        <f>""</f>
        <v/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414</v>
      </c>
      <c r="L836" s="14" t="s">
        <v>411</v>
      </c>
      <c r="M836" s="14" t="s">
        <v>412</v>
      </c>
      <c r="P836" s="14" t="s">
        <v>39</v>
      </c>
      <c r="Q836" s="14" t="s">
        <v>25</v>
      </c>
      <c r="R836" s="14" t="s">
        <v>410</v>
      </c>
    </row>
    <row r="837" spans="1:18" s="14" customFormat="1" x14ac:dyDescent="0.25">
      <c r="A837" s="14" t="str">
        <f>"30003"</f>
        <v>30003</v>
      </c>
      <c r="B837" s="14" t="str">
        <f>"06030"</f>
        <v>06030</v>
      </c>
      <c r="C837" s="14" t="str">
        <f>"1700"</f>
        <v>1700</v>
      </c>
      <c r="D837" s="14" t="str">
        <f>""</f>
        <v/>
      </c>
      <c r="E837" s="14" t="s">
        <v>946</v>
      </c>
      <c r="F837" s="14" t="s">
        <v>420</v>
      </c>
      <c r="G837" s="14" t="str">
        <f>""</f>
        <v/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414</v>
      </c>
      <c r="L837" s="14" t="s">
        <v>411</v>
      </c>
      <c r="M837" s="14" t="s">
        <v>412</v>
      </c>
      <c r="P837" s="14" t="s">
        <v>39</v>
      </c>
      <c r="Q837" s="14" t="s">
        <v>25</v>
      </c>
      <c r="R837" s="14" t="s">
        <v>410</v>
      </c>
    </row>
    <row r="838" spans="1:18" s="14" customFormat="1" x14ac:dyDescent="0.25">
      <c r="A838" s="14" t="str">
        <f>"30003"</f>
        <v>30003</v>
      </c>
      <c r="B838" s="14" t="str">
        <f>"06040"</f>
        <v>06040</v>
      </c>
      <c r="C838" s="14" t="str">
        <f>"1700"</f>
        <v>1700</v>
      </c>
      <c r="D838" s="14" t="str">
        <f>""</f>
        <v/>
      </c>
      <c r="E838" s="14" t="s">
        <v>946</v>
      </c>
      <c r="F838" s="14" t="s">
        <v>421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414</v>
      </c>
      <c r="L838" s="14" t="s">
        <v>411</v>
      </c>
      <c r="M838" s="14" t="s">
        <v>412</v>
      </c>
      <c r="P838" s="14" t="s">
        <v>39</v>
      </c>
      <c r="Q838" s="14" t="s">
        <v>25</v>
      </c>
      <c r="R838" s="14" t="s">
        <v>410</v>
      </c>
    </row>
    <row r="839" spans="1:18" s="14" customFormat="1" x14ac:dyDescent="0.25">
      <c r="A839" s="14" t="str">
        <f>"30003"</f>
        <v>30003</v>
      </c>
      <c r="B839" s="14" t="str">
        <f>"06050"</f>
        <v>06050</v>
      </c>
      <c r="C839" s="14" t="str">
        <f>"1700"</f>
        <v>1700</v>
      </c>
      <c r="D839" s="14" t="str">
        <f>""</f>
        <v/>
      </c>
      <c r="E839" s="14" t="s">
        <v>946</v>
      </c>
      <c r="F839" s="14" t="s">
        <v>422</v>
      </c>
      <c r="G839" s="14" t="str">
        <f>""</f>
        <v/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414</v>
      </c>
      <c r="L839" s="14" t="s">
        <v>411</v>
      </c>
      <c r="M839" s="14" t="s">
        <v>412</v>
      </c>
      <c r="P839" s="14" t="s">
        <v>39</v>
      </c>
      <c r="Q839" s="14" t="s">
        <v>25</v>
      </c>
      <c r="R839" s="14" t="s">
        <v>410</v>
      </c>
    </row>
    <row r="840" spans="1:18" s="14" customFormat="1" x14ac:dyDescent="0.25">
      <c r="A840" s="14" t="str">
        <f>"30003"</f>
        <v>30003</v>
      </c>
      <c r="B840" s="14" t="str">
        <f>"06060"</f>
        <v>06060</v>
      </c>
      <c r="C840" s="14" t="str">
        <f>"1700"</f>
        <v>1700</v>
      </c>
      <c r="D840" s="14" t="str">
        <f>""</f>
        <v/>
      </c>
      <c r="E840" s="14" t="s">
        <v>946</v>
      </c>
      <c r="F840" s="14" t="s">
        <v>423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414</v>
      </c>
      <c r="L840" s="14" t="s">
        <v>411</v>
      </c>
      <c r="M840" s="14" t="s">
        <v>412</v>
      </c>
      <c r="P840" s="14" t="s">
        <v>39</v>
      </c>
      <c r="Q840" s="14" t="s">
        <v>25</v>
      </c>
      <c r="R840" s="14" t="s">
        <v>410</v>
      </c>
    </row>
    <row r="841" spans="1:18" s="14" customFormat="1" x14ac:dyDescent="0.25">
      <c r="A841" s="14" t="str">
        <f>"30003"</f>
        <v>30003</v>
      </c>
      <c r="B841" s="14" t="str">
        <f>"06070"</f>
        <v>06070</v>
      </c>
      <c r="C841" s="14" t="str">
        <f>"1700"</f>
        <v>1700</v>
      </c>
      <c r="D841" s="14" t="str">
        <f>""</f>
        <v/>
      </c>
      <c r="E841" s="14" t="s">
        <v>946</v>
      </c>
      <c r="F841" s="14" t="s">
        <v>424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414</v>
      </c>
      <c r="L841" s="14" t="s">
        <v>411</v>
      </c>
      <c r="M841" s="14" t="s">
        <v>412</v>
      </c>
      <c r="P841" s="14" t="s">
        <v>39</v>
      </c>
      <c r="Q841" s="14" t="s">
        <v>25</v>
      </c>
      <c r="R841" s="14" t="s">
        <v>410</v>
      </c>
    </row>
    <row r="842" spans="1:18" s="14" customFormat="1" x14ac:dyDescent="0.25">
      <c r="A842" s="14" t="str">
        <f>"30003"</f>
        <v>30003</v>
      </c>
      <c r="B842" s="14" t="str">
        <f>"06080"</f>
        <v>06080</v>
      </c>
      <c r="C842" s="14" t="str">
        <f>"1700"</f>
        <v>1700</v>
      </c>
      <c r="D842" s="14" t="str">
        <f>""</f>
        <v/>
      </c>
      <c r="E842" s="14" t="s">
        <v>946</v>
      </c>
      <c r="F842" s="14" t="s">
        <v>425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414</v>
      </c>
      <c r="L842" s="14" t="s">
        <v>411</v>
      </c>
      <c r="M842" s="14" t="s">
        <v>412</v>
      </c>
      <c r="P842" s="14" t="s">
        <v>39</v>
      </c>
      <c r="Q842" s="14" t="s">
        <v>25</v>
      </c>
      <c r="R842" s="14" t="s">
        <v>410</v>
      </c>
    </row>
    <row r="843" spans="1:18" s="14" customFormat="1" x14ac:dyDescent="0.25">
      <c r="A843" s="14" t="str">
        <f>"30003"</f>
        <v>30003</v>
      </c>
      <c r="B843" s="14" t="str">
        <f>"06090"</f>
        <v>06090</v>
      </c>
      <c r="C843" s="14" t="str">
        <f>"1700"</f>
        <v>1700</v>
      </c>
      <c r="D843" s="14" t="str">
        <f>""</f>
        <v/>
      </c>
      <c r="E843" s="14" t="s">
        <v>946</v>
      </c>
      <c r="F843" s="14" t="s">
        <v>426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414</v>
      </c>
      <c r="L843" s="14" t="s">
        <v>411</v>
      </c>
      <c r="M843" s="14" t="s">
        <v>412</v>
      </c>
      <c r="P843" s="14" t="s">
        <v>39</v>
      </c>
      <c r="Q843" s="14" t="s">
        <v>25</v>
      </c>
      <c r="R843" s="14" t="s">
        <v>410</v>
      </c>
    </row>
    <row r="844" spans="1:18" s="14" customFormat="1" x14ac:dyDescent="0.25">
      <c r="A844" s="14" t="str">
        <f>"30003"</f>
        <v>30003</v>
      </c>
      <c r="B844" s="14" t="str">
        <f>"06100"</f>
        <v>06100</v>
      </c>
      <c r="C844" s="14" t="str">
        <f>"1700"</f>
        <v>1700</v>
      </c>
      <c r="D844" s="14" t="str">
        <f>""</f>
        <v/>
      </c>
      <c r="E844" s="14" t="s">
        <v>946</v>
      </c>
      <c r="F844" s="14" t="s">
        <v>427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414</v>
      </c>
      <c r="L844" s="14" t="s">
        <v>411</v>
      </c>
      <c r="M844" s="14" t="s">
        <v>412</v>
      </c>
      <c r="P844" s="14" t="s">
        <v>39</v>
      </c>
      <c r="Q844" s="14" t="s">
        <v>25</v>
      </c>
      <c r="R844" s="14" t="s">
        <v>410</v>
      </c>
    </row>
    <row r="845" spans="1:18" s="14" customFormat="1" x14ac:dyDescent="0.25">
      <c r="A845" s="14" t="str">
        <f>"30003"</f>
        <v>30003</v>
      </c>
      <c r="B845" s="14" t="str">
        <f>"06110"</f>
        <v>06110</v>
      </c>
      <c r="C845" s="14" t="str">
        <f>"1700"</f>
        <v>1700</v>
      </c>
      <c r="D845" s="14" t="str">
        <f>""</f>
        <v/>
      </c>
      <c r="E845" s="14" t="s">
        <v>946</v>
      </c>
      <c r="F845" s="14" t="s">
        <v>428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414</v>
      </c>
      <c r="L845" s="14" t="s">
        <v>411</v>
      </c>
      <c r="M845" s="14" t="s">
        <v>412</v>
      </c>
      <c r="P845" s="14" t="s">
        <v>39</v>
      </c>
      <c r="Q845" s="14" t="s">
        <v>25</v>
      </c>
      <c r="R845" s="14" t="s">
        <v>410</v>
      </c>
    </row>
    <row r="846" spans="1:18" s="14" customFormat="1" x14ac:dyDescent="0.25">
      <c r="A846" s="14" t="str">
        <f>"30003"</f>
        <v>30003</v>
      </c>
      <c r="B846" s="14" t="str">
        <f>"06120"</f>
        <v>06120</v>
      </c>
      <c r="C846" s="14" t="str">
        <f>"1700"</f>
        <v>1700</v>
      </c>
      <c r="D846" s="14" t="str">
        <f>""</f>
        <v/>
      </c>
      <c r="E846" s="14" t="s">
        <v>946</v>
      </c>
      <c r="F846" s="14" t="s">
        <v>429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414</v>
      </c>
      <c r="L846" s="14" t="s">
        <v>411</v>
      </c>
      <c r="M846" s="14" t="s">
        <v>412</v>
      </c>
      <c r="P846" s="14" t="s">
        <v>39</v>
      </c>
      <c r="Q846" s="14" t="s">
        <v>25</v>
      </c>
      <c r="R846" s="14" t="s">
        <v>410</v>
      </c>
    </row>
    <row r="847" spans="1:18" s="14" customFormat="1" x14ac:dyDescent="0.25">
      <c r="A847" s="14" t="str">
        <f>"30003"</f>
        <v>30003</v>
      </c>
      <c r="B847" s="14" t="str">
        <f>"06130"</f>
        <v>06130</v>
      </c>
      <c r="C847" s="14" t="str">
        <f>"1700"</f>
        <v>1700</v>
      </c>
      <c r="D847" s="14" t="str">
        <f>""</f>
        <v/>
      </c>
      <c r="E847" s="14" t="s">
        <v>946</v>
      </c>
      <c r="F847" s="14" t="s">
        <v>430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414</v>
      </c>
      <c r="L847" s="14" t="s">
        <v>411</v>
      </c>
      <c r="M847" s="14" t="s">
        <v>412</v>
      </c>
      <c r="P847" s="14" t="s">
        <v>39</v>
      </c>
      <c r="Q847" s="14" t="s">
        <v>25</v>
      </c>
      <c r="R847" s="14" t="s">
        <v>410</v>
      </c>
    </row>
    <row r="848" spans="1:18" s="14" customFormat="1" x14ac:dyDescent="0.25">
      <c r="A848" s="14" t="str">
        <f>"30003"</f>
        <v>30003</v>
      </c>
      <c r="B848" s="14" t="str">
        <f>"06140"</f>
        <v>06140</v>
      </c>
      <c r="C848" s="14" t="str">
        <f>"1700"</f>
        <v>1700</v>
      </c>
      <c r="D848" s="14" t="str">
        <f>""</f>
        <v/>
      </c>
      <c r="E848" s="14" t="s">
        <v>946</v>
      </c>
      <c r="F848" s="14" t="s">
        <v>431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414</v>
      </c>
      <c r="L848" s="14" t="s">
        <v>411</v>
      </c>
      <c r="M848" s="14" t="s">
        <v>412</v>
      </c>
      <c r="P848" s="14" t="s">
        <v>39</v>
      </c>
      <c r="Q848" s="14" t="s">
        <v>25</v>
      </c>
      <c r="R848" s="14" t="s">
        <v>410</v>
      </c>
    </row>
    <row r="849" spans="1:18" s="14" customFormat="1" x14ac:dyDescent="0.25">
      <c r="A849" s="14" t="str">
        <f>"30003"</f>
        <v>30003</v>
      </c>
      <c r="B849" s="14" t="str">
        <f>"06150"</f>
        <v>06150</v>
      </c>
      <c r="C849" s="14" t="str">
        <f>"1700"</f>
        <v>1700</v>
      </c>
      <c r="D849" s="14" t="str">
        <f>""</f>
        <v/>
      </c>
      <c r="E849" s="14" t="s">
        <v>946</v>
      </c>
      <c r="F849" s="14" t="s">
        <v>432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414</v>
      </c>
      <c r="L849" s="14" t="s">
        <v>411</v>
      </c>
      <c r="M849" s="14" t="s">
        <v>412</v>
      </c>
      <c r="P849" s="14" t="s">
        <v>39</v>
      </c>
      <c r="Q849" s="14" t="s">
        <v>25</v>
      </c>
      <c r="R849" s="14" t="s">
        <v>410</v>
      </c>
    </row>
    <row r="850" spans="1:18" s="14" customFormat="1" x14ac:dyDescent="0.25">
      <c r="A850" s="14" t="str">
        <f>"30005"</f>
        <v>30005</v>
      </c>
      <c r="B850" s="14" t="str">
        <f>"06000"</f>
        <v>06000</v>
      </c>
      <c r="C850" s="14" t="str">
        <f>"1700"</f>
        <v>1700</v>
      </c>
      <c r="D850" s="14" t="str">
        <f>"06000B"</f>
        <v>06000B</v>
      </c>
      <c r="E850" s="14" t="s">
        <v>947</v>
      </c>
      <c r="F850" s="14" t="s">
        <v>409</v>
      </c>
      <c r="G850" s="14" t="str">
        <f>""</f>
        <v/>
      </c>
      <c r="H850" s="14" t="str">
        <f>" 10"</f>
        <v xml:space="preserve"> 10</v>
      </c>
      <c r="I850" s="14">
        <v>0.01</v>
      </c>
      <c r="J850" s="14">
        <v>500</v>
      </c>
      <c r="K850" s="14" t="s">
        <v>410</v>
      </c>
      <c r="L850" s="14" t="s">
        <v>411</v>
      </c>
      <c r="M850" s="14" t="s">
        <v>412</v>
      </c>
      <c r="N850" s="14" t="s">
        <v>413</v>
      </c>
      <c r="P850" s="14" t="s">
        <v>39</v>
      </c>
      <c r="Q850" s="14" t="s">
        <v>25</v>
      </c>
      <c r="R850" s="14" t="s">
        <v>410</v>
      </c>
    </row>
    <row r="851" spans="1:18" s="14" customFormat="1" x14ac:dyDescent="0.25">
      <c r="A851" s="14" t="str">
        <f>"30005"</f>
        <v>30005</v>
      </c>
      <c r="B851" s="14" t="str">
        <f>"06000"</f>
        <v>06000</v>
      </c>
      <c r="C851" s="14" t="str">
        <f>"1700"</f>
        <v>1700</v>
      </c>
      <c r="D851" s="14" t="str">
        <f>"06000B"</f>
        <v>06000B</v>
      </c>
      <c r="E851" s="14" t="s">
        <v>947</v>
      </c>
      <c r="F851" s="14" t="s">
        <v>409</v>
      </c>
      <c r="G851" s="14" t="str">
        <f>""</f>
        <v/>
      </c>
      <c r="H851" s="14" t="str">
        <f>" 20"</f>
        <v xml:space="preserve"> 20</v>
      </c>
      <c r="I851" s="14">
        <v>500.01</v>
      </c>
      <c r="J851" s="14">
        <v>9999999.9900000002</v>
      </c>
      <c r="K851" s="14" t="s">
        <v>414</v>
      </c>
      <c r="L851" s="14" t="s">
        <v>411</v>
      </c>
      <c r="M851" s="14" t="s">
        <v>412</v>
      </c>
      <c r="P851" s="14" t="s">
        <v>39</v>
      </c>
      <c r="Q851" s="14" t="s">
        <v>25</v>
      </c>
      <c r="R851" s="14" t="s">
        <v>410</v>
      </c>
    </row>
    <row r="852" spans="1:18" s="14" customFormat="1" x14ac:dyDescent="0.25">
      <c r="A852" s="14" t="str">
        <f>"30005"</f>
        <v>30005</v>
      </c>
      <c r="B852" s="14" t="str">
        <f>"06010"</f>
        <v>06010</v>
      </c>
      <c r="C852" s="14" t="str">
        <f>"1700"</f>
        <v>1700</v>
      </c>
      <c r="D852" s="14" t="str">
        <f>"06010A"</f>
        <v>06010A</v>
      </c>
      <c r="E852" s="14" t="s">
        <v>947</v>
      </c>
      <c r="F852" s="14" t="s">
        <v>416</v>
      </c>
      <c r="G852" s="14" t="str">
        <f>""</f>
        <v/>
      </c>
      <c r="H852" s="14" t="str">
        <f>" 10"</f>
        <v xml:space="preserve"> 10</v>
      </c>
      <c r="I852" s="14">
        <v>0.01</v>
      </c>
      <c r="J852" s="14">
        <v>500</v>
      </c>
      <c r="K852" s="14" t="s">
        <v>410</v>
      </c>
      <c r="L852" s="14" t="s">
        <v>411</v>
      </c>
      <c r="M852" s="14" t="s">
        <v>412</v>
      </c>
      <c r="N852" s="14" t="s">
        <v>413</v>
      </c>
      <c r="P852" s="14" t="s">
        <v>39</v>
      </c>
      <c r="Q852" s="14" t="s">
        <v>25</v>
      </c>
      <c r="R852" s="14" t="s">
        <v>410</v>
      </c>
    </row>
    <row r="853" spans="1:18" s="14" customFormat="1" x14ac:dyDescent="0.25">
      <c r="A853" s="14" t="str">
        <f>"30005"</f>
        <v>30005</v>
      </c>
      <c r="B853" s="14" t="str">
        <f>"06010"</f>
        <v>06010</v>
      </c>
      <c r="C853" s="14" t="str">
        <f>"1700"</f>
        <v>1700</v>
      </c>
      <c r="D853" s="14" t="str">
        <f>"06010A"</f>
        <v>06010A</v>
      </c>
      <c r="E853" s="14" t="s">
        <v>947</v>
      </c>
      <c r="F853" s="14" t="s">
        <v>416</v>
      </c>
      <c r="G853" s="14" t="str">
        <f>""</f>
        <v/>
      </c>
      <c r="H853" s="14" t="str">
        <f>" 20"</f>
        <v xml:space="preserve"> 20</v>
      </c>
      <c r="I853" s="14">
        <v>500.01</v>
      </c>
      <c r="J853" s="14">
        <v>9999999.9900000002</v>
      </c>
      <c r="K853" s="14" t="s">
        <v>414</v>
      </c>
      <c r="L853" s="14" t="s">
        <v>411</v>
      </c>
      <c r="M853" s="14" t="s">
        <v>412</v>
      </c>
      <c r="P853" s="14" t="s">
        <v>39</v>
      </c>
      <c r="Q853" s="14" t="s">
        <v>25</v>
      </c>
      <c r="R853" s="14" t="s">
        <v>410</v>
      </c>
    </row>
    <row r="854" spans="1:18" s="14" customFormat="1" x14ac:dyDescent="0.25">
      <c r="A854" s="14" t="str">
        <f>"30005"</f>
        <v>30005</v>
      </c>
      <c r="B854" s="14" t="str">
        <f>"06030"</f>
        <v>06030</v>
      </c>
      <c r="C854" s="14" t="str">
        <f>"1700"</f>
        <v>1700</v>
      </c>
      <c r="D854" s="14" t="str">
        <f>"06030A"</f>
        <v>06030A</v>
      </c>
      <c r="E854" s="14" t="s">
        <v>947</v>
      </c>
      <c r="F854" s="14" t="s">
        <v>420</v>
      </c>
      <c r="G854" s="14" t="str">
        <f>""</f>
        <v/>
      </c>
      <c r="H854" s="14" t="str">
        <f>" 10"</f>
        <v xml:space="preserve"> 10</v>
      </c>
      <c r="I854" s="14">
        <v>0.01</v>
      </c>
      <c r="J854" s="14">
        <v>500</v>
      </c>
      <c r="K854" s="14" t="s">
        <v>410</v>
      </c>
      <c r="L854" s="14" t="s">
        <v>411</v>
      </c>
      <c r="M854" s="14" t="s">
        <v>412</v>
      </c>
      <c r="N854" s="14" t="s">
        <v>413</v>
      </c>
      <c r="P854" s="14" t="s">
        <v>39</v>
      </c>
      <c r="Q854" s="14" t="s">
        <v>25</v>
      </c>
      <c r="R854" s="14" t="s">
        <v>410</v>
      </c>
    </row>
    <row r="855" spans="1:18" s="14" customFormat="1" x14ac:dyDescent="0.25">
      <c r="A855" s="14" t="str">
        <f>"30005"</f>
        <v>30005</v>
      </c>
      <c r="B855" s="14" t="str">
        <f>"06030"</f>
        <v>06030</v>
      </c>
      <c r="C855" s="14" t="str">
        <f>"1700"</f>
        <v>1700</v>
      </c>
      <c r="D855" s="14" t="str">
        <f>"06030A"</f>
        <v>06030A</v>
      </c>
      <c r="E855" s="14" t="s">
        <v>947</v>
      </c>
      <c r="F855" s="14" t="s">
        <v>420</v>
      </c>
      <c r="G855" s="14" t="str">
        <f>""</f>
        <v/>
      </c>
      <c r="H855" s="14" t="str">
        <f>" 20"</f>
        <v xml:space="preserve"> 20</v>
      </c>
      <c r="I855" s="14">
        <v>500.01</v>
      </c>
      <c r="J855" s="14">
        <v>9999999.9900000002</v>
      </c>
      <c r="K855" s="14" t="s">
        <v>414</v>
      </c>
      <c r="L855" s="14" t="s">
        <v>411</v>
      </c>
      <c r="M855" s="14" t="s">
        <v>412</v>
      </c>
      <c r="P855" s="14" t="s">
        <v>39</v>
      </c>
      <c r="Q855" s="14" t="s">
        <v>25</v>
      </c>
      <c r="R855" s="14" t="s">
        <v>410</v>
      </c>
    </row>
    <row r="856" spans="1:18" s="14" customFormat="1" x14ac:dyDescent="0.25">
      <c r="A856" s="14" t="str">
        <f>"30005"</f>
        <v>30005</v>
      </c>
      <c r="B856" s="14" t="str">
        <f>"06040"</f>
        <v>06040</v>
      </c>
      <c r="C856" s="14" t="str">
        <f>"1700"</f>
        <v>1700</v>
      </c>
      <c r="D856" s="14" t="str">
        <f>"06040A"</f>
        <v>06040A</v>
      </c>
      <c r="E856" s="14" t="s">
        <v>947</v>
      </c>
      <c r="F856" s="14" t="s">
        <v>421</v>
      </c>
      <c r="G856" s="14" t="str">
        <f>""</f>
        <v/>
      </c>
      <c r="H856" s="14" t="str">
        <f>" 10"</f>
        <v xml:space="preserve"> 10</v>
      </c>
      <c r="I856" s="14">
        <v>0.01</v>
      </c>
      <c r="J856" s="14">
        <v>500</v>
      </c>
      <c r="K856" s="14" t="s">
        <v>410</v>
      </c>
      <c r="L856" s="14" t="s">
        <v>411</v>
      </c>
      <c r="M856" s="14" t="s">
        <v>412</v>
      </c>
      <c r="N856" s="14" t="s">
        <v>413</v>
      </c>
      <c r="P856" s="14" t="s">
        <v>39</v>
      </c>
      <c r="Q856" s="14" t="s">
        <v>25</v>
      </c>
      <c r="R856" s="14" t="s">
        <v>410</v>
      </c>
    </row>
    <row r="857" spans="1:18" s="14" customFormat="1" x14ac:dyDescent="0.25">
      <c r="A857" s="14" t="str">
        <f>"30005"</f>
        <v>30005</v>
      </c>
      <c r="B857" s="14" t="str">
        <f>"06040"</f>
        <v>06040</v>
      </c>
      <c r="C857" s="14" t="str">
        <f>"1700"</f>
        <v>1700</v>
      </c>
      <c r="D857" s="14" t="str">
        <f>"06040A"</f>
        <v>06040A</v>
      </c>
      <c r="E857" s="14" t="s">
        <v>947</v>
      </c>
      <c r="F857" s="14" t="s">
        <v>421</v>
      </c>
      <c r="G857" s="14" t="str">
        <f>""</f>
        <v/>
      </c>
      <c r="H857" s="14" t="str">
        <f>" 20"</f>
        <v xml:space="preserve"> 20</v>
      </c>
      <c r="I857" s="14">
        <v>500.01</v>
      </c>
      <c r="J857" s="14">
        <v>9999999.9900000002</v>
      </c>
      <c r="K857" s="14" t="s">
        <v>414</v>
      </c>
      <c r="L857" s="14" t="s">
        <v>411</v>
      </c>
      <c r="M857" s="14" t="s">
        <v>412</v>
      </c>
      <c r="P857" s="14" t="s">
        <v>39</v>
      </c>
      <c r="Q857" s="14" t="s">
        <v>25</v>
      </c>
      <c r="R857" s="14" t="s">
        <v>410</v>
      </c>
    </row>
    <row r="858" spans="1:18" s="14" customFormat="1" x14ac:dyDescent="0.25">
      <c r="A858" s="14" t="str">
        <f>"30005"</f>
        <v>30005</v>
      </c>
      <c r="B858" s="14" t="str">
        <f>"06050"</f>
        <v>06050</v>
      </c>
      <c r="C858" s="14" t="str">
        <f>"1700"</f>
        <v>1700</v>
      </c>
      <c r="D858" s="14" t="str">
        <f>"06050A"</f>
        <v>06050A</v>
      </c>
      <c r="E858" s="14" t="s">
        <v>947</v>
      </c>
      <c r="F858" s="14" t="s">
        <v>422</v>
      </c>
      <c r="G858" s="14" t="str">
        <f>""</f>
        <v/>
      </c>
      <c r="H858" s="14" t="str">
        <f>" 10"</f>
        <v xml:space="preserve"> 10</v>
      </c>
      <c r="I858" s="14">
        <v>0.01</v>
      </c>
      <c r="J858" s="14">
        <v>500</v>
      </c>
      <c r="K858" s="14" t="s">
        <v>410</v>
      </c>
      <c r="L858" s="14" t="s">
        <v>411</v>
      </c>
      <c r="M858" s="14" t="s">
        <v>412</v>
      </c>
      <c r="N858" s="14" t="s">
        <v>413</v>
      </c>
      <c r="P858" s="14" t="s">
        <v>39</v>
      </c>
      <c r="Q858" s="14" t="s">
        <v>25</v>
      </c>
      <c r="R858" s="14" t="s">
        <v>410</v>
      </c>
    </row>
    <row r="859" spans="1:18" s="14" customFormat="1" x14ac:dyDescent="0.25">
      <c r="A859" s="14" t="str">
        <f>"30005"</f>
        <v>30005</v>
      </c>
      <c r="B859" s="14" t="str">
        <f>"06050"</f>
        <v>06050</v>
      </c>
      <c r="C859" s="14" t="str">
        <f>"1700"</f>
        <v>1700</v>
      </c>
      <c r="D859" s="14" t="str">
        <f>"06050A"</f>
        <v>06050A</v>
      </c>
      <c r="E859" s="14" t="s">
        <v>947</v>
      </c>
      <c r="F859" s="14" t="s">
        <v>422</v>
      </c>
      <c r="G859" s="14" t="str">
        <f>""</f>
        <v/>
      </c>
      <c r="H859" s="14" t="str">
        <f>" 20"</f>
        <v xml:space="preserve"> 20</v>
      </c>
      <c r="I859" s="14">
        <v>500.01</v>
      </c>
      <c r="J859" s="14">
        <v>9999999.9900000002</v>
      </c>
      <c r="K859" s="14" t="s">
        <v>414</v>
      </c>
      <c r="L859" s="14" t="s">
        <v>411</v>
      </c>
      <c r="M859" s="14" t="s">
        <v>412</v>
      </c>
      <c r="P859" s="14" t="s">
        <v>39</v>
      </c>
      <c r="Q859" s="14" t="s">
        <v>25</v>
      </c>
      <c r="R859" s="14" t="s">
        <v>410</v>
      </c>
    </row>
    <row r="860" spans="1:18" s="14" customFormat="1" x14ac:dyDescent="0.25">
      <c r="A860" s="14" t="str">
        <f>"30005"</f>
        <v>30005</v>
      </c>
      <c r="B860" s="14" t="str">
        <f>"06060"</f>
        <v>06060</v>
      </c>
      <c r="C860" s="14" t="str">
        <f>"1700"</f>
        <v>1700</v>
      </c>
      <c r="D860" s="14" t="str">
        <f>"06060A"</f>
        <v>06060A</v>
      </c>
      <c r="E860" s="14" t="s">
        <v>947</v>
      </c>
      <c r="F860" s="14" t="s">
        <v>423</v>
      </c>
      <c r="G860" s="14" t="str">
        <f>""</f>
        <v/>
      </c>
      <c r="H860" s="14" t="str">
        <f>" 10"</f>
        <v xml:space="preserve"> 10</v>
      </c>
      <c r="I860" s="14">
        <v>0.01</v>
      </c>
      <c r="J860" s="14">
        <v>500</v>
      </c>
      <c r="K860" s="14" t="s">
        <v>410</v>
      </c>
      <c r="L860" s="14" t="s">
        <v>411</v>
      </c>
      <c r="M860" s="14" t="s">
        <v>412</v>
      </c>
      <c r="N860" s="14" t="s">
        <v>413</v>
      </c>
      <c r="P860" s="14" t="s">
        <v>39</v>
      </c>
      <c r="Q860" s="14" t="s">
        <v>25</v>
      </c>
      <c r="R860" s="14" t="s">
        <v>410</v>
      </c>
    </row>
    <row r="861" spans="1:18" s="14" customFormat="1" x14ac:dyDescent="0.25">
      <c r="A861" s="14" t="str">
        <f>"30005"</f>
        <v>30005</v>
      </c>
      <c r="B861" s="14" t="str">
        <f>"06060"</f>
        <v>06060</v>
      </c>
      <c r="C861" s="14" t="str">
        <f>"1700"</f>
        <v>1700</v>
      </c>
      <c r="D861" s="14" t="str">
        <f>"06060A"</f>
        <v>06060A</v>
      </c>
      <c r="E861" s="14" t="s">
        <v>947</v>
      </c>
      <c r="F861" s="14" t="s">
        <v>423</v>
      </c>
      <c r="G861" s="14" t="str">
        <f>""</f>
        <v/>
      </c>
      <c r="H861" s="14" t="str">
        <f>" 20"</f>
        <v xml:space="preserve"> 20</v>
      </c>
      <c r="I861" s="14">
        <v>500.01</v>
      </c>
      <c r="J861" s="14">
        <v>9999999.9900000002</v>
      </c>
      <c r="K861" s="14" t="s">
        <v>414</v>
      </c>
      <c r="L861" s="14" t="s">
        <v>411</v>
      </c>
      <c r="M861" s="14" t="s">
        <v>412</v>
      </c>
      <c r="P861" s="14" t="s">
        <v>39</v>
      </c>
      <c r="Q861" s="14" t="s">
        <v>25</v>
      </c>
      <c r="R861" s="14" t="s">
        <v>410</v>
      </c>
    </row>
    <row r="862" spans="1:18" s="14" customFormat="1" x14ac:dyDescent="0.25">
      <c r="A862" s="14" t="str">
        <f>"30005"</f>
        <v>30005</v>
      </c>
      <c r="B862" s="14" t="str">
        <f>"06070"</f>
        <v>06070</v>
      </c>
      <c r="C862" s="14" t="str">
        <f>"1700"</f>
        <v>1700</v>
      </c>
      <c r="D862" s="14" t="str">
        <f>"06070A"</f>
        <v>06070A</v>
      </c>
      <c r="E862" s="14" t="s">
        <v>947</v>
      </c>
      <c r="F862" s="14" t="s">
        <v>424</v>
      </c>
      <c r="G862" s="14" t="str">
        <f>""</f>
        <v/>
      </c>
      <c r="H862" s="14" t="str">
        <f>" 10"</f>
        <v xml:space="preserve"> 10</v>
      </c>
      <c r="I862" s="14">
        <v>0.01</v>
      </c>
      <c r="J862" s="14">
        <v>500</v>
      </c>
      <c r="K862" s="14" t="s">
        <v>410</v>
      </c>
      <c r="L862" s="14" t="s">
        <v>411</v>
      </c>
      <c r="M862" s="14" t="s">
        <v>412</v>
      </c>
      <c r="N862" s="14" t="s">
        <v>413</v>
      </c>
      <c r="P862" s="14" t="s">
        <v>39</v>
      </c>
      <c r="Q862" s="14" t="s">
        <v>25</v>
      </c>
      <c r="R862" s="14" t="s">
        <v>410</v>
      </c>
    </row>
    <row r="863" spans="1:18" s="14" customFormat="1" x14ac:dyDescent="0.25">
      <c r="A863" s="14" t="str">
        <f>"30005"</f>
        <v>30005</v>
      </c>
      <c r="B863" s="14" t="str">
        <f>"06070"</f>
        <v>06070</v>
      </c>
      <c r="C863" s="14" t="str">
        <f>"1700"</f>
        <v>1700</v>
      </c>
      <c r="D863" s="14" t="str">
        <f>"06070A"</f>
        <v>06070A</v>
      </c>
      <c r="E863" s="14" t="s">
        <v>947</v>
      </c>
      <c r="F863" s="14" t="s">
        <v>424</v>
      </c>
      <c r="G863" s="14" t="str">
        <f>""</f>
        <v/>
      </c>
      <c r="H863" s="14" t="str">
        <f>" 20"</f>
        <v xml:space="preserve"> 20</v>
      </c>
      <c r="I863" s="14">
        <v>500.01</v>
      </c>
      <c r="J863" s="14">
        <v>9999999.9900000002</v>
      </c>
      <c r="K863" s="14" t="s">
        <v>414</v>
      </c>
      <c r="L863" s="14" t="s">
        <v>411</v>
      </c>
      <c r="M863" s="14" t="s">
        <v>412</v>
      </c>
      <c r="P863" s="14" t="s">
        <v>39</v>
      </c>
      <c r="Q863" s="14" t="s">
        <v>25</v>
      </c>
      <c r="R863" s="14" t="s">
        <v>410</v>
      </c>
    </row>
    <row r="864" spans="1:18" s="14" customFormat="1" x14ac:dyDescent="0.25">
      <c r="A864" s="14" t="str">
        <f>"30005"</f>
        <v>30005</v>
      </c>
      <c r="B864" s="14" t="str">
        <f>"06080"</f>
        <v>06080</v>
      </c>
      <c r="C864" s="14" t="str">
        <f>"1700"</f>
        <v>1700</v>
      </c>
      <c r="D864" s="14" t="str">
        <f>"06080A"</f>
        <v>06080A</v>
      </c>
      <c r="E864" s="14" t="s">
        <v>947</v>
      </c>
      <c r="F864" s="14" t="s">
        <v>425</v>
      </c>
      <c r="G864" s="14" t="str">
        <f>""</f>
        <v/>
      </c>
      <c r="H864" s="14" t="str">
        <f>" 10"</f>
        <v xml:space="preserve"> 10</v>
      </c>
      <c r="I864" s="14">
        <v>0.01</v>
      </c>
      <c r="J864" s="14">
        <v>500</v>
      </c>
      <c r="K864" s="14" t="s">
        <v>410</v>
      </c>
      <c r="L864" s="14" t="s">
        <v>411</v>
      </c>
      <c r="M864" s="14" t="s">
        <v>412</v>
      </c>
      <c r="N864" s="14" t="s">
        <v>413</v>
      </c>
      <c r="P864" s="14" t="s">
        <v>39</v>
      </c>
      <c r="Q864" s="14" t="s">
        <v>25</v>
      </c>
      <c r="R864" s="14" t="s">
        <v>410</v>
      </c>
    </row>
    <row r="865" spans="1:18" s="14" customFormat="1" x14ac:dyDescent="0.25">
      <c r="A865" s="14" t="str">
        <f>"30005"</f>
        <v>30005</v>
      </c>
      <c r="B865" s="14" t="str">
        <f>"06080"</f>
        <v>06080</v>
      </c>
      <c r="C865" s="14" t="str">
        <f>"1700"</f>
        <v>1700</v>
      </c>
      <c r="D865" s="14" t="str">
        <f>"06080A"</f>
        <v>06080A</v>
      </c>
      <c r="E865" s="14" t="s">
        <v>947</v>
      </c>
      <c r="F865" s="14" t="s">
        <v>425</v>
      </c>
      <c r="G865" s="14" t="str">
        <f>""</f>
        <v/>
      </c>
      <c r="H865" s="14" t="str">
        <f>" 20"</f>
        <v xml:space="preserve"> 20</v>
      </c>
      <c r="I865" s="14">
        <v>500.01</v>
      </c>
      <c r="J865" s="14">
        <v>9999999.9900000002</v>
      </c>
      <c r="K865" s="14" t="s">
        <v>414</v>
      </c>
      <c r="L865" s="14" t="s">
        <v>411</v>
      </c>
      <c r="M865" s="14" t="s">
        <v>412</v>
      </c>
      <c r="P865" s="14" t="s">
        <v>39</v>
      </c>
      <c r="Q865" s="14" t="s">
        <v>25</v>
      </c>
      <c r="R865" s="14" t="s">
        <v>410</v>
      </c>
    </row>
    <row r="866" spans="1:18" s="14" customFormat="1" x14ac:dyDescent="0.25">
      <c r="A866" s="14" t="str">
        <f>"30005"</f>
        <v>30005</v>
      </c>
      <c r="B866" s="14" t="str">
        <f>"06090"</f>
        <v>06090</v>
      </c>
      <c r="C866" s="14" t="str">
        <f>"1700"</f>
        <v>1700</v>
      </c>
      <c r="D866" s="14" t="str">
        <f>"06090A"</f>
        <v>06090A</v>
      </c>
      <c r="E866" s="14" t="s">
        <v>947</v>
      </c>
      <c r="F866" s="14" t="s">
        <v>426</v>
      </c>
      <c r="G866" s="14" t="str">
        <f>""</f>
        <v/>
      </c>
      <c r="H866" s="14" t="str">
        <f>" 10"</f>
        <v xml:space="preserve"> 10</v>
      </c>
      <c r="I866" s="14">
        <v>0.01</v>
      </c>
      <c r="J866" s="14">
        <v>500</v>
      </c>
      <c r="K866" s="14" t="s">
        <v>410</v>
      </c>
      <c r="L866" s="14" t="s">
        <v>411</v>
      </c>
      <c r="M866" s="14" t="s">
        <v>412</v>
      </c>
      <c r="N866" s="14" t="s">
        <v>413</v>
      </c>
      <c r="P866" s="14" t="s">
        <v>39</v>
      </c>
      <c r="Q866" s="14" t="s">
        <v>25</v>
      </c>
      <c r="R866" s="14" t="s">
        <v>410</v>
      </c>
    </row>
    <row r="867" spans="1:18" s="14" customFormat="1" x14ac:dyDescent="0.25">
      <c r="A867" s="14" t="str">
        <f>"30005"</f>
        <v>30005</v>
      </c>
      <c r="B867" s="14" t="str">
        <f>"06090"</f>
        <v>06090</v>
      </c>
      <c r="C867" s="14" t="str">
        <f>"1700"</f>
        <v>1700</v>
      </c>
      <c r="D867" s="14" t="str">
        <f>"06090A"</f>
        <v>06090A</v>
      </c>
      <c r="E867" s="14" t="s">
        <v>947</v>
      </c>
      <c r="F867" s="14" t="s">
        <v>426</v>
      </c>
      <c r="G867" s="14" t="str">
        <f>""</f>
        <v/>
      </c>
      <c r="H867" s="14" t="str">
        <f>" 20"</f>
        <v xml:space="preserve"> 20</v>
      </c>
      <c r="I867" s="14">
        <v>500.01</v>
      </c>
      <c r="J867" s="14">
        <v>9999999.9900000002</v>
      </c>
      <c r="K867" s="14" t="s">
        <v>414</v>
      </c>
      <c r="L867" s="14" t="s">
        <v>411</v>
      </c>
      <c r="M867" s="14" t="s">
        <v>412</v>
      </c>
      <c r="P867" s="14" t="s">
        <v>39</v>
      </c>
      <c r="Q867" s="14" t="s">
        <v>25</v>
      </c>
      <c r="R867" s="14" t="s">
        <v>410</v>
      </c>
    </row>
    <row r="868" spans="1:18" s="14" customFormat="1" x14ac:dyDescent="0.25">
      <c r="A868" s="14" t="str">
        <f>"30005"</f>
        <v>30005</v>
      </c>
      <c r="B868" s="14" t="str">
        <f>"06100"</f>
        <v>06100</v>
      </c>
      <c r="C868" s="14" t="str">
        <f>"1700"</f>
        <v>1700</v>
      </c>
      <c r="D868" s="14" t="str">
        <f>"06100A"</f>
        <v>06100A</v>
      </c>
      <c r="E868" s="14" t="s">
        <v>947</v>
      </c>
      <c r="F868" s="14" t="s">
        <v>427</v>
      </c>
      <c r="G868" s="14" t="str">
        <f>""</f>
        <v/>
      </c>
      <c r="H868" s="14" t="str">
        <f>" 10"</f>
        <v xml:space="preserve"> 10</v>
      </c>
      <c r="I868" s="14">
        <v>0.01</v>
      </c>
      <c r="J868" s="14">
        <v>500</v>
      </c>
      <c r="K868" s="14" t="s">
        <v>410</v>
      </c>
      <c r="L868" s="14" t="s">
        <v>411</v>
      </c>
      <c r="M868" s="14" t="s">
        <v>412</v>
      </c>
      <c r="N868" s="14" t="s">
        <v>413</v>
      </c>
      <c r="P868" s="14" t="s">
        <v>39</v>
      </c>
      <c r="Q868" s="14" t="s">
        <v>25</v>
      </c>
      <c r="R868" s="14" t="s">
        <v>410</v>
      </c>
    </row>
    <row r="869" spans="1:18" s="14" customFormat="1" x14ac:dyDescent="0.25">
      <c r="A869" s="14" t="str">
        <f>"30005"</f>
        <v>30005</v>
      </c>
      <c r="B869" s="14" t="str">
        <f>"06100"</f>
        <v>06100</v>
      </c>
      <c r="C869" s="14" t="str">
        <f>"1700"</f>
        <v>1700</v>
      </c>
      <c r="D869" s="14" t="str">
        <f>"06100A"</f>
        <v>06100A</v>
      </c>
      <c r="E869" s="14" t="s">
        <v>947</v>
      </c>
      <c r="F869" s="14" t="s">
        <v>427</v>
      </c>
      <c r="G869" s="14" t="str">
        <f>""</f>
        <v/>
      </c>
      <c r="H869" s="14" t="str">
        <f>" 20"</f>
        <v xml:space="preserve"> 20</v>
      </c>
      <c r="I869" s="14">
        <v>500.01</v>
      </c>
      <c r="J869" s="14">
        <v>9999999.9900000002</v>
      </c>
      <c r="K869" s="14" t="s">
        <v>414</v>
      </c>
      <c r="L869" s="14" t="s">
        <v>411</v>
      </c>
      <c r="M869" s="14" t="s">
        <v>412</v>
      </c>
      <c r="P869" s="14" t="s">
        <v>39</v>
      </c>
      <c r="Q869" s="14" t="s">
        <v>25</v>
      </c>
      <c r="R869" s="14" t="s">
        <v>410</v>
      </c>
    </row>
    <row r="870" spans="1:18" s="14" customFormat="1" x14ac:dyDescent="0.25">
      <c r="A870" s="14" t="str">
        <f>"30005"</f>
        <v>30005</v>
      </c>
      <c r="B870" s="14" t="str">
        <f>"06110"</f>
        <v>06110</v>
      </c>
      <c r="C870" s="14" t="str">
        <f>"1700"</f>
        <v>1700</v>
      </c>
      <c r="D870" s="14" t="str">
        <f>"06110A"</f>
        <v>06110A</v>
      </c>
      <c r="E870" s="14" t="s">
        <v>947</v>
      </c>
      <c r="F870" s="14" t="s">
        <v>428</v>
      </c>
      <c r="G870" s="14" t="str">
        <f>""</f>
        <v/>
      </c>
      <c r="H870" s="14" t="str">
        <f>" 10"</f>
        <v xml:space="preserve"> 10</v>
      </c>
      <c r="I870" s="14">
        <v>0.01</v>
      </c>
      <c r="J870" s="14">
        <v>500</v>
      </c>
      <c r="K870" s="14" t="s">
        <v>410</v>
      </c>
      <c r="L870" s="14" t="s">
        <v>411</v>
      </c>
      <c r="M870" s="14" t="s">
        <v>412</v>
      </c>
      <c r="N870" s="14" t="s">
        <v>413</v>
      </c>
      <c r="P870" s="14" t="s">
        <v>39</v>
      </c>
      <c r="Q870" s="14" t="s">
        <v>25</v>
      </c>
      <c r="R870" s="14" t="s">
        <v>410</v>
      </c>
    </row>
    <row r="871" spans="1:18" s="14" customFormat="1" x14ac:dyDescent="0.25">
      <c r="A871" s="14" t="str">
        <f>"30005"</f>
        <v>30005</v>
      </c>
      <c r="B871" s="14" t="str">
        <f>"06110"</f>
        <v>06110</v>
      </c>
      <c r="C871" s="14" t="str">
        <f>"1700"</f>
        <v>1700</v>
      </c>
      <c r="D871" s="14" t="str">
        <f>"06110A"</f>
        <v>06110A</v>
      </c>
      <c r="E871" s="14" t="s">
        <v>947</v>
      </c>
      <c r="F871" s="14" t="s">
        <v>428</v>
      </c>
      <c r="G871" s="14" t="str">
        <f>""</f>
        <v/>
      </c>
      <c r="H871" s="14" t="str">
        <f>" 20"</f>
        <v xml:space="preserve"> 20</v>
      </c>
      <c r="I871" s="14">
        <v>500.01</v>
      </c>
      <c r="J871" s="14">
        <v>9999999.9900000002</v>
      </c>
      <c r="K871" s="14" t="s">
        <v>414</v>
      </c>
      <c r="L871" s="14" t="s">
        <v>411</v>
      </c>
      <c r="M871" s="14" t="s">
        <v>412</v>
      </c>
      <c r="P871" s="14" t="s">
        <v>39</v>
      </c>
      <c r="Q871" s="14" t="s">
        <v>25</v>
      </c>
      <c r="R871" s="14" t="s">
        <v>410</v>
      </c>
    </row>
    <row r="872" spans="1:18" s="14" customFormat="1" x14ac:dyDescent="0.25">
      <c r="A872" s="14" t="str">
        <f>"30005"</f>
        <v>30005</v>
      </c>
      <c r="B872" s="14" t="str">
        <f>"06120"</f>
        <v>06120</v>
      </c>
      <c r="C872" s="14" t="str">
        <f>"1700"</f>
        <v>1700</v>
      </c>
      <c r="D872" s="14" t="str">
        <f>"06120A"</f>
        <v>06120A</v>
      </c>
      <c r="E872" s="14" t="s">
        <v>947</v>
      </c>
      <c r="F872" s="14" t="s">
        <v>429</v>
      </c>
      <c r="G872" s="14" t="str">
        <f>""</f>
        <v/>
      </c>
      <c r="H872" s="14" t="str">
        <f>" 10"</f>
        <v xml:space="preserve"> 10</v>
      </c>
      <c r="I872" s="14">
        <v>0.01</v>
      </c>
      <c r="J872" s="14">
        <v>500</v>
      </c>
      <c r="K872" s="14" t="s">
        <v>410</v>
      </c>
      <c r="L872" s="14" t="s">
        <v>411</v>
      </c>
      <c r="M872" s="14" t="s">
        <v>412</v>
      </c>
      <c r="N872" s="14" t="s">
        <v>413</v>
      </c>
      <c r="P872" s="14" t="s">
        <v>39</v>
      </c>
      <c r="Q872" s="14" t="s">
        <v>25</v>
      </c>
      <c r="R872" s="14" t="s">
        <v>410</v>
      </c>
    </row>
    <row r="873" spans="1:18" s="14" customFormat="1" x14ac:dyDescent="0.25">
      <c r="A873" s="14" t="str">
        <f>"30005"</f>
        <v>30005</v>
      </c>
      <c r="B873" s="14" t="str">
        <f>"06120"</f>
        <v>06120</v>
      </c>
      <c r="C873" s="14" t="str">
        <f>"1700"</f>
        <v>1700</v>
      </c>
      <c r="D873" s="14" t="str">
        <f>"06120A"</f>
        <v>06120A</v>
      </c>
      <c r="E873" s="14" t="s">
        <v>947</v>
      </c>
      <c r="F873" s="14" t="s">
        <v>429</v>
      </c>
      <c r="G873" s="14" t="str">
        <f>""</f>
        <v/>
      </c>
      <c r="H873" s="14" t="str">
        <f>" 20"</f>
        <v xml:space="preserve"> 20</v>
      </c>
      <c r="I873" s="14">
        <v>500.01</v>
      </c>
      <c r="J873" s="14">
        <v>9999999.9900000002</v>
      </c>
      <c r="K873" s="14" t="s">
        <v>414</v>
      </c>
      <c r="L873" s="14" t="s">
        <v>411</v>
      </c>
      <c r="M873" s="14" t="s">
        <v>412</v>
      </c>
      <c r="P873" s="14" t="s">
        <v>39</v>
      </c>
      <c r="Q873" s="14" t="s">
        <v>25</v>
      </c>
      <c r="R873" s="14" t="s">
        <v>410</v>
      </c>
    </row>
    <row r="874" spans="1:18" s="14" customFormat="1" x14ac:dyDescent="0.25">
      <c r="A874" s="14" t="str">
        <f>"30005"</f>
        <v>30005</v>
      </c>
      <c r="B874" s="14" t="str">
        <f>"06130"</f>
        <v>06130</v>
      </c>
      <c r="C874" s="14" t="str">
        <f>"1700"</f>
        <v>1700</v>
      </c>
      <c r="D874" s="14" t="str">
        <f>"06130A"</f>
        <v>06130A</v>
      </c>
      <c r="E874" s="14" t="s">
        <v>947</v>
      </c>
      <c r="F874" s="14" t="s">
        <v>430</v>
      </c>
      <c r="G874" s="14" t="str">
        <f>""</f>
        <v/>
      </c>
      <c r="H874" s="14" t="str">
        <f>" 10"</f>
        <v xml:space="preserve"> 10</v>
      </c>
      <c r="I874" s="14">
        <v>0.01</v>
      </c>
      <c r="J874" s="14">
        <v>500</v>
      </c>
      <c r="K874" s="14" t="s">
        <v>410</v>
      </c>
      <c r="L874" s="14" t="s">
        <v>411</v>
      </c>
      <c r="M874" s="14" t="s">
        <v>412</v>
      </c>
      <c r="N874" s="14" t="s">
        <v>413</v>
      </c>
      <c r="P874" s="14" t="s">
        <v>39</v>
      </c>
      <c r="Q874" s="14" t="s">
        <v>25</v>
      </c>
      <c r="R874" s="14" t="s">
        <v>410</v>
      </c>
    </row>
    <row r="875" spans="1:18" s="14" customFormat="1" x14ac:dyDescent="0.25">
      <c r="A875" s="14" t="str">
        <f>"30005"</f>
        <v>30005</v>
      </c>
      <c r="B875" s="14" t="str">
        <f>"06130"</f>
        <v>06130</v>
      </c>
      <c r="C875" s="14" t="str">
        <f>"1700"</f>
        <v>1700</v>
      </c>
      <c r="D875" s="14" t="str">
        <f>"06130A"</f>
        <v>06130A</v>
      </c>
      <c r="E875" s="14" t="s">
        <v>947</v>
      </c>
      <c r="F875" s="14" t="s">
        <v>430</v>
      </c>
      <c r="G875" s="14" t="str">
        <f>""</f>
        <v/>
      </c>
      <c r="H875" s="14" t="str">
        <f>" 20"</f>
        <v xml:space="preserve"> 20</v>
      </c>
      <c r="I875" s="14">
        <v>500.01</v>
      </c>
      <c r="J875" s="14">
        <v>9999999.9900000002</v>
      </c>
      <c r="K875" s="14" t="s">
        <v>414</v>
      </c>
      <c r="L875" s="14" t="s">
        <v>411</v>
      </c>
      <c r="M875" s="14" t="s">
        <v>412</v>
      </c>
      <c r="P875" s="14" t="s">
        <v>39</v>
      </c>
      <c r="Q875" s="14" t="s">
        <v>25</v>
      </c>
      <c r="R875" s="14" t="s">
        <v>410</v>
      </c>
    </row>
    <row r="876" spans="1:18" s="14" customFormat="1" x14ac:dyDescent="0.25">
      <c r="A876" s="14" t="str">
        <f>"30005"</f>
        <v>30005</v>
      </c>
      <c r="B876" s="14" t="str">
        <f>"06140"</f>
        <v>06140</v>
      </c>
      <c r="C876" s="14" t="str">
        <f>"1700"</f>
        <v>1700</v>
      </c>
      <c r="D876" s="14" t="str">
        <f>"06140A"</f>
        <v>06140A</v>
      </c>
      <c r="E876" s="14" t="s">
        <v>947</v>
      </c>
      <c r="F876" s="14" t="s">
        <v>431</v>
      </c>
      <c r="G876" s="14" t="str">
        <f>""</f>
        <v/>
      </c>
      <c r="H876" s="14" t="str">
        <f>" 10"</f>
        <v xml:space="preserve"> 10</v>
      </c>
      <c r="I876" s="14">
        <v>0.01</v>
      </c>
      <c r="J876" s="14">
        <v>500</v>
      </c>
      <c r="K876" s="14" t="s">
        <v>410</v>
      </c>
      <c r="L876" s="14" t="s">
        <v>411</v>
      </c>
      <c r="M876" s="14" t="s">
        <v>412</v>
      </c>
      <c r="N876" s="14" t="s">
        <v>413</v>
      </c>
      <c r="P876" s="14" t="s">
        <v>39</v>
      </c>
      <c r="Q876" s="14" t="s">
        <v>25</v>
      </c>
      <c r="R876" s="14" t="s">
        <v>410</v>
      </c>
    </row>
    <row r="877" spans="1:18" s="14" customFormat="1" x14ac:dyDescent="0.25">
      <c r="A877" s="14" t="str">
        <f>"30005"</f>
        <v>30005</v>
      </c>
      <c r="B877" s="14" t="str">
        <f>"06140"</f>
        <v>06140</v>
      </c>
      <c r="C877" s="14" t="str">
        <f>"1700"</f>
        <v>1700</v>
      </c>
      <c r="D877" s="14" t="str">
        <f>"06140A"</f>
        <v>06140A</v>
      </c>
      <c r="E877" s="14" t="s">
        <v>947</v>
      </c>
      <c r="F877" s="14" t="s">
        <v>431</v>
      </c>
      <c r="G877" s="14" t="str">
        <f>""</f>
        <v/>
      </c>
      <c r="H877" s="14" t="str">
        <f>" 20"</f>
        <v xml:space="preserve"> 20</v>
      </c>
      <c r="I877" s="14">
        <v>500.01</v>
      </c>
      <c r="J877" s="14">
        <v>9999999.9900000002</v>
      </c>
      <c r="K877" s="14" t="s">
        <v>414</v>
      </c>
      <c r="L877" s="14" t="s">
        <v>411</v>
      </c>
      <c r="M877" s="14" t="s">
        <v>412</v>
      </c>
      <c r="P877" s="14" t="s">
        <v>39</v>
      </c>
      <c r="Q877" s="14" t="s">
        <v>25</v>
      </c>
      <c r="R877" s="14" t="s">
        <v>410</v>
      </c>
    </row>
    <row r="878" spans="1:18" s="14" customFormat="1" x14ac:dyDescent="0.25">
      <c r="A878" s="14" t="str">
        <f>"30005"</f>
        <v>30005</v>
      </c>
      <c r="B878" s="14" t="str">
        <f>"06150"</f>
        <v>06150</v>
      </c>
      <c r="C878" s="14" t="str">
        <f>"1700"</f>
        <v>1700</v>
      </c>
      <c r="D878" s="14" t="str">
        <f>"06150A"</f>
        <v>06150A</v>
      </c>
      <c r="E878" s="14" t="s">
        <v>947</v>
      </c>
      <c r="F878" s="14" t="s">
        <v>432</v>
      </c>
      <c r="G878" s="14" t="str">
        <f>""</f>
        <v/>
      </c>
      <c r="H878" s="14" t="str">
        <f>" 10"</f>
        <v xml:space="preserve"> 10</v>
      </c>
      <c r="I878" s="14">
        <v>0.01</v>
      </c>
      <c r="J878" s="14">
        <v>500</v>
      </c>
      <c r="K878" s="14" t="s">
        <v>410</v>
      </c>
      <c r="L878" s="14" t="s">
        <v>411</v>
      </c>
      <c r="M878" s="14" t="s">
        <v>412</v>
      </c>
      <c r="N878" s="14" t="s">
        <v>413</v>
      </c>
      <c r="P878" s="14" t="s">
        <v>39</v>
      </c>
      <c r="Q878" s="14" t="s">
        <v>25</v>
      </c>
      <c r="R878" s="14" t="s">
        <v>410</v>
      </c>
    </row>
    <row r="879" spans="1:18" s="14" customFormat="1" x14ac:dyDescent="0.25">
      <c r="A879" s="14" t="str">
        <f>"30005"</f>
        <v>30005</v>
      </c>
      <c r="B879" s="14" t="str">
        <f>"06150"</f>
        <v>06150</v>
      </c>
      <c r="C879" s="14" t="str">
        <f>"1700"</f>
        <v>1700</v>
      </c>
      <c r="D879" s="14" t="str">
        <f>"06150A"</f>
        <v>06150A</v>
      </c>
      <c r="E879" s="14" t="s">
        <v>947</v>
      </c>
      <c r="F879" s="14" t="s">
        <v>432</v>
      </c>
      <c r="G879" s="14" t="str">
        <f>""</f>
        <v/>
      </c>
      <c r="H879" s="14" t="str">
        <f>" 20"</f>
        <v xml:space="preserve"> 20</v>
      </c>
      <c r="I879" s="14">
        <v>500.01</v>
      </c>
      <c r="J879" s="14">
        <v>9999999.9900000002</v>
      </c>
      <c r="K879" s="14" t="s">
        <v>414</v>
      </c>
      <c r="L879" s="14" t="s">
        <v>411</v>
      </c>
      <c r="M879" s="14" t="s">
        <v>412</v>
      </c>
      <c r="P879" s="14" t="s">
        <v>39</v>
      </c>
      <c r="Q879" s="14" t="s">
        <v>25</v>
      </c>
      <c r="R879" s="14" t="s">
        <v>410</v>
      </c>
    </row>
    <row r="880" spans="1:18" s="14" customFormat="1" x14ac:dyDescent="0.25">
      <c r="A880" s="14" t="str">
        <f>"30005"</f>
        <v>30005</v>
      </c>
      <c r="B880" s="14" t="str">
        <f>"06151"</f>
        <v>06151</v>
      </c>
      <c r="C880" s="14" t="str">
        <f>"1700"</f>
        <v>1700</v>
      </c>
      <c r="D880" s="14" t="str">
        <f>"06151A"</f>
        <v>06151A</v>
      </c>
      <c r="E880" s="14" t="s">
        <v>947</v>
      </c>
      <c r="F880" s="14" t="s">
        <v>433</v>
      </c>
      <c r="G880" s="14" t="str">
        <f>""</f>
        <v/>
      </c>
      <c r="H880" s="14" t="str">
        <f>" 10"</f>
        <v xml:space="preserve"> 10</v>
      </c>
      <c r="I880" s="14">
        <v>0.01</v>
      </c>
      <c r="J880" s="14">
        <v>500</v>
      </c>
      <c r="K880" s="14" t="s">
        <v>410</v>
      </c>
      <c r="L880" s="14" t="s">
        <v>411</v>
      </c>
      <c r="M880" s="14" t="s">
        <v>412</v>
      </c>
      <c r="N880" s="14" t="s">
        <v>413</v>
      </c>
      <c r="P880" s="14" t="s">
        <v>39</v>
      </c>
      <c r="Q880" s="14" t="s">
        <v>25</v>
      </c>
      <c r="R880" s="14" t="s">
        <v>410</v>
      </c>
    </row>
    <row r="881" spans="1:18" s="14" customFormat="1" x14ac:dyDescent="0.25">
      <c r="A881" s="14" t="str">
        <f>"30005"</f>
        <v>30005</v>
      </c>
      <c r="B881" s="14" t="str">
        <f>"06151"</f>
        <v>06151</v>
      </c>
      <c r="C881" s="14" t="str">
        <f>"1700"</f>
        <v>1700</v>
      </c>
      <c r="D881" s="14" t="str">
        <f>"06151A"</f>
        <v>06151A</v>
      </c>
      <c r="E881" s="14" t="s">
        <v>947</v>
      </c>
      <c r="F881" s="14" t="s">
        <v>433</v>
      </c>
      <c r="G881" s="14" t="str">
        <f>""</f>
        <v/>
      </c>
      <c r="H881" s="14" t="str">
        <f>" 20"</f>
        <v xml:space="preserve"> 20</v>
      </c>
      <c r="I881" s="14">
        <v>500.01</v>
      </c>
      <c r="J881" s="14">
        <v>9999999.9900000002</v>
      </c>
      <c r="K881" s="14" t="s">
        <v>414</v>
      </c>
      <c r="L881" s="14" t="s">
        <v>411</v>
      </c>
      <c r="M881" s="14" t="s">
        <v>412</v>
      </c>
      <c r="P881" s="14" t="s">
        <v>39</v>
      </c>
      <c r="Q881" s="14" t="s">
        <v>25</v>
      </c>
      <c r="R881" s="14" t="s">
        <v>410</v>
      </c>
    </row>
    <row r="882" spans="1:18" s="14" customFormat="1" x14ac:dyDescent="0.25">
      <c r="A882" s="14" t="str">
        <f>"30005"</f>
        <v>30005</v>
      </c>
      <c r="B882" s="14" t="str">
        <f>"06152"</f>
        <v>06152</v>
      </c>
      <c r="C882" s="14" t="str">
        <f>"1700"</f>
        <v>1700</v>
      </c>
      <c r="D882" s="14" t="str">
        <f>"06152A"</f>
        <v>06152A</v>
      </c>
      <c r="E882" s="14" t="s">
        <v>947</v>
      </c>
      <c r="F882" s="14" t="s">
        <v>434</v>
      </c>
      <c r="G882" s="14" t="str">
        <f>""</f>
        <v/>
      </c>
      <c r="H882" s="14" t="str">
        <f>" 10"</f>
        <v xml:space="preserve"> 10</v>
      </c>
      <c r="I882" s="14">
        <v>0.01</v>
      </c>
      <c r="J882" s="14">
        <v>500</v>
      </c>
      <c r="K882" s="14" t="s">
        <v>410</v>
      </c>
      <c r="L882" s="14" t="s">
        <v>411</v>
      </c>
      <c r="M882" s="14" t="s">
        <v>412</v>
      </c>
      <c r="N882" s="14" t="s">
        <v>413</v>
      </c>
      <c r="P882" s="14" t="s">
        <v>39</v>
      </c>
      <c r="Q882" s="14" t="s">
        <v>25</v>
      </c>
      <c r="R882" s="14" t="s">
        <v>410</v>
      </c>
    </row>
    <row r="883" spans="1:18" s="14" customFormat="1" x14ac:dyDescent="0.25">
      <c r="A883" s="14" t="str">
        <f>"30005"</f>
        <v>30005</v>
      </c>
      <c r="B883" s="14" t="str">
        <f>"06152"</f>
        <v>06152</v>
      </c>
      <c r="C883" s="14" t="str">
        <f>"1700"</f>
        <v>1700</v>
      </c>
      <c r="D883" s="14" t="str">
        <f>"06152A"</f>
        <v>06152A</v>
      </c>
      <c r="E883" s="14" t="s">
        <v>947</v>
      </c>
      <c r="F883" s="14" t="s">
        <v>434</v>
      </c>
      <c r="G883" s="14" t="str">
        <f>""</f>
        <v/>
      </c>
      <c r="H883" s="14" t="str">
        <f>" 20"</f>
        <v xml:space="preserve"> 20</v>
      </c>
      <c r="I883" s="14">
        <v>500.01</v>
      </c>
      <c r="J883" s="14">
        <v>9999999.9900000002</v>
      </c>
      <c r="K883" s="14" t="s">
        <v>414</v>
      </c>
      <c r="L883" s="14" t="s">
        <v>411</v>
      </c>
      <c r="M883" s="14" t="s">
        <v>412</v>
      </c>
      <c r="P883" s="14" t="s">
        <v>39</v>
      </c>
      <c r="Q883" s="14" t="s">
        <v>25</v>
      </c>
      <c r="R883" s="14" t="s">
        <v>410</v>
      </c>
    </row>
    <row r="884" spans="1:18" s="14" customFormat="1" x14ac:dyDescent="0.25">
      <c r="A884" s="14" t="str">
        <f>"30006"</f>
        <v>30006</v>
      </c>
      <c r="B884" s="14" t="str">
        <f>"06000"</f>
        <v>06000</v>
      </c>
      <c r="C884" s="14" t="str">
        <f>"1700"</f>
        <v>1700</v>
      </c>
      <c r="D884" s="14" t="str">
        <f>"06000D"</f>
        <v>06000D</v>
      </c>
      <c r="E884" s="14" t="s">
        <v>948</v>
      </c>
      <c r="F884" s="14" t="s">
        <v>409</v>
      </c>
      <c r="G884" s="14" t="str">
        <f>""</f>
        <v/>
      </c>
      <c r="H884" s="14" t="str">
        <f>" 10"</f>
        <v xml:space="preserve"> 10</v>
      </c>
      <c r="I884" s="14">
        <v>0.01</v>
      </c>
      <c r="J884" s="14">
        <v>500</v>
      </c>
      <c r="K884" s="14" t="s">
        <v>410</v>
      </c>
      <c r="L884" s="14" t="s">
        <v>411</v>
      </c>
      <c r="M884" s="14" t="s">
        <v>412</v>
      </c>
      <c r="N884" s="14" t="s">
        <v>413</v>
      </c>
      <c r="P884" s="14" t="s">
        <v>39</v>
      </c>
      <c r="Q884" s="14" t="s">
        <v>25</v>
      </c>
      <c r="R884" s="14" t="s">
        <v>410</v>
      </c>
    </row>
    <row r="885" spans="1:18" s="14" customFormat="1" x14ac:dyDescent="0.25">
      <c r="A885" s="14" t="str">
        <f>"30006"</f>
        <v>30006</v>
      </c>
      <c r="B885" s="14" t="str">
        <f>"06000"</f>
        <v>06000</v>
      </c>
      <c r="C885" s="14" t="str">
        <f>"1700"</f>
        <v>1700</v>
      </c>
      <c r="D885" s="14" t="str">
        <f>"06000D"</f>
        <v>06000D</v>
      </c>
      <c r="E885" s="14" t="s">
        <v>948</v>
      </c>
      <c r="F885" s="14" t="s">
        <v>409</v>
      </c>
      <c r="G885" s="14" t="str">
        <f>""</f>
        <v/>
      </c>
      <c r="H885" s="14" t="str">
        <f>" 20"</f>
        <v xml:space="preserve"> 20</v>
      </c>
      <c r="I885" s="14">
        <v>500.01</v>
      </c>
      <c r="J885" s="14">
        <v>9999999.9900000002</v>
      </c>
      <c r="K885" s="14" t="s">
        <v>414</v>
      </c>
      <c r="L885" s="14" t="s">
        <v>411</v>
      </c>
      <c r="M885" s="14" t="s">
        <v>412</v>
      </c>
      <c r="P885" s="14" t="s">
        <v>39</v>
      </c>
      <c r="Q885" s="14" t="s">
        <v>25</v>
      </c>
      <c r="R885" s="14" t="s">
        <v>410</v>
      </c>
    </row>
    <row r="886" spans="1:18" s="14" customFormat="1" x14ac:dyDescent="0.25">
      <c r="A886" s="14" t="str">
        <f>"30006"</f>
        <v>30006</v>
      </c>
      <c r="B886" s="14" t="str">
        <f>"06030"</f>
        <v>06030</v>
      </c>
      <c r="C886" s="14" t="str">
        <f>"1700"</f>
        <v>1700</v>
      </c>
      <c r="D886" s="14" t="str">
        <f>"06030D"</f>
        <v>06030D</v>
      </c>
      <c r="E886" s="14" t="s">
        <v>948</v>
      </c>
      <c r="F886" s="14" t="s">
        <v>420</v>
      </c>
      <c r="G886" s="14" t="str">
        <f>""</f>
        <v/>
      </c>
      <c r="H886" s="14" t="str">
        <f>" 10"</f>
        <v xml:space="preserve"> 10</v>
      </c>
      <c r="I886" s="14">
        <v>0.01</v>
      </c>
      <c r="J886" s="14">
        <v>500</v>
      </c>
      <c r="K886" s="14" t="s">
        <v>410</v>
      </c>
      <c r="L886" s="14" t="s">
        <v>411</v>
      </c>
      <c r="M886" s="14" t="s">
        <v>412</v>
      </c>
      <c r="N886" s="14" t="s">
        <v>413</v>
      </c>
      <c r="P886" s="14" t="s">
        <v>39</v>
      </c>
      <c r="Q886" s="14" t="s">
        <v>25</v>
      </c>
      <c r="R886" s="14" t="s">
        <v>410</v>
      </c>
    </row>
    <row r="887" spans="1:18" s="14" customFormat="1" x14ac:dyDescent="0.25">
      <c r="A887" s="14" t="str">
        <f>"30006"</f>
        <v>30006</v>
      </c>
      <c r="B887" s="14" t="str">
        <f>"06030"</f>
        <v>06030</v>
      </c>
      <c r="C887" s="14" t="str">
        <f>"1700"</f>
        <v>1700</v>
      </c>
      <c r="D887" s="14" t="str">
        <f>"06030D"</f>
        <v>06030D</v>
      </c>
      <c r="E887" s="14" t="s">
        <v>948</v>
      </c>
      <c r="F887" s="14" t="s">
        <v>420</v>
      </c>
      <c r="G887" s="14" t="str">
        <f>""</f>
        <v/>
      </c>
      <c r="H887" s="14" t="str">
        <f>" 20"</f>
        <v xml:space="preserve"> 20</v>
      </c>
      <c r="I887" s="14">
        <v>500.01</v>
      </c>
      <c r="J887" s="14">
        <v>9999999.9900000002</v>
      </c>
      <c r="K887" s="14" t="s">
        <v>414</v>
      </c>
      <c r="L887" s="14" t="s">
        <v>411</v>
      </c>
      <c r="M887" s="14" t="s">
        <v>412</v>
      </c>
      <c r="P887" s="14" t="s">
        <v>39</v>
      </c>
      <c r="Q887" s="14" t="s">
        <v>25</v>
      </c>
      <c r="R887" s="14" t="s">
        <v>410</v>
      </c>
    </row>
    <row r="888" spans="1:18" s="14" customFormat="1" x14ac:dyDescent="0.25">
      <c r="A888" s="14" t="str">
        <f>"30006"</f>
        <v>30006</v>
      </c>
      <c r="B888" s="14" t="str">
        <f>"06040"</f>
        <v>06040</v>
      </c>
      <c r="C888" s="14" t="str">
        <f>"1700"</f>
        <v>1700</v>
      </c>
      <c r="D888" s="14" t="str">
        <f>"06040D"</f>
        <v>06040D</v>
      </c>
      <c r="E888" s="14" t="s">
        <v>948</v>
      </c>
      <c r="F888" s="14" t="s">
        <v>421</v>
      </c>
      <c r="G888" s="14" t="str">
        <f>""</f>
        <v/>
      </c>
      <c r="H888" s="14" t="str">
        <f>" 10"</f>
        <v xml:space="preserve"> 10</v>
      </c>
      <c r="I888" s="14">
        <v>0.01</v>
      </c>
      <c r="J888" s="14">
        <v>500</v>
      </c>
      <c r="K888" s="14" t="s">
        <v>410</v>
      </c>
      <c r="L888" s="14" t="s">
        <v>411</v>
      </c>
      <c r="M888" s="14" t="s">
        <v>412</v>
      </c>
      <c r="N888" s="14" t="s">
        <v>413</v>
      </c>
      <c r="P888" s="14" t="s">
        <v>39</v>
      </c>
      <c r="Q888" s="14" t="s">
        <v>25</v>
      </c>
      <c r="R888" s="14" t="s">
        <v>410</v>
      </c>
    </row>
    <row r="889" spans="1:18" s="14" customFormat="1" x14ac:dyDescent="0.25">
      <c r="A889" s="14" t="str">
        <f>"30006"</f>
        <v>30006</v>
      </c>
      <c r="B889" s="14" t="str">
        <f>"06040"</f>
        <v>06040</v>
      </c>
      <c r="C889" s="14" t="str">
        <f>"1700"</f>
        <v>1700</v>
      </c>
      <c r="D889" s="14" t="str">
        <f>"06040D"</f>
        <v>06040D</v>
      </c>
      <c r="E889" s="14" t="s">
        <v>948</v>
      </c>
      <c r="F889" s="14" t="s">
        <v>421</v>
      </c>
      <c r="G889" s="14" t="str">
        <f>""</f>
        <v/>
      </c>
      <c r="H889" s="14" t="str">
        <f>" 20"</f>
        <v xml:space="preserve"> 20</v>
      </c>
      <c r="I889" s="14">
        <v>500.01</v>
      </c>
      <c r="J889" s="14">
        <v>9999999.9900000002</v>
      </c>
      <c r="K889" s="14" t="s">
        <v>414</v>
      </c>
      <c r="L889" s="14" t="s">
        <v>411</v>
      </c>
      <c r="M889" s="14" t="s">
        <v>412</v>
      </c>
      <c r="P889" s="14" t="s">
        <v>39</v>
      </c>
      <c r="Q889" s="14" t="s">
        <v>25</v>
      </c>
      <c r="R889" s="14" t="s">
        <v>410</v>
      </c>
    </row>
    <row r="890" spans="1:18" s="14" customFormat="1" x14ac:dyDescent="0.25">
      <c r="A890" s="14" t="str">
        <f>"30006"</f>
        <v>30006</v>
      </c>
      <c r="B890" s="14" t="str">
        <f>"06050"</f>
        <v>06050</v>
      </c>
      <c r="C890" s="14" t="str">
        <f>"1700"</f>
        <v>1700</v>
      </c>
      <c r="D890" s="14" t="str">
        <f>"06050D"</f>
        <v>06050D</v>
      </c>
      <c r="E890" s="14" t="s">
        <v>948</v>
      </c>
      <c r="F890" s="14" t="s">
        <v>422</v>
      </c>
      <c r="G890" s="14" t="str">
        <f>""</f>
        <v/>
      </c>
      <c r="H890" s="14" t="str">
        <f>" 10"</f>
        <v xml:space="preserve"> 10</v>
      </c>
      <c r="I890" s="14">
        <v>0.01</v>
      </c>
      <c r="J890" s="14">
        <v>500</v>
      </c>
      <c r="K890" s="14" t="s">
        <v>410</v>
      </c>
      <c r="L890" s="14" t="s">
        <v>411</v>
      </c>
      <c r="M890" s="14" t="s">
        <v>412</v>
      </c>
      <c r="N890" s="14" t="s">
        <v>413</v>
      </c>
      <c r="P890" s="14" t="s">
        <v>39</v>
      </c>
      <c r="Q890" s="14" t="s">
        <v>25</v>
      </c>
      <c r="R890" s="14" t="s">
        <v>410</v>
      </c>
    </row>
    <row r="891" spans="1:18" s="14" customFormat="1" x14ac:dyDescent="0.25">
      <c r="A891" s="14" t="str">
        <f>"30006"</f>
        <v>30006</v>
      </c>
      <c r="B891" s="14" t="str">
        <f>"06050"</f>
        <v>06050</v>
      </c>
      <c r="C891" s="14" t="str">
        <f>"1700"</f>
        <v>1700</v>
      </c>
      <c r="D891" s="14" t="str">
        <f>"06050D"</f>
        <v>06050D</v>
      </c>
      <c r="E891" s="14" t="s">
        <v>948</v>
      </c>
      <c r="F891" s="14" t="s">
        <v>422</v>
      </c>
      <c r="G891" s="14" t="str">
        <f>""</f>
        <v/>
      </c>
      <c r="H891" s="14" t="str">
        <f>" 20"</f>
        <v xml:space="preserve"> 20</v>
      </c>
      <c r="I891" s="14">
        <v>500.01</v>
      </c>
      <c r="J891" s="14">
        <v>9999999.9900000002</v>
      </c>
      <c r="K891" s="14" t="s">
        <v>414</v>
      </c>
      <c r="L891" s="14" t="s">
        <v>411</v>
      </c>
      <c r="M891" s="14" t="s">
        <v>412</v>
      </c>
      <c r="P891" s="14" t="s">
        <v>39</v>
      </c>
      <c r="Q891" s="14" t="s">
        <v>25</v>
      </c>
      <c r="R891" s="14" t="s">
        <v>410</v>
      </c>
    </row>
    <row r="892" spans="1:18" s="14" customFormat="1" x14ac:dyDescent="0.25">
      <c r="A892" s="14" t="str">
        <f>"30006"</f>
        <v>30006</v>
      </c>
      <c r="B892" s="14" t="str">
        <f>"06060"</f>
        <v>06060</v>
      </c>
      <c r="C892" s="14" t="str">
        <f>"1700"</f>
        <v>1700</v>
      </c>
      <c r="D892" s="14" t="str">
        <f>"06060D"</f>
        <v>06060D</v>
      </c>
      <c r="E892" s="14" t="s">
        <v>948</v>
      </c>
      <c r="F892" s="14" t="s">
        <v>423</v>
      </c>
      <c r="G892" s="14" t="str">
        <f>""</f>
        <v/>
      </c>
      <c r="H892" s="14" t="str">
        <f>" 10"</f>
        <v xml:space="preserve"> 10</v>
      </c>
      <c r="I892" s="14">
        <v>0.01</v>
      </c>
      <c r="J892" s="14">
        <v>500</v>
      </c>
      <c r="K892" s="14" t="s">
        <v>410</v>
      </c>
      <c r="L892" s="14" t="s">
        <v>411</v>
      </c>
      <c r="M892" s="14" t="s">
        <v>412</v>
      </c>
      <c r="N892" s="14" t="s">
        <v>413</v>
      </c>
      <c r="P892" s="14" t="s">
        <v>39</v>
      </c>
      <c r="Q892" s="14" t="s">
        <v>25</v>
      </c>
      <c r="R892" s="14" t="s">
        <v>410</v>
      </c>
    </row>
    <row r="893" spans="1:18" s="14" customFormat="1" x14ac:dyDescent="0.25">
      <c r="A893" s="14" t="str">
        <f>"30006"</f>
        <v>30006</v>
      </c>
      <c r="B893" s="14" t="str">
        <f>"06060"</f>
        <v>06060</v>
      </c>
      <c r="C893" s="14" t="str">
        <f>"1700"</f>
        <v>1700</v>
      </c>
      <c r="D893" s="14" t="str">
        <f>"06060D"</f>
        <v>06060D</v>
      </c>
      <c r="E893" s="14" t="s">
        <v>948</v>
      </c>
      <c r="F893" s="14" t="s">
        <v>423</v>
      </c>
      <c r="G893" s="14" t="str">
        <f>""</f>
        <v/>
      </c>
      <c r="H893" s="14" t="str">
        <f>" 20"</f>
        <v xml:space="preserve"> 20</v>
      </c>
      <c r="I893" s="14">
        <v>500.01</v>
      </c>
      <c r="J893" s="14">
        <v>9999999.9900000002</v>
      </c>
      <c r="K893" s="14" t="s">
        <v>414</v>
      </c>
      <c r="L893" s="14" t="s">
        <v>411</v>
      </c>
      <c r="M893" s="14" t="s">
        <v>412</v>
      </c>
      <c r="P893" s="14" t="s">
        <v>39</v>
      </c>
      <c r="Q893" s="14" t="s">
        <v>25</v>
      </c>
      <c r="R893" s="14" t="s">
        <v>410</v>
      </c>
    </row>
    <row r="894" spans="1:18" s="14" customFormat="1" x14ac:dyDescent="0.25">
      <c r="A894" s="14" t="str">
        <f>"30006"</f>
        <v>30006</v>
      </c>
      <c r="B894" s="14" t="str">
        <f>"06070"</f>
        <v>06070</v>
      </c>
      <c r="C894" s="14" t="str">
        <f>"1700"</f>
        <v>1700</v>
      </c>
      <c r="D894" s="14" t="str">
        <f>"06070D"</f>
        <v>06070D</v>
      </c>
      <c r="E894" s="14" t="s">
        <v>948</v>
      </c>
      <c r="F894" s="14" t="s">
        <v>424</v>
      </c>
      <c r="G894" s="14" t="str">
        <f>""</f>
        <v/>
      </c>
      <c r="H894" s="14" t="str">
        <f>" 10"</f>
        <v xml:space="preserve"> 10</v>
      </c>
      <c r="I894" s="14">
        <v>0.01</v>
      </c>
      <c r="J894" s="14">
        <v>500</v>
      </c>
      <c r="K894" s="14" t="s">
        <v>410</v>
      </c>
      <c r="L894" s="14" t="s">
        <v>411</v>
      </c>
      <c r="M894" s="14" t="s">
        <v>412</v>
      </c>
      <c r="N894" s="14" t="s">
        <v>413</v>
      </c>
      <c r="P894" s="14" t="s">
        <v>39</v>
      </c>
      <c r="Q894" s="14" t="s">
        <v>25</v>
      </c>
      <c r="R894" s="14" t="s">
        <v>410</v>
      </c>
    </row>
    <row r="895" spans="1:18" s="14" customFormat="1" x14ac:dyDescent="0.25">
      <c r="A895" s="14" t="str">
        <f>"30006"</f>
        <v>30006</v>
      </c>
      <c r="B895" s="14" t="str">
        <f>"06070"</f>
        <v>06070</v>
      </c>
      <c r="C895" s="14" t="str">
        <f>"1700"</f>
        <v>1700</v>
      </c>
      <c r="D895" s="14" t="str">
        <f>"06070D"</f>
        <v>06070D</v>
      </c>
      <c r="E895" s="14" t="s">
        <v>948</v>
      </c>
      <c r="F895" s="14" t="s">
        <v>424</v>
      </c>
      <c r="G895" s="14" t="str">
        <f>""</f>
        <v/>
      </c>
      <c r="H895" s="14" t="str">
        <f>" 20"</f>
        <v xml:space="preserve"> 20</v>
      </c>
      <c r="I895" s="14">
        <v>500.01</v>
      </c>
      <c r="J895" s="14">
        <v>9999999.9900000002</v>
      </c>
      <c r="K895" s="14" t="s">
        <v>414</v>
      </c>
      <c r="L895" s="14" t="s">
        <v>411</v>
      </c>
      <c r="M895" s="14" t="s">
        <v>412</v>
      </c>
      <c r="P895" s="14" t="s">
        <v>39</v>
      </c>
      <c r="Q895" s="14" t="s">
        <v>25</v>
      </c>
      <c r="R895" s="14" t="s">
        <v>410</v>
      </c>
    </row>
    <row r="896" spans="1:18" s="14" customFormat="1" x14ac:dyDescent="0.25">
      <c r="A896" s="14" t="str">
        <f>"30006"</f>
        <v>30006</v>
      </c>
      <c r="B896" s="14" t="str">
        <f>"06080"</f>
        <v>06080</v>
      </c>
      <c r="C896" s="14" t="str">
        <f>"1700"</f>
        <v>1700</v>
      </c>
      <c r="D896" s="14" t="str">
        <f>"06080D"</f>
        <v>06080D</v>
      </c>
      <c r="E896" s="14" t="s">
        <v>948</v>
      </c>
      <c r="F896" s="14" t="s">
        <v>425</v>
      </c>
      <c r="G896" s="14" t="str">
        <f>""</f>
        <v/>
      </c>
      <c r="H896" s="14" t="str">
        <f>" 10"</f>
        <v xml:space="preserve"> 10</v>
      </c>
      <c r="I896" s="14">
        <v>0.01</v>
      </c>
      <c r="J896" s="14">
        <v>500</v>
      </c>
      <c r="K896" s="14" t="s">
        <v>410</v>
      </c>
      <c r="L896" s="14" t="s">
        <v>411</v>
      </c>
      <c r="M896" s="14" t="s">
        <v>412</v>
      </c>
      <c r="N896" s="14" t="s">
        <v>413</v>
      </c>
      <c r="P896" s="14" t="s">
        <v>39</v>
      </c>
      <c r="Q896" s="14" t="s">
        <v>25</v>
      </c>
      <c r="R896" s="14" t="s">
        <v>410</v>
      </c>
    </row>
    <row r="897" spans="1:18" s="14" customFormat="1" x14ac:dyDescent="0.25">
      <c r="A897" s="14" t="str">
        <f>"30006"</f>
        <v>30006</v>
      </c>
      <c r="B897" s="14" t="str">
        <f>"06080"</f>
        <v>06080</v>
      </c>
      <c r="C897" s="14" t="str">
        <f>"1700"</f>
        <v>1700</v>
      </c>
      <c r="D897" s="14" t="str">
        <f>"06080D"</f>
        <v>06080D</v>
      </c>
      <c r="E897" s="14" t="s">
        <v>948</v>
      </c>
      <c r="F897" s="14" t="s">
        <v>425</v>
      </c>
      <c r="G897" s="14" t="str">
        <f>""</f>
        <v/>
      </c>
      <c r="H897" s="14" t="str">
        <f>" 20"</f>
        <v xml:space="preserve"> 20</v>
      </c>
      <c r="I897" s="14">
        <v>500.01</v>
      </c>
      <c r="J897" s="14">
        <v>9999999.9900000002</v>
      </c>
      <c r="K897" s="14" t="s">
        <v>414</v>
      </c>
      <c r="L897" s="14" t="s">
        <v>411</v>
      </c>
      <c r="M897" s="14" t="s">
        <v>412</v>
      </c>
      <c r="P897" s="14" t="s">
        <v>39</v>
      </c>
      <c r="Q897" s="14" t="s">
        <v>25</v>
      </c>
      <c r="R897" s="14" t="s">
        <v>410</v>
      </c>
    </row>
    <row r="898" spans="1:18" s="14" customFormat="1" x14ac:dyDescent="0.25">
      <c r="A898" s="14" t="str">
        <f>"30006"</f>
        <v>30006</v>
      </c>
      <c r="B898" s="14" t="str">
        <f>"06090"</f>
        <v>06090</v>
      </c>
      <c r="C898" s="14" t="str">
        <f>"1700"</f>
        <v>1700</v>
      </c>
      <c r="D898" s="14" t="str">
        <f>"06090D"</f>
        <v>06090D</v>
      </c>
      <c r="E898" s="14" t="s">
        <v>948</v>
      </c>
      <c r="F898" s="14" t="s">
        <v>426</v>
      </c>
      <c r="G898" s="14" t="str">
        <f>""</f>
        <v/>
      </c>
      <c r="H898" s="14" t="str">
        <f>" 10"</f>
        <v xml:space="preserve"> 10</v>
      </c>
      <c r="I898" s="14">
        <v>0.01</v>
      </c>
      <c r="J898" s="14">
        <v>500</v>
      </c>
      <c r="K898" s="14" t="s">
        <v>410</v>
      </c>
      <c r="L898" s="14" t="s">
        <v>411</v>
      </c>
      <c r="M898" s="14" t="s">
        <v>412</v>
      </c>
      <c r="N898" s="14" t="s">
        <v>413</v>
      </c>
      <c r="P898" s="14" t="s">
        <v>39</v>
      </c>
      <c r="Q898" s="14" t="s">
        <v>25</v>
      </c>
      <c r="R898" s="14" t="s">
        <v>410</v>
      </c>
    </row>
    <row r="899" spans="1:18" s="14" customFormat="1" x14ac:dyDescent="0.25">
      <c r="A899" s="14" t="str">
        <f>"30006"</f>
        <v>30006</v>
      </c>
      <c r="B899" s="14" t="str">
        <f>"06090"</f>
        <v>06090</v>
      </c>
      <c r="C899" s="14" t="str">
        <f>"1700"</f>
        <v>1700</v>
      </c>
      <c r="D899" s="14" t="str">
        <f>"06090D"</f>
        <v>06090D</v>
      </c>
      <c r="E899" s="14" t="s">
        <v>948</v>
      </c>
      <c r="F899" s="14" t="s">
        <v>426</v>
      </c>
      <c r="G899" s="14" t="str">
        <f>""</f>
        <v/>
      </c>
      <c r="H899" s="14" t="str">
        <f>" 20"</f>
        <v xml:space="preserve"> 20</v>
      </c>
      <c r="I899" s="14">
        <v>500.01</v>
      </c>
      <c r="J899" s="14">
        <v>9999999.9900000002</v>
      </c>
      <c r="K899" s="14" t="s">
        <v>414</v>
      </c>
      <c r="L899" s="14" t="s">
        <v>411</v>
      </c>
      <c r="M899" s="14" t="s">
        <v>412</v>
      </c>
      <c r="P899" s="14" t="s">
        <v>39</v>
      </c>
      <c r="Q899" s="14" t="s">
        <v>25</v>
      </c>
      <c r="R899" s="14" t="s">
        <v>410</v>
      </c>
    </row>
    <row r="900" spans="1:18" s="14" customFormat="1" x14ac:dyDescent="0.25">
      <c r="A900" s="14" t="str">
        <f>"30006"</f>
        <v>30006</v>
      </c>
      <c r="B900" s="14" t="str">
        <f>"06100"</f>
        <v>06100</v>
      </c>
      <c r="C900" s="14" t="str">
        <f>"1700"</f>
        <v>1700</v>
      </c>
      <c r="D900" s="14" t="str">
        <f>"06100D"</f>
        <v>06100D</v>
      </c>
      <c r="E900" s="14" t="s">
        <v>948</v>
      </c>
      <c r="F900" s="14" t="s">
        <v>427</v>
      </c>
      <c r="G900" s="14" t="str">
        <f>""</f>
        <v/>
      </c>
      <c r="H900" s="14" t="str">
        <f>" 10"</f>
        <v xml:space="preserve"> 10</v>
      </c>
      <c r="I900" s="14">
        <v>0.01</v>
      </c>
      <c r="J900" s="14">
        <v>500</v>
      </c>
      <c r="K900" s="14" t="s">
        <v>410</v>
      </c>
      <c r="L900" s="14" t="s">
        <v>411</v>
      </c>
      <c r="M900" s="14" t="s">
        <v>412</v>
      </c>
      <c r="N900" s="14" t="s">
        <v>413</v>
      </c>
      <c r="P900" s="14" t="s">
        <v>39</v>
      </c>
      <c r="Q900" s="14" t="s">
        <v>25</v>
      </c>
      <c r="R900" s="14" t="s">
        <v>410</v>
      </c>
    </row>
    <row r="901" spans="1:18" s="14" customFormat="1" x14ac:dyDescent="0.25">
      <c r="A901" s="14" t="str">
        <f>"30006"</f>
        <v>30006</v>
      </c>
      <c r="B901" s="14" t="str">
        <f>"06100"</f>
        <v>06100</v>
      </c>
      <c r="C901" s="14" t="str">
        <f>"1700"</f>
        <v>1700</v>
      </c>
      <c r="D901" s="14" t="str">
        <f>"06100D"</f>
        <v>06100D</v>
      </c>
      <c r="E901" s="14" t="s">
        <v>948</v>
      </c>
      <c r="F901" s="14" t="s">
        <v>427</v>
      </c>
      <c r="G901" s="14" t="str">
        <f>""</f>
        <v/>
      </c>
      <c r="H901" s="14" t="str">
        <f>" 20"</f>
        <v xml:space="preserve"> 20</v>
      </c>
      <c r="I901" s="14">
        <v>500.01</v>
      </c>
      <c r="J901" s="14">
        <v>9999999.9900000002</v>
      </c>
      <c r="K901" s="14" t="s">
        <v>414</v>
      </c>
      <c r="L901" s="14" t="s">
        <v>411</v>
      </c>
      <c r="M901" s="14" t="s">
        <v>412</v>
      </c>
      <c r="P901" s="14" t="s">
        <v>39</v>
      </c>
      <c r="Q901" s="14" t="s">
        <v>25</v>
      </c>
      <c r="R901" s="14" t="s">
        <v>410</v>
      </c>
    </row>
    <row r="902" spans="1:18" s="14" customFormat="1" x14ac:dyDescent="0.25">
      <c r="A902" s="14" t="str">
        <f>"30006"</f>
        <v>30006</v>
      </c>
      <c r="B902" s="14" t="str">
        <f>"06110"</f>
        <v>06110</v>
      </c>
      <c r="C902" s="14" t="str">
        <f>"1700"</f>
        <v>1700</v>
      </c>
      <c r="D902" s="14" t="str">
        <f>"06110D"</f>
        <v>06110D</v>
      </c>
      <c r="E902" s="14" t="s">
        <v>948</v>
      </c>
      <c r="F902" s="14" t="s">
        <v>428</v>
      </c>
      <c r="G902" s="14" t="str">
        <f>""</f>
        <v/>
      </c>
      <c r="H902" s="14" t="str">
        <f>" 10"</f>
        <v xml:space="preserve"> 10</v>
      </c>
      <c r="I902" s="14">
        <v>0.01</v>
      </c>
      <c r="J902" s="14">
        <v>500</v>
      </c>
      <c r="K902" s="14" t="s">
        <v>410</v>
      </c>
      <c r="L902" s="14" t="s">
        <v>411</v>
      </c>
      <c r="M902" s="14" t="s">
        <v>412</v>
      </c>
      <c r="N902" s="14" t="s">
        <v>413</v>
      </c>
      <c r="P902" s="14" t="s">
        <v>39</v>
      </c>
      <c r="Q902" s="14" t="s">
        <v>25</v>
      </c>
      <c r="R902" s="14" t="s">
        <v>410</v>
      </c>
    </row>
    <row r="903" spans="1:18" s="14" customFormat="1" x14ac:dyDescent="0.25">
      <c r="A903" s="14" t="str">
        <f>"30006"</f>
        <v>30006</v>
      </c>
      <c r="B903" s="14" t="str">
        <f>"06110"</f>
        <v>06110</v>
      </c>
      <c r="C903" s="14" t="str">
        <f>"1700"</f>
        <v>1700</v>
      </c>
      <c r="D903" s="14" t="str">
        <f>"06110D"</f>
        <v>06110D</v>
      </c>
      <c r="E903" s="14" t="s">
        <v>948</v>
      </c>
      <c r="F903" s="14" t="s">
        <v>428</v>
      </c>
      <c r="G903" s="14" t="str">
        <f>""</f>
        <v/>
      </c>
      <c r="H903" s="14" t="str">
        <f>" 20"</f>
        <v xml:space="preserve"> 20</v>
      </c>
      <c r="I903" s="14">
        <v>500.01</v>
      </c>
      <c r="J903" s="14">
        <v>9999999.9900000002</v>
      </c>
      <c r="K903" s="14" t="s">
        <v>414</v>
      </c>
      <c r="L903" s="14" t="s">
        <v>411</v>
      </c>
      <c r="M903" s="14" t="s">
        <v>412</v>
      </c>
      <c r="P903" s="14" t="s">
        <v>39</v>
      </c>
      <c r="Q903" s="14" t="s">
        <v>25</v>
      </c>
      <c r="R903" s="14" t="s">
        <v>410</v>
      </c>
    </row>
    <row r="904" spans="1:18" s="14" customFormat="1" x14ac:dyDescent="0.25">
      <c r="A904" s="14" t="str">
        <f>"30006"</f>
        <v>30006</v>
      </c>
      <c r="B904" s="14" t="str">
        <f>"06120"</f>
        <v>06120</v>
      </c>
      <c r="C904" s="14" t="str">
        <f>"1700"</f>
        <v>1700</v>
      </c>
      <c r="D904" s="14" t="str">
        <f>"06120D"</f>
        <v>06120D</v>
      </c>
      <c r="E904" s="14" t="s">
        <v>948</v>
      </c>
      <c r="F904" s="14" t="s">
        <v>429</v>
      </c>
      <c r="G904" s="14" t="str">
        <f>""</f>
        <v/>
      </c>
      <c r="H904" s="14" t="str">
        <f>" 10"</f>
        <v xml:space="preserve"> 10</v>
      </c>
      <c r="I904" s="14">
        <v>0.01</v>
      </c>
      <c r="J904" s="14">
        <v>500</v>
      </c>
      <c r="K904" s="14" t="s">
        <v>410</v>
      </c>
      <c r="L904" s="14" t="s">
        <v>411</v>
      </c>
      <c r="M904" s="14" t="s">
        <v>412</v>
      </c>
      <c r="N904" s="14" t="s">
        <v>413</v>
      </c>
      <c r="P904" s="14" t="s">
        <v>39</v>
      </c>
      <c r="Q904" s="14" t="s">
        <v>25</v>
      </c>
      <c r="R904" s="14" t="s">
        <v>410</v>
      </c>
    </row>
    <row r="905" spans="1:18" s="14" customFormat="1" x14ac:dyDescent="0.25">
      <c r="A905" s="14" t="str">
        <f>"30006"</f>
        <v>30006</v>
      </c>
      <c r="B905" s="14" t="str">
        <f>"06120"</f>
        <v>06120</v>
      </c>
      <c r="C905" s="14" t="str">
        <f>"1700"</f>
        <v>1700</v>
      </c>
      <c r="D905" s="14" t="str">
        <f>"06120D"</f>
        <v>06120D</v>
      </c>
      <c r="E905" s="14" t="s">
        <v>948</v>
      </c>
      <c r="F905" s="14" t="s">
        <v>429</v>
      </c>
      <c r="G905" s="14" t="str">
        <f>""</f>
        <v/>
      </c>
      <c r="H905" s="14" t="str">
        <f>" 20"</f>
        <v xml:space="preserve"> 20</v>
      </c>
      <c r="I905" s="14">
        <v>500.01</v>
      </c>
      <c r="J905" s="14">
        <v>9999999.9900000002</v>
      </c>
      <c r="K905" s="14" t="s">
        <v>414</v>
      </c>
      <c r="L905" s="14" t="s">
        <v>411</v>
      </c>
      <c r="M905" s="14" t="s">
        <v>412</v>
      </c>
      <c r="P905" s="14" t="s">
        <v>39</v>
      </c>
      <c r="Q905" s="14" t="s">
        <v>25</v>
      </c>
      <c r="R905" s="14" t="s">
        <v>410</v>
      </c>
    </row>
    <row r="906" spans="1:18" s="14" customFormat="1" x14ac:dyDescent="0.25">
      <c r="A906" s="14" t="str">
        <f>"30006"</f>
        <v>30006</v>
      </c>
      <c r="B906" s="14" t="str">
        <f>"06130"</f>
        <v>06130</v>
      </c>
      <c r="C906" s="14" t="str">
        <f>"1700"</f>
        <v>1700</v>
      </c>
      <c r="D906" s="14" t="str">
        <f>"06130D"</f>
        <v>06130D</v>
      </c>
      <c r="E906" s="14" t="s">
        <v>948</v>
      </c>
      <c r="F906" s="14" t="s">
        <v>430</v>
      </c>
      <c r="G906" s="14" t="str">
        <f>""</f>
        <v/>
      </c>
      <c r="H906" s="14" t="str">
        <f>" 10"</f>
        <v xml:space="preserve"> 10</v>
      </c>
      <c r="I906" s="14">
        <v>0.01</v>
      </c>
      <c r="J906" s="14">
        <v>500</v>
      </c>
      <c r="K906" s="14" t="s">
        <v>410</v>
      </c>
      <c r="L906" s="14" t="s">
        <v>411</v>
      </c>
      <c r="M906" s="14" t="s">
        <v>412</v>
      </c>
      <c r="N906" s="14" t="s">
        <v>413</v>
      </c>
      <c r="P906" s="14" t="s">
        <v>39</v>
      </c>
      <c r="Q906" s="14" t="s">
        <v>25</v>
      </c>
      <c r="R906" s="14" t="s">
        <v>410</v>
      </c>
    </row>
    <row r="907" spans="1:18" s="14" customFormat="1" x14ac:dyDescent="0.25">
      <c r="A907" s="14" t="str">
        <f>"30006"</f>
        <v>30006</v>
      </c>
      <c r="B907" s="14" t="str">
        <f>"06130"</f>
        <v>06130</v>
      </c>
      <c r="C907" s="14" t="str">
        <f>"1700"</f>
        <v>1700</v>
      </c>
      <c r="D907" s="14" t="str">
        <f>"06130D"</f>
        <v>06130D</v>
      </c>
      <c r="E907" s="14" t="s">
        <v>948</v>
      </c>
      <c r="F907" s="14" t="s">
        <v>430</v>
      </c>
      <c r="G907" s="14" t="str">
        <f>""</f>
        <v/>
      </c>
      <c r="H907" s="14" t="str">
        <f>" 20"</f>
        <v xml:space="preserve"> 20</v>
      </c>
      <c r="I907" s="14">
        <v>500.01</v>
      </c>
      <c r="J907" s="14">
        <v>9999999.9900000002</v>
      </c>
      <c r="K907" s="14" t="s">
        <v>414</v>
      </c>
      <c r="L907" s="14" t="s">
        <v>411</v>
      </c>
      <c r="M907" s="14" t="s">
        <v>412</v>
      </c>
      <c r="P907" s="14" t="s">
        <v>39</v>
      </c>
      <c r="Q907" s="14" t="s">
        <v>25</v>
      </c>
      <c r="R907" s="14" t="s">
        <v>410</v>
      </c>
    </row>
    <row r="908" spans="1:18" s="14" customFormat="1" x14ac:dyDescent="0.25">
      <c r="A908" s="14" t="str">
        <f>"30006"</f>
        <v>30006</v>
      </c>
      <c r="B908" s="14" t="str">
        <f>"06140"</f>
        <v>06140</v>
      </c>
      <c r="C908" s="14" t="str">
        <f>"1700"</f>
        <v>1700</v>
      </c>
      <c r="D908" s="14" t="str">
        <f>"06140D"</f>
        <v>06140D</v>
      </c>
      <c r="E908" s="14" t="s">
        <v>948</v>
      </c>
      <c r="F908" s="14" t="s">
        <v>431</v>
      </c>
      <c r="G908" s="14" t="str">
        <f>""</f>
        <v/>
      </c>
      <c r="H908" s="14" t="str">
        <f>" 10"</f>
        <v xml:space="preserve"> 10</v>
      </c>
      <c r="I908" s="14">
        <v>0.01</v>
      </c>
      <c r="J908" s="14">
        <v>500</v>
      </c>
      <c r="K908" s="14" t="s">
        <v>410</v>
      </c>
      <c r="L908" s="14" t="s">
        <v>411</v>
      </c>
      <c r="M908" s="14" t="s">
        <v>412</v>
      </c>
      <c r="N908" s="14" t="s">
        <v>413</v>
      </c>
      <c r="P908" s="14" t="s">
        <v>39</v>
      </c>
      <c r="Q908" s="14" t="s">
        <v>25</v>
      </c>
      <c r="R908" s="14" t="s">
        <v>410</v>
      </c>
    </row>
    <row r="909" spans="1:18" s="14" customFormat="1" x14ac:dyDescent="0.25">
      <c r="A909" s="14" t="str">
        <f>"30006"</f>
        <v>30006</v>
      </c>
      <c r="B909" s="14" t="str">
        <f>"06140"</f>
        <v>06140</v>
      </c>
      <c r="C909" s="14" t="str">
        <f>"1700"</f>
        <v>1700</v>
      </c>
      <c r="D909" s="14" t="str">
        <f>"06140D"</f>
        <v>06140D</v>
      </c>
      <c r="E909" s="14" t="s">
        <v>948</v>
      </c>
      <c r="F909" s="14" t="s">
        <v>431</v>
      </c>
      <c r="G909" s="14" t="str">
        <f>""</f>
        <v/>
      </c>
      <c r="H909" s="14" t="str">
        <f>" 20"</f>
        <v xml:space="preserve"> 20</v>
      </c>
      <c r="I909" s="14">
        <v>500.01</v>
      </c>
      <c r="J909" s="14">
        <v>9999999.9900000002</v>
      </c>
      <c r="K909" s="14" t="s">
        <v>414</v>
      </c>
      <c r="L909" s="14" t="s">
        <v>411</v>
      </c>
      <c r="M909" s="14" t="s">
        <v>412</v>
      </c>
      <c r="P909" s="14" t="s">
        <v>39</v>
      </c>
      <c r="Q909" s="14" t="s">
        <v>25</v>
      </c>
      <c r="R909" s="14" t="s">
        <v>410</v>
      </c>
    </row>
    <row r="910" spans="1:18" s="14" customFormat="1" x14ac:dyDescent="0.25">
      <c r="A910" s="14" t="str">
        <f>"30006"</f>
        <v>30006</v>
      </c>
      <c r="B910" s="14" t="str">
        <f>"06150"</f>
        <v>06150</v>
      </c>
      <c r="C910" s="14" t="str">
        <f>"1700"</f>
        <v>1700</v>
      </c>
      <c r="D910" s="14" t="str">
        <f>"06150D"</f>
        <v>06150D</v>
      </c>
      <c r="E910" s="14" t="s">
        <v>948</v>
      </c>
      <c r="F910" s="14" t="s">
        <v>432</v>
      </c>
      <c r="G910" s="14" t="str">
        <f>""</f>
        <v/>
      </c>
      <c r="H910" s="14" t="str">
        <f>" 10"</f>
        <v xml:space="preserve"> 10</v>
      </c>
      <c r="I910" s="14">
        <v>0.01</v>
      </c>
      <c r="J910" s="14">
        <v>500</v>
      </c>
      <c r="K910" s="14" t="s">
        <v>410</v>
      </c>
      <c r="L910" s="14" t="s">
        <v>411</v>
      </c>
      <c r="M910" s="14" t="s">
        <v>412</v>
      </c>
      <c r="N910" s="14" t="s">
        <v>413</v>
      </c>
      <c r="P910" s="14" t="s">
        <v>39</v>
      </c>
      <c r="Q910" s="14" t="s">
        <v>25</v>
      </c>
      <c r="R910" s="14" t="s">
        <v>410</v>
      </c>
    </row>
    <row r="911" spans="1:18" s="14" customFormat="1" x14ac:dyDescent="0.25">
      <c r="A911" s="14" t="str">
        <f>"30006"</f>
        <v>30006</v>
      </c>
      <c r="B911" s="14" t="str">
        <f>"06150"</f>
        <v>06150</v>
      </c>
      <c r="C911" s="14" t="str">
        <f>"1700"</f>
        <v>1700</v>
      </c>
      <c r="D911" s="14" t="str">
        <f>"06150D"</f>
        <v>06150D</v>
      </c>
      <c r="E911" s="14" t="s">
        <v>948</v>
      </c>
      <c r="F911" s="14" t="s">
        <v>432</v>
      </c>
      <c r="G911" s="14" t="str">
        <f>""</f>
        <v/>
      </c>
      <c r="H911" s="14" t="str">
        <f>" 20"</f>
        <v xml:space="preserve"> 20</v>
      </c>
      <c r="I911" s="14">
        <v>500.01</v>
      </c>
      <c r="J911" s="14">
        <v>9999999.9900000002</v>
      </c>
      <c r="K911" s="14" t="s">
        <v>414</v>
      </c>
      <c r="L911" s="14" t="s">
        <v>411</v>
      </c>
      <c r="M911" s="14" t="s">
        <v>412</v>
      </c>
      <c r="P911" s="14" t="s">
        <v>39</v>
      </c>
      <c r="Q911" s="14" t="s">
        <v>25</v>
      </c>
      <c r="R911" s="14" t="s">
        <v>410</v>
      </c>
    </row>
    <row r="912" spans="1:18" s="14" customFormat="1" x14ac:dyDescent="0.25">
      <c r="A912" s="14" t="str">
        <f>"30006"</f>
        <v>30006</v>
      </c>
      <c r="B912" s="14" t="str">
        <f>"06151"</f>
        <v>06151</v>
      </c>
      <c r="C912" s="14" t="str">
        <f>"1700"</f>
        <v>1700</v>
      </c>
      <c r="D912" s="14" t="str">
        <f>"06151D"</f>
        <v>06151D</v>
      </c>
      <c r="E912" s="14" t="s">
        <v>948</v>
      </c>
      <c r="F912" s="14" t="s">
        <v>433</v>
      </c>
      <c r="G912" s="14" t="str">
        <f>""</f>
        <v/>
      </c>
      <c r="H912" s="14" t="str">
        <f>" 10"</f>
        <v xml:space="preserve"> 10</v>
      </c>
      <c r="I912" s="14">
        <v>0.01</v>
      </c>
      <c r="J912" s="14">
        <v>500</v>
      </c>
      <c r="K912" s="14" t="s">
        <v>410</v>
      </c>
      <c r="L912" s="14" t="s">
        <v>411</v>
      </c>
      <c r="M912" s="14" t="s">
        <v>412</v>
      </c>
      <c r="N912" s="14" t="s">
        <v>413</v>
      </c>
      <c r="P912" s="14" t="s">
        <v>39</v>
      </c>
      <c r="Q912" s="14" t="s">
        <v>25</v>
      </c>
      <c r="R912" s="14" t="s">
        <v>410</v>
      </c>
    </row>
    <row r="913" spans="1:18" s="14" customFormat="1" x14ac:dyDescent="0.25">
      <c r="A913" s="14" t="str">
        <f>"30006"</f>
        <v>30006</v>
      </c>
      <c r="B913" s="14" t="str">
        <f>"06151"</f>
        <v>06151</v>
      </c>
      <c r="C913" s="14" t="str">
        <f>"1700"</f>
        <v>1700</v>
      </c>
      <c r="D913" s="14" t="str">
        <f>"06151D"</f>
        <v>06151D</v>
      </c>
      <c r="E913" s="14" t="s">
        <v>948</v>
      </c>
      <c r="F913" s="14" t="s">
        <v>433</v>
      </c>
      <c r="G913" s="14" t="str">
        <f>""</f>
        <v/>
      </c>
      <c r="H913" s="14" t="str">
        <f>" 20"</f>
        <v xml:space="preserve"> 20</v>
      </c>
      <c r="I913" s="14">
        <v>500.01</v>
      </c>
      <c r="J913" s="14">
        <v>9999999.9900000002</v>
      </c>
      <c r="K913" s="14" t="s">
        <v>414</v>
      </c>
      <c r="L913" s="14" t="s">
        <v>411</v>
      </c>
      <c r="M913" s="14" t="s">
        <v>412</v>
      </c>
      <c r="P913" s="14" t="s">
        <v>39</v>
      </c>
      <c r="Q913" s="14" t="s">
        <v>25</v>
      </c>
      <c r="R913" s="14" t="s">
        <v>410</v>
      </c>
    </row>
    <row r="914" spans="1:18" s="14" customFormat="1" x14ac:dyDescent="0.25">
      <c r="A914" s="14" t="str">
        <f>"30006"</f>
        <v>30006</v>
      </c>
      <c r="B914" s="14" t="str">
        <f>"06152"</f>
        <v>06152</v>
      </c>
      <c r="C914" s="14" t="str">
        <f>"1700"</f>
        <v>1700</v>
      </c>
      <c r="D914" s="14" t="str">
        <f>"06152D"</f>
        <v>06152D</v>
      </c>
      <c r="E914" s="14" t="s">
        <v>948</v>
      </c>
      <c r="F914" s="14" t="s">
        <v>434</v>
      </c>
      <c r="G914" s="14" t="str">
        <f>""</f>
        <v/>
      </c>
      <c r="H914" s="14" t="str">
        <f>" 10"</f>
        <v xml:space="preserve"> 10</v>
      </c>
      <c r="I914" s="14">
        <v>0.01</v>
      </c>
      <c r="J914" s="14">
        <v>500</v>
      </c>
      <c r="K914" s="14" t="s">
        <v>410</v>
      </c>
      <c r="L914" s="14" t="s">
        <v>411</v>
      </c>
      <c r="M914" s="14" t="s">
        <v>412</v>
      </c>
      <c r="N914" s="14" t="s">
        <v>413</v>
      </c>
      <c r="P914" s="14" t="s">
        <v>39</v>
      </c>
      <c r="Q914" s="14" t="s">
        <v>25</v>
      </c>
      <c r="R914" s="14" t="s">
        <v>410</v>
      </c>
    </row>
    <row r="915" spans="1:18" s="14" customFormat="1" x14ac:dyDescent="0.25">
      <c r="A915" s="14" t="str">
        <f>"30006"</f>
        <v>30006</v>
      </c>
      <c r="B915" s="14" t="str">
        <f>"06152"</f>
        <v>06152</v>
      </c>
      <c r="C915" s="14" t="str">
        <f>"1700"</f>
        <v>1700</v>
      </c>
      <c r="D915" s="14" t="str">
        <f>"06152D"</f>
        <v>06152D</v>
      </c>
      <c r="E915" s="14" t="s">
        <v>948</v>
      </c>
      <c r="F915" s="14" t="s">
        <v>434</v>
      </c>
      <c r="G915" s="14" t="str">
        <f>""</f>
        <v/>
      </c>
      <c r="H915" s="14" t="str">
        <f>" 20"</f>
        <v xml:space="preserve"> 20</v>
      </c>
      <c r="I915" s="14">
        <v>500.01</v>
      </c>
      <c r="J915" s="14">
        <v>9999999.9900000002</v>
      </c>
      <c r="K915" s="14" t="s">
        <v>414</v>
      </c>
      <c r="L915" s="14" t="s">
        <v>411</v>
      </c>
      <c r="M915" s="14" t="s">
        <v>412</v>
      </c>
      <c r="P915" s="14" t="s">
        <v>39</v>
      </c>
      <c r="Q915" s="14" t="s">
        <v>25</v>
      </c>
      <c r="R915" s="14" t="s">
        <v>410</v>
      </c>
    </row>
    <row r="916" spans="1:18" s="14" customFormat="1" x14ac:dyDescent="0.25">
      <c r="A916" s="14" t="str">
        <f>"30010"</f>
        <v>30010</v>
      </c>
      <c r="B916" s="14" t="str">
        <f>"06000"</f>
        <v>06000</v>
      </c>
      <c r="C916" s="14" t="str">
        <f>"1700"</f>
        <v>1700</v>
      </c>
      <c r="D916" s="14" t="str">
        <f>""</f>
        <v/>
      </c>
      <c r="E916" s="14" t="s">
        <v>949</v>
      </c>
      <c r="F916" s="14" t="s">
        <v>409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414</v>
      </c>
      <c r="L916" s="14" t="s">
        <v>411</v>
      </c>
      <c r="M916" s="14" t="s">
        <v>412</v>
      </c>
      <c r="P916" s="14" t="s">
        <v>39</v>
      </c>
      <c r="Q916" s="14" t="s">
        <v>25</v>
      </c>
      <c r="R916" s="14" t="s">
        <v>410</v>
      </c>
    </row>
    <row r="917" spans="1:18" s="14" customFormat="1" x14ac:dyDescent="0.25">
      <c r="A917" s="14" t="str">
        <f>"30015"</f>
        <v>30015</v>
      </c>
      <c r="B917" s="14" t="str">
        <f>"06000"</f>
        <v>06000</v>
      </c>
      <c r="C917" s="14" t="str">
        <f>"1800"</f>
        <v>1800</v>
      </c>
      <c r="D917" s="14" t="str">
        <f>"06000C"</f>
        <v>06000C</v>
      </c>
      <c r="E917" s="14" t="s">
        <v>950</v>
      </c>
      <c r="F917" s="14" t="s">
        <v>409</v>
      </c>
      <c r="G917" s="14" t="str">
        <f>""</f>
        <v/>
      </c>
      <c r="H917" s="14" t="str">
        <f>" 10"</f>
        <v xml:space="preserve"> 10</v>
      </c>
      <c r="I917" s="14">
        <v>0.01</v>
      </c>
      <c r="J917" s="14">
        <v>500</v>
      </c>
      <c r="K917" s="14" t="s">
        <v>410</v>
      </c>
      <c r="L917" s="14" t="s">
        <v>411</v>
      </c>
      <c r="M917" s="14" t="s">
        <v>412</v>
      </c>
      <c r="N917" s="14" t="s">
        <v>413</v>
      </c>
      <c r="P917" s="14" t="s">
        <v>39</v>
      </c>
      <c r="Q917" s="14" t="s">
        <v>25</v>
      </c>
      <c r="R917" s="14" t="s">
        <v>410</v>
      </c>
    </row>
    <row r="918" spans="1:18" s="14" customFormat="1" x14ac:dyDescent="0.25">
      <c r="A918" s="14" t="str">
        <f>"30015"</f>
        <v>30015</v>
      </c>
      <c r="B918" s="14" t="str">
        <f>"06000"</f>
        <v>06000</v>
      </c>
      <c r="C918" s="14" t="str">
        <f>"1800"</f>
        <v>1800</v>
      </c>
      <c r="D918" s="14" t="str">
        <f>"06000C"</f>
        <v>06000C</v>
      </c>
      <c r="E918" s="14" t="s">
        <v>950</v>
      </c>
      <c r="F918" s="14" t="s">
        <v>409</v>
      </c>
      <c r="G918" s="14" t="str">
        <f>""</f>
        <v/>
      </c>
      <c r="H918" s="14" t="str">
        <f>" 20"</f>
        <v xml:space="preserve"> 20</v>
      </c>
      <c r="I918" s="14">
        <v>500.01</v>
      </c>
      <c r="J918" s="14">
        <v>9999999.9900000002</v>
      </c>
      <c r="K918" s="14" t="s">
        <v>414</v>
      </c>
      <c r="L918" s="14" t="s">
        <v>411</v>
      </c>
      <c r="M918" s="14" t="s">
        <v>412</v>
      </c>
      <c r="P918" s="14" t="s">
        <v>39</v>
      </c>
      <c r="Q918" s="14" t="s">
        <v>25</v>
      </c>
      <c r="R918" s="14" t="s">
        <v>410</v>
      </c>
    </row>
    <row r="919" spans="1:18" s="14" customFormat="1" x14ac:dyDescent="0.25">
      <c r="A919" s="14" t="str">
        <f>"30015"</f>
        <v>30015</v>
      </c>
      <c r="B919" s="14" t="str">
        <f>"06010"</f>
        <v>06010</v>
      </c>
      <c r="C919" s="14" t="str">
        <f>"1800"</f>
        <v>1800</v>
      </c>
      <c r="D919" s="14" t="str">
        <f>"06010B"</f>
        <v>06010B</v>
      </c>
      <c r="E919" s="14" t="s">
        <v>950</v>
      </c>
      <c r="F919" s="14" t="s">
        <v>416</v>
      </c>
      <c r="G919" s="14" t="str">
        <f>""</f>
        <v/>
      </c>
      <c r="H919" s="14" t="str">
        <f>" 10"</f>
        <v xml:space="preserve"> 10</v>
      </c>
      <c r="I919" s="14">
        <v>0.01</v>
      </c>
      <c r="J919" s="14">
        <v>500</v>
      </c>
      <c r="K919" s="14" t="s">
        <v>410</v>
      </c>
      <c r="L919" s="14" t="s">
        <v>411</v>
      </c>
      <c r="M919" s="14" t="s">
        <v>412</v>
      </c>
      <c r="N919" s="14" t="s">
        <v>413</v>
      </c>
      <c r="P919" s="14" t="s">
        <v>39</v>
      </c>
      <c r="Q919" s="14" t="s">
        <v>25</v>
      </c>
      <c r="R919" s="14" t="s">
        <v>410</v>
      </c>
    </row>
    <row r="920" spans="1:18" s="14" customFormat="1" x14ac:dyDescent="0.25">
      <c r="A920" s="14" t="str">
        <f>"30015"</f>
        <v>30015</v>
      </c>
      <c r="B920" s="14" t="str">
        <f>"06010"</f>
        <v>06010</v>
      </c>
      <c r="C920" s="14" t="str">
        <f>"1800"</f>
        <v>1800</v>
      </c>
      <c r="D920" s="14" t="str">
        <f>"06010B"</f>
        <v>06010B</v>
      </c>
      <c r="E920" s="14" t="s">
        <v>950</v>
      </c>
      <c r="F920" s="14" t="s">
        <v>416</v>
      </c>
      <c r="G920" s="14" t="str">
        <f>""</f>
        <v/>
      </c>
      <c r="H920" s="14" t="str">
        <f>" 20"</f>
        <v xml:space="preserve"> 20</v>
      </c>
      <c r="I920" s="14">
        <v>500.01</v>
      </c>
      <c r="J920" s="14">
        <v>9999999.9900000002</v>
      </c>
      <c r="K920" s="14" t="s">
        <v>414</v>
      </c>
      <c r="L920" s="14" t="s">
        <v>411</v>
      </c>
      <c r="M920" s="14" t="s">
        <v>412</v>
      </c>
      <c r="P920" s="14" t="s">
        <v>39</v>
      </c>
      <c r="Q920" s="14" t="s">
        <v>25</v>
      </c>
      <c r="R920" s="14" t="s">
        <v>410</v>
      </c>
    </row>
    <row r="921" spans="1:18" s="14" customFormat="1" x14ac:dyDescent="0.25">
      <c r="A921" s="14" t="str">
        <f>"30015"</f>
        <v>30015</v>
      </c>
      <c r="B921" s="14" t="str">
        <f>"06030"</f>
        <v>06030</v>
      </c>
      <c r="C921" s="14" t="str">
        <f>"1800"</f>
        <v>1800</v>
      </c>
      <c r="D921" s="14" t="str">
        <f>"06030B"</f>
        <v>06030B</v>
      </c>
      <c r="E921" s="14" t="s">
        <v>950</v>
      </c>
      <c r="F921" s="14" t="s">
        <v>420</v>
      </c>
      <c r="G921" s="14" t="str">
        <f>""</f>
        <v/>
      </c>
      <c r="H921" s="14" t="str">
        <f>" 10"</f>
        <v xml:space="preserve"> 10</v>
      </c>
      <c r="I921" s="14">
        <v>0.01</v>
      </c>
      <c r="J921" s="14">
        <v>500</v>
      </c>
      <c r="K921" s="14" t="s">
        <v>410</v>
      </c>
      <c r="L921" s="14" t="s">
        <v>411</v>
      </c>
      <c r="M921" s="14" t="s">
        <v>412</v>
      </c>
      <c r="N921" s="14" t="s">
        <v>413</v>
      </c>
      <c r="P921" s="14" t="s">
        <v>39</v>
      </c>
      <c r="Q921" s="14" t="s">
        <v>25</v>
      </c>
      <c r="R921" s="14" t="s">
        <v>410</v>
      </c>
    </row>
    <row r="922" spans="1:18" s="14" customFormat="1" x14ac:dyDescent="0.25">
      <c r="A922" s="14" t="str">
        <f>"30015"</f>
        <v>30015</v>
      </c>
      <c r="B922" s="14" t="str">
        <f>"06030"</f>
        <v>06030</v>
      </c>
      <c r="C922" s="14" t="str">
        <f>"1800"</f>
        <v>1800</v>
      </c>
      <c r="D922" s="14" t="str">
        <f>"06030B"</f>
        <v>06030B</v>
      </c>
      <c r="E922" s="14" t="s">
        <v>950</v>
      </c>
      <c r="F922" s="14" t="s">
        <v>420</v>
      </c>
      <c r="G922" s="14" t="str">
        <f>""</f>
        <v/>
      </c>
      <c r="H922" s="14" t="str">
        <f>" 20"</f>
        <v xml:space="preserve"> 20</v>
      </c>
      <c r="I922" s="14">
        <v>500.01</v>
      </c>
      <c r="J922" s="14">
        <v>9999999.9900000002</v>
      </c>
      <c r="K922" s="14" t="s">
        <v>414</v>
      </c>
      <c r="L922" s="14" t="s">
        <v>411</v>
      </c>
      <c r="M922" s="14" t="s">
        <v>412</v>
      </c>
      <c r="P922" s="14" t="s">
        <v>39</v>
      </c>
      <c r="Q922" s="14" t="s">
        <v>25</v>
      </c>
      <c r="R922" s="14" t="s">
        <v>410</v>
      </c>
    </row>
    <row r="923" spans="1:18" s="14" customFormat="1" x14ac:dyDescent="0.25">
      <c r="A923" s="14" t="str">
        <f>"30015"</f>
        <v>30015</v>
      </c>
      <c r="B923" s="14" t="str">
        <f>"06040"</f>
        <v>06040</v>
      </c>
      <c r="C923" s="14" t="str">
        <f>"1800"</f>
        <v>1800</v>
      </c>
      <c r="D923" s="14" t="str">
        <f>"06040B"</f>
        <v>06040B</v>
      </c>
      <c r="E923" s="14" t="s">
        <v>950</v>
      </c>
      <c r="F923" s="14" t="s">
        <v>421</v>
      </c>
      <c r="G923" s="14" t="str">
        <f>""</f>
        <v/>
      </c>
      <c r="H923" s="14" t="str">
        <f>" 10"</f>
        <v xml:space="preserve"> 10</v>
      </c>
      <c r="I923" s="14">
        <v>0.01</v>
      </c>
      <c r="J923" s="14">
        <v>500</v>
      </c>
      <c r="K923" s="14" t="s">
        <v>410</v>
      </c>
      <c r="L923" s="14" t="s">
        <v>411</v>
      </c>
      <c r="M923" s="14" t="s">
        <v>412</v>
      </c>
      <c r="N923" s="14" t="s">
        <v>413</v>
      </c>
      <c r="P923" s="14" t="s">
        <v>39</v>
      </c>
      <c r="Q923" s="14" t="s">
        <v>25</v>
      </c>
      <c r="R923" s="14" t="s">
        <v>410</v>
      </c>
    </row>
    <row r="924" spans="1:18" s="14" customFormat="1" x14ac:dyDescent="0.25">
      <c r="A924" s="14" t="str">
        <f>"30015"</f>
        <v>30015</v>
      </c>
      <c r="B924" s="14" t="str">
        <f>"06040"</f>
        <v>06040</v>
      </c>
      <c r="C924" s="14" t="str">
        <f>"1800"</f>
        <v>1800</v>
      </c>
      <c r="D924" s="14" t="str">
        <f>"06040B"</f>
        <v>06040B</v>
      </c>
      <c r="E924" s="14" t="s">
        <v>950</v>
      </c>
      <c r="F924" s="14" t="s">
        <v>421</v>
      </c>
      <c r="G924" s="14" t="str">
        <f>""</f>
        <v/>
      </c>
      <c r="H924" s="14" t="str">
        <f>" 20"</f>
        <v xml:space="preserve"> 20</v>
      </c>
      <c r="I924" s="14">
        <v>500.01</v>
      </c>
      <c r="J924" s="14">
        <v>9999999.9900000002</v>
      </c>
      <c r="K924" s="14" t="s">
        <v>414</v>
      </c>
      <c r="L924" s="14" t="s">
        <v>411</v>
      </c>
      <c r="M924" s="14" t="s">
        <v>412</v>
      </c>
      <c r="P924" s="14" t="s">
        <v>39</v>
      </c>
      <c r="Q924" s="14" t="s">
        <v>25</v>
      </c>
      <c r="R924" s="14" t="s">
        <v>410</v>
      </c>
    </row>
    <row r="925" spans="1:18" s="14" customFormat="1" x14ac:dyDescent="0.25">
      <c r="A925" s="14" t="str">
        <f>"30015"</f>
        <v>30015</v>
      </c>
      <c r="B925" s="14" t="str">
        <f>"06050"</f>
        <v>06050</v>
      </c>
      <c r="C925" s="14" t="str">
        <f>"1800"</f>
        <v>1800</v>
      </c>
      <c r="D925" s="14" t="str">
        <f>"06050B"</f>
        <v>06050B</v>
      </c>
      <c r="E925" s="14" t="s">
        <v>950</v>
      </c>
      <c r="F925" s="14" t="s">
        <v>422</v>
      </c>
      <c r="G925" s="14" t="str">
        <f>""</f>
        <v/>
      </c>
      <c r="H925" s="14" t="str">
        <f>" 10"</f>
        <v xml:space="preserve"> 10</v>
      </c>
      <c r="I925" s="14">
        <v>0.01</v>
      </c>
      <c r="J925" s="14">
        <v>500</v>
      </c>
      <c r="K925" s="14" t="s">
        <v>410</v>
      </c>
      <c r="L925" s="14" t="s">
        <v>411</v>
      </c>
      <c r="M925" s="14" t="s">
        <v>412</v>
      </c>
      <c r="N925" s="14" t="s">
        <v>413</v>
      </c>
      <c r="P925" s="14" t="s">
        <v>39</v>
      </c>
      <c r="Q925" s="14" t="s">
        <v>25</v>
      </c>
      <c r="R925" s="14" t="s">
        <v>410</v>
      </c>
    </row>
    <row r="926" spans="1:18" s="14" customFormat="1" x14ac:dyDescent="0.25">
      <c r="A926" s="14" t="str">
        <f>"30015"</f>
        <v>30015</v>
      </c>
      <c r="B926" s="14" t="str">
        <f>"06050"</f>
        <v>06050</v>
      </c>
      <c r="C926" s="14" t="str">
        <f>"1800"</f>
        <v>1800</v>
      </c>
      <c r="D926" s="14" t="str">
        <f>"06050B"</f>
        <v>06050B</v>
      </c>
      <c r="E926" s="14" t="s">
        <v>950</v>
      </c>
      <c r="F926" s="14" t="s">
        <v>422</v>
      </c>
      <c r="G926" s="14" t="str">
        <f>""</f>
        <v/>
      </c>
      <c r="H926" s="14" t="str">
        <f>" 20"</f>
        <v xml:space="preserve"> 20</v>
      </c>
      <c r="I926" s="14">
        <v>500.01</v>
      </c>
      <c r="J926" s="14">
        <v>9999999.9900000002</v>
      </c>
      <c r="K926" s="14" t="s">
        <v>414</v>
      </c>
      <c r="L926" s="14" t="s">
        <v>411</v>
      </c>
      <c r="M926" s="14" t="s">
        <v>412</v>
      </c>
      <c r="P926" s="14" t="s">
        <v>39</v>
      </c>
      <c r="Q926" s="14" t="s">
        <v>25</v>
      </c>
      <c r="R926" s="14" t="s">
        <v>410</v>
      </c>
    </row>
    <row r="927" spans="1:18" s="14" customFormat="1" x14ac:dyDescent="0.25">
      <c r="A927" s="14" t="str">
        <f>"30015"</f>
        <v>30015</v>
      </c>
      <c r="B927" s="14" t="str">
        <f>"06060"</f>
        <v>06060</v>
      </c>
      <c r="C927" s="14" t="str">
        <f>"1800"</f>
        <v>1800</v>
      </c>
      <c r="D927" s="14" t="str">
        <f>"06060B"</f>
        <v>06060B</v>
      </c>
      <c r="E927" s="14" t="s">
        <v>950</v>
      </c>
      <c r="F927" s="14" t="s">
        <v>423</v>
      </c>
      <c r="G927" s="14" t="str">
        <f>""</f>
        <v/>
      </c>
      <c r="H927" s="14" t="str">
        <f>" 10"</f>
        <v xml:space="preserve"> 10</v>
      </c>
      <c r="I927" s="14">
        <v>0.01</v>
      </c>
      <c r="J927" s="14">
        <v>500</v>
      </c>
      <c r="K927" s="14" t="s">
        <v>410</v>
      </c>
      <c r="L927" s="14" t="s">
        <v>411</v>
      </c>
      <c r="M927" s="14" t="s">
        <v>412</v>
      </c>
      <c r="N927" s="14" t="s">
        <v>413</v>
      </c>
      <c r="P927" s="14" t="s">
        <v>39</v>
      </c>
      <c r="Q927" s="14" t="s">
        <v>25</v>
      </c>
      <c r="R927" s="14" t="s">
        <v>410</v>
      </c>
    </row>
    <row r="928" spans="1:18" s="14" customFormat="1" x14ac:dyDescent="0.25">
      <c r="A928" s="14" t="str">
        <f>"30015"</f>
        <v>30015</v>
      </c>
      <c r="B928" s="14" t="str">
        <f>"06060"</f>
        <v>06060</v>
      </c>
      <c r="C928" s="14" t="str">
        <f>"1800"</f>
        <v>1800</v>
      </c>
      <c r="D928" s="14" t="str">
        <f>"06060B"</f>
        <v>06060B</v>
      </c>
      <c r="E928" s="14" t="s">
        <v>950</v>
      </c>
      <c r="F928" s="14" t="s">
        <v>423</v>
      </c>
      <c r="G928" s="14" t="str">
        <f>""</f>
        <v/>
      </c>
      <c r="H928" s="14" t="str">
        <f>" 20"</f>
        <v xml:space="preserve"> 20</v>
      </c>
      <c r="I928" s="14">
        <v>500.01</v>
      </c>
      <c r="J928" s="14">
        <v>9999999.9900000002</v>
      </c>
      <c r="K928" s="14" t="s">
        <v>414</v>
      </c>
      <c r="L928" s="14" t="s">
        <v>411</v>
      </c>
      <c r="M928" s="14" t="s">
        <v>412</v>
      </c>
      <c r="P928" s="14" t="s">
        <v>39</v>
      </c>
      <c r="Q928" s="14" t="s">
        <v>25</v>
      </c>
      <c r="R928" s="14" t="s">
        <v>410</v>
      </c>
    </row>
    <row r="929" spans="1:18" s="14" customFormat="1" x14ac:dyDescent="0.25">
      <c r="A929" s="14" t="str">
        <f>"30015"</f>
        <v>30015</v>
      </c>
      <c r="B929" s="14" t="str">
        <f>"06070"</f>
        <v>06070</v>
      </c>
      <c r="C929" s="14" t="str">
        <f>"1800"</f>
        <v>1800</v>
      </c>
      <c r="D929" s="14" t="str">
        <f>"06070B"</f>
        <v>06070B</v>
      </c>
      <c r="E929" s="14" t="s">
        <v>950</v>
      </c>
      <c r="F929" s="14" t="s">
        <v>424</v>
      </c>
      <c r="G929" s="14" t="str">
        <f>""</f>
        <v/>
      </c>
      <c r="H929" s="14" t="str">
        <f>" 10"</f>
        <v xml:space="preserve"> 10</v>
      </c>
      <c r="I929" s="14">
        <v>0.01</v>
      </c>
      <c r="J929" s="14">
        <v>500</v>
      </c>
      <c r="K929" s="14" t="s">
        <v>410</v>
      </c>
      <c r="L929" s="14" t="s">
        <v>411</v>
      </c>
      <c r="M929" s="14" t="s">
        <v>412</v>
      </c>
      <c r="N929" s="14" t="s">
        <v>413</v>
      </c>
      <c r="P929" s="14" t="s">
        <v>39</v>
      </c>
      <c r="Q929" s="14" t="s">
        <v>25</v>
      </c>
      <c r="R929" s="14" t="s">
        <v>410</v>
      </c>
    </row>
    <row r="930" spans="1:18" s="14" customFormat="1" x14ac:dyDescent="0.25">
      <c r="A930" s="14" t="str">
        <f>"30015"</f>
        <v>30015</v>
      </c>
      <c r="B930" s="14" t="str">
        <f>"06070"</f>
        <v>06070</v>
      </c>
      <c r="C930" s="14" t="str">
        <f>"1800"</f>
        <v>1800</v>
      </c>
      <c r="D930" s="14" t="str">
        <f>"06070B"</f>
        <v>06070B</v>
      </c>
      <c r="E930" s="14" t="s">
        <v>950</v>
      </c>
      <c r="F930" s="14" t="s">
        <v>424</v>
      </c>
      <c r="G930" s="14" t="str">
        <f>""</f>
        <v/>
      </c>
      <c r="H930" s="14" t="str">
        <f>" 20"</f>
        <v xml:space="preserve"> 20</v>
      </c>
      <c r="I930" s="14">
        <v>500.01</v>
      </c>
      <c r="J930" s="14">
        <v>9999999.9900000002</v>
      </c>
      <c r="K930" s="14" t="s">
        <v>414</v>
      </c>
      <c r="L930" s="14" t="s">
        <v>411</v>
      </c>
      <c r="M930" s="14" t="s">
        <v>412</v>
      </c>
      <c r="P930" s="14" t="s">
        <v>39</v>
      </c>
      <c r="Q930" s="14" t="s">
        <v>25</v>
      </c>
      <c r="R930" s="14" t="s">
        <v>410</v>
      </c>
    </row>
    <row r="931" spans="1:18" s="14" customFormat="1" x14ac:dyDescent="0.25">
      <c r="A931" s="14" t="str">
        <f>"30015"</f>
        <v>30015</v>
      </c>
      <c r="B931" s="14" t="str">
        <f>"06080"</f>
        <v>06080</v>
      </c>
      <c r="C931" s="14" t="str">
        <f>"1800"</f>
        <v>1800</v>
      </c>
      <c r="D931" s="14" t="str">
        <f>"06080B"</f>
        <v>06080B</v>
      </c>
      <c r="E931" s="14" t="s">
        <v>950</v>
      </c>
      <c r="F931" s="14" t="s">
        <v>425</v>
      </c>
      <c r="G931" s="14" t="str">
        <f>""</f>
        <v/>
      </c>
      <c r="H931" s="14" t="str">
        <f>" 10"</f>
        <v xml:space="preserve"> 10</v>
      </c>
      <c r="I931" s="14">
        <v>0.01</v>
      </c>
      <c r="J931" s="14">
        <v>500</v>
      </c>
      <c r="K931" s="14" t="s">
        <v>410</v>
      </c>
      <c r="L931" s="14" t="s">
        <v>411</v>
      </c>
      <c r="M931" s="14" t="s">
        <v>412</v>
      </c>
      <c r="N931" s="14" t="s">
        <v>413</v>
      </c>
      <c r="P931" s="14" t="s">
        <v>39</v>
      </c>
      <c r="Q931" s="14" t="s">
        <v>25</v>
      </c>
      <c r="R931" s="14" t="s">
        <v>410</v>
      </c>
    </row>
    <row r="932" spans="1:18" s="14" customFormat="1" x14ac:dyDescent="0.25">
      <c r="A932" s="14" t="str">
        <f>"30015"</f>
        <v>30015</v>
      </c>
      <c r="B932" s="14" t="str">
        <f>"06080"</f>
        <v>06080</v>
      </c>
      <c r="C932" s="14" t="str">
        <f>"1800"</f>
        <v>1800</v>
      </c>
      <c r="D932" s="14" t="str">
        <f>"06080B"</f>
        <v>06080B</v>
      </c>
      <c r="E932" s="14" t="s">
        <v>950</v>
      </c>
      <c r="F932" s="14" t="s">
        <v>425</v>
      </c>
      <c r="G932" s="14" t="str">
        <f>""</f>
        <v/>
      </c>
      <c r="H932" s="14" t="str">
        <f>" 20"</f>
        <v xml:space="preserve"> 20</v>
      </c>
      <c r="I932" s="14">
        <v>500.01</v>
      </c>
      <c r="J932" s="14">
        <v>9999999.9900000002</v>
      </c>
      <c r="K932" s="14" t="s">
        <v>414</v>
      </c>
      <c r="L932" s="14" t="s">
        <v>411</v>
      </c>
      <c r="M932" s="14" t="s">
        <v>412</v>
      </c>
      <c r="P932" s="14" t="s">
        <v>39</v>
      </c>
      <c r="Q932" s="14" t="s">
        <v>25</v>
      </c>
      <c r="R932" s="14" t="s">
        <v>410</v>
      </c>
    </row>
    <row r="933" spans="1:18" s="14" customFormat="1" x14ac:dyDescent="0.25">
      <c r="A933" s="14" t="str">
        <f>"30015"</f>
        <v>30015</v>
      </c>
      <c r="B933" s="14" t="str">
        <f>"06090"</f>
        <v>06090</v>
      </c>
      <c r="C933" s="14" t="str">
        <f>"1800"</f>
        <v>1800</v>
      </c>
      <c r="D933" s="14" t="str">
        <f>"06090B"</f>
        <v>06090B</v>
      </c>
      <c r="E933" s="14" t="s">
        <v>950</v>
      </c>
      <c r="F933" s="14" t="s">
        <v>426</v>
      </c>
      <c r="G933" s="14" t="str">
        <f>""</f>
        <v/>
      </c>
      <c r="H933" s="14" t="str">
        <f>" 10"</f>
        <v xml:space="preserve"> 10</v>
      </c>
      <c r="I933" s="14">
        <v>0.01</v>
      </c>
      <c r="J933" s="14">
        <v>500</v>
      </c>
      <c r="K933" s="14" t="s">
        <v>410</v>
      </c>
      <c r="L933" s="14" t="s">
        <v>411</v>
      </c>
      <c r="M933" s="14" t="s">
        <v>412</v>
      </c>
      <c r="N933" s="14" t="s">
        <v>413</v>
      </c>
      <c r="P933" s="14" t="s">
        <v>39</v>
      </c>
      <c r="Q933" s="14" t="s">
        <v>25</v>
      </c>
      <c r="R933" s="14" t="s">
        <v>410</v>
      </c>
    </row>
    <row r="934" spans="1:18" s="14" customFormat="1" x14ac:dyDescent="0.25">
      <c r="A934" s="14" t="str">
        <f>"30015"</f>
        <v>30015</v>
      </c>
      <c r="B934" s="14" t="str">
        <f>"06090"</f>
        <v>06090</v>
      </c>
      <c r="C934" s="14" t="str">
        <f>"1800"</f>
        <v>1800</v>
      </c>
      <c r="D934" s="14" t="str">
        <f>"06090B"</f>
        <v>06090B</v>
      </c>
      <c r="E934" s="14" t="s">
        <v>950</v>
      </c>
      <c r="F934" s="14" t="s">
        <v>426</v>
      </c>
      <c r="G934" s="14" t="str">
        <f>""</f>
        <v/>
      </c>
      <c r="H934" s="14" t="str">
        <f>" 20"</f>
        <v xml:space="preserve"> 20</v>
      </c>
      <c r="I934" s="14">
        <v>500.01</v>
      </c>
      <c r="J934" s="14">
        <v>9999999.9900000002</v>
      </c>
      <c r="K934" s="14" t="s">
        <v>414</v>
      </c>
      <c r="L934" s="14" t="s">
        <v>411</v>
      </c>
      <c r="M934" s="14" t="s">
        <v>412</v>
      </c>
      <c r="P934" s="14" t="s">
        <v>39</v>
      </c>
      <c r="Q934" s="14" t="s">
        <v>25</v>
      </c>
      <c r="R934" s="14" t="s">
        <v>410</v>
      </c>
    </row>
    <row r="935" spans="1:18" s="14" customFormat="1" x14ac:dyDescent="0.25">
      <c r="A935" s="14" t="str">
        <f>"30015"</f>
        <v>30015</v>
      </c>
      <c r="B935" s="14" t="str">
        <f>"06100"</f>
        <v>06100</v>
      </c>
      <c r="C935" s="14" t="str">
        <f>"1800"</f>
        <v>1800</v>
      </c>
      <c r="D935" s="14" t="str">
        <f>"06100B"</f>
        <v>06100B</v>
      </c>
      <c r="E935" s="14" t="s">
        <v>950</v>
      </c>
      <c r="F935" s="14" t="s">
        <v>427</v>
      </c>
      <c r="G935" s="14" t="str">
        <f>""</f>
        <v/>
      </c>
      <c r="H935" s="14" t="str">
        <f>" 10"</f>
        <v xml:space="preserve"> 10</v>
      </c>
      <c r="I935" s="14">
        <v>0.01</v>
      </c>
      <c r="J935" s="14">
        <v>500</v>
      </c>
      <c r="K935" s="14" t="s">
        <v>410</v>
      </c>
      <c r="L935" s="14" t="s">
        <v>411</v>
      </c>
      <c r="M935" s="14" t="s">
        <v>412</v>
      </c>
      <c r="N935" s="14" t="s">
        <v>413</v>
      </c>
      <c r="P935" s="14" t="s">
        <v>39</v>
      </c>
      <c r="Q935" s="14" t="s">
        <v>25</v>
      </c>
      <c r="R935" s="14" t="s">
        <v>410</v>
      </c>
    </row>
    <row r="936" spans="1:18" s="14" customFormat="1" x14ac:dyDescent="0.25">
      <c r="A936" s="14" t="str">
        <f>"30015"</f>
        <v>30015</v>
      </c>
      <c r="B936" s="14" t="str">
        <f>"06100"</f>
        <v>06100</v>
      </c>
      <c r="C936" s="14" t="str">
        <f>"1800"</f>
        <v>1800</v>
      </c>
      <c r="D936" s="14" t="str">
        <f>"06100B"</f>
        <v>06100B</v>
      </c>
      <c r="E936" s="14" t="s">
        <v>950</v>
      </c>
      <c r="F936" s="14" t="s">
        <v>427</v>
      </c>
      <c r="G936" s="14" t="str">
        <f>""</f>
        <v/>
      </c>
      <c r="H936" s="14" t="str">
        <f>" 20"</f>
        <v xml:space="preserve"> 20</v>
      </c>
      <c r="I936" s="14">
        <v>500.01</v>
      </c>
      <c r="J936" s="14">
        <v>9999999.9900000002</v>
      </c>
      <c r="K936" s="14" t="s">
        <v>414</v>
      </c>
      <c r="L936" s="14" t="s">
        <v>411</v>
      </c>
      <c r="M936" s="14" t="s">
        <v>412</v>
      </c>
      <c r="P936" s="14" t="s">
        <v>39</v>
      </c>
      <c r="Q936" s="14" t="s">
        <v>25</v>
      </c>
      <c r="R936" s="14" t="s">
        <v>410</v>
      </c>
    </row>
    <row r="937" spans="1:18" s="14" customFormat="1" x14ac:dyDescent="0.25">
      <c r="A937" s="14" t="str">
        <f>"30015"</f>
        <v>30015</v>
      </c>
      <c r="B937" s="14" t="str">
        <f>"06110"</f>
        <v>06110</v>
      </c>
      <c r="C937" s="14" t="str">
        <f>"1800"</f>
        <v>1800</v>
      </c>
      <c r="D937" s="14" t="str">
        <f>"06110B"</f>
        <v>06110B</v>
      </c>
      <c r="E937" s="14" t="s">
        <v>950</v>
      </c>
      <c r="F937" s="14" t="s">
        <v>428</v>
      </c>
      <c r="G937" s="14" t="str">
        <f>""</f>
        <v/>
      </c>
      <c r="H937" s="14" t="str">
        <f>" 10"</f>
        <v xml:space="preserve"> 10</v>
      </c>
      <c r="I937" s="14">
        <v>0.01</v>
      </c>
      <c r="J937" s="14">
        <v>500</v>
      </c>
      <c r="K937" s="14" t="s">
        <v>410</v>
      </c>
      <c r="L937" s="14" t="s">
        <v>411</v>
      </c>
      <c r="M937" s="14" t="s">
        <v>412</v>
      </c>
      <c r="N937" s="14" t="s">
        <v>413</v>
      </c>
      <c r="P937" s="14" t="s">
        <v>39</v>
      </c>
      <c r="Q937" s="14" t="s">
        <v>25</v>
      </c>
      <c r="R937" s="14" t="s">
        <v>410</v>
      </c>
    </row>
    <row r="938" spans="1:18" s="14" customFormat="1" x14ac:dyDescent="0.25">
      <c r="A938" s="14" t="str">
        <f>"30015"</f>
        <v>30015</v>
      </c>
      <c r="B938" s="14" t="str">
        <f>"06110"</f>
        <v>06110</v>
      </c>
      <c r="C938" s="14" t="str">
        <f>"1800"</f>
        <v>1800</v>
      </c>
      <c r="D938" s="14" t="str">
        <f>"06110B"</f>
        <v>06110B</v>
      </c>
      <c r="E938" s="14" t="s">
        <v>950</v>
      </c>
      <c r="F938" s="14" t="s">
        <v>428</v>
      </c>
      <c r="G938" s="14" t="str">
        <f>""</f>
        <v/>
      </c>
      <c r="H938" s="14" t="str">
        <f>" 20"</f>
        <v xml:space="preserve"> 20</v>
      </c>
      <c r="I938" s="14">
        <v>500.01</v>
      </c>
      <c r="J938" s="14">
        <v>9999999.9900000002</v>
      </c>
      <c r="K938" s="14" t="s">
        <v>414</v>
      </c>
      <c r="L938" s="14" t="s">
        <v>411</v>
      </c>
      <c r="M938" s="14" t="s">
        <v>412</v>
      </c>
      <c r="P938" s="14" t="s">
        <v>39</v>
      </c>
      <c r="Q938" s="14" t="s">
        <v>25</v>
      </c>
      <c r="R938" s="14" t="s">
        <v>410</v>
      </c>
    </row>
    <row r="939" spans="1:18" s="14" customFormat="1" x14ac:dyDescent="0.25">
      <c r="A939" s="14" t="str">
        <f>"30015"</f>
        <v>30015</v>
      </c>
      <c r="B939" s="14" t="str">
        <f>"06120"</f>
        <v>06120</v>
      </c>
      <c r="C939" s="14" t="str">
        <f>"1800"</f>
        <v>1800</v>
      </c>
      <c r="D939" s="14" t="str">
        <f>"06120B"</f>
        <v>06120B</v>
      </c>
      <c r="E939" s="14" t="s">
        <v>950</v>
      </c>
      <c r="F939" s="14" t="s">
        <v>429</v>
      </c>
      <c r="G939" s="14" t="str">
        <f>""</f>
        <v/>
      </c>
      <c r="H939" s="14" t="str">
        <f>" 10"</f>
        <v xml:space="preserve"> 10</v>
      </c>
      <c r="I939" s="14">
        <v>0.01</v>
      </c>
      <c r="J939" s="14">
        <v>500</v>
      </c>
      <c r="K939" s="14" t="s">
        <v>410</v>
      </c>
      <c r="L939" s="14" t="s">
        <v>411</v>
      </c>
      <c r="M939" s="14" t="s">
        <v>412</v>
      </c>
      <c r="N939" s="14" t="s">
        <v>413</v>
      </c>
      <c r="P939" s="14" t="s">
        <v>39</v>
      </c>
      <c r="Q939" s="14" t="s">
        <v>25</v>
      </c>
      <c r="R939" s="14" t="s">
        <v>410</v>
      </c>
    </row>
    <row r="940" spans="1:18" s="14" customFormat="1" x14ac:dyDescent="0.25">
      <c r="A940" s="14" t="str">
        <f>"30015"</f>
        <v>30015</v>
      </c>
      <c r="B940" s="14" t="str">
        <f>"06120"</f>
        <v>06120</v>
      </c>
      <c r="C940" s="14" t="str">
        <f>"1800"</f>
        <v>1800</v>
      </c>
      <c r="D940" s="14" t="str">
        <f>"06120B"</f>
        <v>06120B</v>
      </c>
      <c r="E940" s="14" t="s">
        <v>950</v>
      </c>
      <c r="F940" s="14" t="s">
        <v>429</v>
      </c>
      <c r="G940" s="14" t="str">
        <f>""</f>
        <v/>
      </c>
      <c r="H940" s="14" t="str">
        <f>" 20"</f>
        <v xml:space="preserve"> 20</v>
      </c>
      <c r="I940" s="14">
        <v>500.01</v>
      </c>
      <c r="J940" s="14">
        <v>9999999.9900000002</v>
      </c>
      <c r="K940" s="14" t="s">
        <v>414</v>
      </c>
      <c r="L940" s="14" t="s">
        <v>411</v>
      </c>
      <c r="M940" s="14" t="s">
        <v>412</v>
      </c>
      <c r="P940" s="14" t="s">
        <v>39</v>
      </c>
      <c r="Q940" s="14" t="s">
        <v>25</v>
      </c>
      <c r="R940" s="14" t="s">
        <v>410</v>
      </c>
    </row>
    <row r="941" spans="1:18" s="14" customFormat="1" x14ac:dyDescent="0.25">
      <c r="A941" s="14" t="str">
        <f>"30015"</f>
        <v>30015</v>
      </c>
      <c r="B941" s="14" t="str">
        <f>"06130"</f>
        <v>06130</v>
      </c>
      <c r="C941" s="14" t="str">
        <f>"1800"</f>
        <v>1800</v>
      </c>
      <c r="D941" s="14" t="str">
        <f>"06130B"</f>
        <v>06130B</v>
      </c>
      <c r="E941" s="14" t="s">
        <v>950</v>
      </c>
      <c r="F941" s="14" t="s">
        <v>430</v>
      </c>
      <c r="G941" s="14" t="str">
        <f>""</f>
        <v/>
      </c>
      <c r="H941" s="14" t="str">
        <f>" 10"</f>
        <v xml:space="preserve"> 10</v>
      </c>
      <c r="I941" s="14">
        <v>0.01</v>
      </c>
      <c r="J941" s="14">
        <v>500</v>
      </c>
      <c r="K941" s="14" t="s">
        <v>410</v>
      </c>
      <c r="L941" s="14" t="s">
        <v>411</v>
      </c>
      <c r="M941" s="14" t="s">
        <v>412</v>
      </c>
      <c r="N941" s="14" t="s">
        <v>413</v>
      </c>
      <c r="P941" s="14" t="s">
        <v>39</v>
      </c>
      <c r="Q941" s="14" t="s">
        <v>25</v>
      </c>
      <c r="R941" s="14" t="s">
        <v>410</v>
      </c>
    </row>
    <row r="942" spans="1:18" s="14" customFormat="1" x14ac:dyDescent="0.25">
      <c r="A942" s="14" t="str">
        <f>"30015"</f>
        <v>30015</v>
      </c>
      <c r="B942" s="14" t="str">
        <f>"06130"</f>
        <v>06130</v>
      </c>
      <c r="C942" s="14" t="str">
        <f>"1800"</f>
        <v>1800</v>
      </c>
      <c r="D942" s="14" t="str">
        <f>"06130B"</f>
        <v>06130B</v>
      </c>
      <c r="E942" s="14" t="s">
        <v>950</v>
      </c>
      <c r="F942" s="14" t="s">
        <v>430</v>
      </c>
      <c r="G942" s="14" t="str">
        <f>""</f>
        <v/>
      </c>
      <c r="H942" s="14" t="str">
        <f>" 20"</f>
        <v xml:space="preserve"> 20</v>
      </c>
      <c r="I942" s="14">
        <v>500.01</v>
      </c>
      <c r="J942" s="14">
        <v>9999999.9900000002</v>
      </c>
      <c r="K942" s="14" t="s">
        <v>414</v>
      </c>
      <c r="L942" s="14" t="s">
        <v>411</v>
      </c>
      <c r="M942" s="14" t="s">
        <v>412</v>
      </c>
      <c r="P942" s="14" t="s">
        <v>39</v>
      </c>
      <c r="Q942" s="14" t="s">
        <v>25</v>
      </c>
      <c r="R942" s="14" t="s">
        <v>410</v>
      </c>
    </row>
    <row r="943" spans="1:18" s="14" customFormat="1" x14ac:dyDescent="0.25">
      <c r="A943" s="14" t="str">
        <f>"30015"</f>
        <v>30015</v>
      </c>
      <c r="B943" s="14" t="str">
        <f>"06140"</f>
        <v>06140</v>
      </c>
      <c r="C943" s="14" t="str">
        <f>"1800"</f>
        <v>1800</v>
      </c>
      <c r="D943" s="14" t="str">
        <f>"06140B"</f>
        <v>06140B</v>
      </c>
      <c r="E943" s="14" t="s">
        <v>950</v>
      </c>
      <c r="F943" s="14" t="s">
        <v>431</v>
      </c>
      <c r="G943" s="14" t="str">
        <f>""</f>
        <v/>
      </c>
      <c r="H943" s="14" t="str">
        <f>" 10"</f>
        <v xml:space="preserve"> 10</v>
      </c>
      <c r="I943" s="14">
        <v>0.01</v>
      </c>
      <c r="J943" s="14">
        <v>500</v>
      </c>
      <c r="K943" s="14" t="s">
        <v>410</v>
      </c>
      <c r="L943" s="14" t="s">
        <v>411</v>
      </c>
      <c r="M943" s="14" t="s">
        <v>412</v>
      </c>
      <c r="N943" s="14" t="s">
        <v>413</v>
      </c>
      <c r="P943" s="14" t="s">
        <v>39</v>
      </c>
      <c r="Q943" s="14" t="s">
        <v>25</v>
      </c>
      <c r="R943" s="14" t="s">
        <v>410</v>
      </c>
    </row>
    <row r="944" spans="1:18" s="14" customFormat="1" x14ac:dyDescent="0.25">
      <c r="A944" s="14" t="str">
        <f>"30015"</f>
        <v>30015</v>
      </c>
      <c r="B944" s="14" t="str">
        <f>"06140"</f>
        <v>06140</v>
      </c>
      <c r="C944" s="14" t="str">
        <f>"1800"</f>
        <v>1800</v>
      </c>
      <c r="D944" s="14" t="str">
        <f>"06140B"</f>
        <v>06140B</v>
      </c>
      <c r="E944" s="14" t="s">
        <v>950</v>
      </c>
      <c r="F944" s="14" t="s">
        <v>431</v>
      </c>
      <c r="G944" s="14" t="str">
        <f>""</f>
        <v/>
      </c>
      <c r="H944" s="14" t="str">
        <f>" 20"</f>
        <v xml:space="preserve"> 20</v>
      </c>
      <c r="I944" s="14">
        <v>500.01</v>
      </c>
      <c r="J944" s="14">
        <v>9999999.9900000002</v>
      </c>
      <c r="K944" s="14" t="s">
        <v>414</v>
      </c>
      <c r="L944" s="14" t="s">
        <v>411</v>
      </c>
      <c r="M944" s="14" t="s">
        <v>412</v>
      </c>
      <c r="P944" s="14" t="s">
        <v>39</v>
      </c>
      <c r="Q944" s="14" t="s">
        <v>25</v>
      </c>
      <c r="R944" s="14" t="s">
        <v>410</v>
      </c>
    </row>
    <row r="945" spans="1:18" s="14" customFormat="1" x14ac:dyDescent="0.25">
      <c r="A945" s="14" t="str">
        <f>"30015"</f>
        <v>30015</v>
      </c>
      <c r="B945" s="14" t="str">
        <f>"06150"</f>
        <v>06150</v>
      </c>
      <c r="C945" s="14" t="str">
        <f>"1800"</f>
        <v>1800</v>
      </c>
      <c r="D945" s="14" t="str">
        <f>"06150B"</f>
        <v>06150B</v>
      </c>
      <c r="E945" s="14" t="s">
        <v>950</v>
      </c>
      <c r="F945" s="14" t="s">
        <v>432</v>
      </c>
      <c r="G945" s="14" t="str">
        <f>""</f>
        <v/>
      </c>
      <c r="H945" s="14" t="str">
        <f>" 10"</f>
        <v xml:space="preserve"> 10</v>
      </c>
      <c r="I945" s="14">
        <v>0.01</v>
      </c>
      <c r="J945" s="14">
        <v>500</v>
      </c>
      <c r="K945" s="14" t="s">
        <v>410</v>
      </c>
      <c r="L945" s="14" t="s">
        <v>411</v>
      </c>
      <c r="M945" s="14" t="s">
        <v>412</v>
      </c>
      <c r="N945" s="14" t="s">
        <v>413</v>
      </c>
      <c r="P945" s="14" t="s">
        <v>39</v>
      </c>
      <c r="Q945" s="14" t="s">
        <v>25</v>
      </c>
      <c r="R945" s="14" t="s">
        <v>410</v>
      </c>
    </row>
    <row r="946" spans="1:18" s="14" customFormat="1" x14ac:dyDescent="0.25">
      <c r="A946" s="14" t="str">
        <f>"30015"</f>
        <v>30015</v>
      </c>
      <c r="B946" s="14" t="str">
        <f>"06150"</f>
        <v>06150</v>
      </c>
      <c r="C946" s="14" t="str">
        <f>"1800"</f>
        <v>1800</v>
      </c>
      <c r="D946" s="14" t="str">
        <f>"06150B"</f>
        <v>06150B</v>
      </c>
      <c r="E946" s="14" t="s">
        <v>950</v>
      </c>
      <c r="F946" s="14" t="s">
        <v>432</v>
      </c>
      <c r="G946" s="14" t="str">
        <f>""</f>
        <v/>
      </c>
      <c r="H946" s="14" t="str">
        <f>" 20"</f>
        <v xml:space="preserve"> 20</v>
      </c>
      <c r="I946" s="14">
        <v>500.01</v>
      </c>
      <c r="J946" s="14">
        <v>9999999.9900000002</v>
      </c>
      <c r="K946" s="14" t="s">
        <v>414</v>
      </c>
      <c r="L946" s="14" t="s">
        <v>411</v>
      </c>
      <c r="M946" s="14" t="s">
        <v>412</v>
      </c>
      <c r="P946" s="14" t="s">
        <v>39</v>
      </c>
      <c r="Q946" s="14" t="s">
        <v>25</v>
      </c>
      <c r="R946" s="14" t="s">
        <v>410</v>
      </c>
    </row>
    <row r="947" spans="1:18" s="14" customFormat="1" x14ac:dyDescent="0.25">
      <c r="A947" s="14" t="str">
        <f>"30015"</f>
        <v>30015</v>
      </c>
      <c r="B947" s="14" t="str">
        <f>"06151"</f>
        <v>06151</v>
      </c>
      <c r="C947" s="14" t="str">
        <f>"1800"</f>
        <v>1800</v>
      </c>
      <c r="D947" s="14" t="str">
        <f>"06151B"</f>
        <v>06151B</v>
      </c>
      <c r="E947" s="14" t="s">
        <v>950</v>
      </c>
      <c r="F947" s="14" t="s">
        <v>433</v>
      </c>
      <c r="G947" s="14" t="str">
        <f>""</f>
        <v/>
      </c>
      <c r="H947" s="14" t="str">
        <f>" 10"</f>
        <v xml:space="preserve"> 10</v>
      </c>
      <c r="I947" s="14">
        <v>0.01</v>
      </c>
      <c r="J947" s="14">
        <v>500</v>
      </c>
      <c r="K947" s="14" t="s">
        <v>410</v>
      </c>
      <c r="L947" s="14" t="s">
        <v>411</v>
      </c>
      <c r="M947" s="14" t="s">
        <v>412</v>
      </c>
      <c r="N947" s="14" t="s">
        <v>413</v>
      </c>
      <c r="P947" s="14" t="s">
        <v>39</v>
      </c>
      <c r="Q947" s="14" t="s">
        <v>25</v>
      </c>
      <c r="R947" s="14" t="s">
        <v>410</v>
      </c>
    </row>
    <row r="948" spans="1:18" s="14" customFormat="1" x14ac:dyDescent="0.25">
      <c r="A948" s="14" t="str">
        <f>"30015"</f>
        <v>30015</v>
      </c>
      <c r="B948" s="14" t="str">
        <f>"06151"</f>
        <v>06151</v>
      </c>
      <c r="C948" s="14" t="str">
        <f>"1800"</f>
        <v>1800</v>
      </c>
      <c r="D948" s="14" t="str">
        <f>"06151B"</f>
        <v>06151B</v>
      </c>
      <c r="E948" s="14" t="s">
        <v>950</v>
      </c>
      <c r="F948" s="14" t="s">
        <v>433</v>
      </c>
      <c r="G948" s="14" t="str">
        <f>""</f>
        <v/>
      </c>
      <c r="H948" s="14" t="str">
        <f>" 20"</f>
        <v xml:space="preserve"> 20</v>
      </c>
      <c r="I948" s="14">
        <v>500.01</v>
      </c>
      <c r="J948" s="14">
        <v>9999999.9900000002</v>
      </c>
      <c r="K948" s="14" t="s">
        <v>414</v>
      </c>
      <c r="L948" s="14" t="s">
        <v>411</v>
      </c>
      <c r="M948" s="14" t="s">
        <v>412</v>
      </c>
      <c r="P948" s="14" t="s">
        <v>39</v>
      </c>
      <c r="Q948" s="14" t="s">
        <v>25</v>
      </c>
      <c r="R948" s="14" t="s">
        <v>410</v>
      </c>
    </row>
    <row r="949" spans="1:18" s="14" customFormat="1" x14ac:dyDescent="0.25">
      <c r="A949" s="14" t="str">
        <f>"30015"</f>
        <v>30015</v>
      </c>
      <c r="B949" s="14" t="str">
        <f>"06152"</f>
        <v>06152</v>
      </c>
      <c r="C949" s="14" t="str">
        <f>"1800"</f>
        <v>1800</v>
      </c>
      <c r="D949" s="14" t="str">
        <f>"06152B"</f>
        <v>06152B</v>
      </c>
      <c r="E949" s="14" t="s">
        <v>950</v>
      </c>
      <c r="F949" s="14" t="s">
        <v>434</v>
      </c>
      <c r="G949" s="14" t="str">
        <f>""</f>
        <v/>
      </c>
      <c r="H949" s="14" t="str">
        <f>" 10"</f>
        <v xml:space="preserve"> 10</v>
      </c>
      <c r="I949" s="14">
        <v>0.01</v>
      </c>
      <c r="J949" s="14">
        <v>500</v>
      </c>
      <c r="K949" s="14" t="s">
        <v>410</v>
      </c>
      <c r="L949" s="14" t="s">
        <v>411</v>
      </c>
      <c r="M949" s="14" t="s">
        <v>412</v>
      </c>
      <c r="N949" s="14" t="s">
        <v>413</v>
      </c>
      <c r="P949" s="14" t="s">
        <v>39</v>
      </c>
      <c r="Q949" s="14" t="s">
        <v>25</v>
      </c>
      <c r="R949" s="14" t="s">
        <v>410</v>
      </c>
    </row>
    <row r="950" spans="1:18" s="14" customFormat="1" x14ac:dyDescent="0.25">
      <c r="A950" s="14" t="str">
        <f>"30015"</f>
        <v>30015</v>
      </c>
      <c r="B950" s="14" t="str">
        <f>"06152"</f>
        <v>06152</v>
      </c>
      <c r="C950" s="14" t="str">
        <f>"1800"</f>
        <v>1800</v>
      </c>
      <c r="D950" s="14" t="str">
        <f>"06152B"</f>
        <v>06152B</v>
      </c>
      <c r="E950" s="14" t="s">
        <v>950</v>
      </c>
      <c r="F950" s="14" t="s">
        <v>434</v>
      </c>
      <c r="G950" s="14" t="str">
        <f>""</f>
        <v/>
      </c>
      <c r="H950" s="14" t="str">
        <f>" 20"</f>
        <v xml:space="preserve"> 20</v>
      </c>
      <c r="I950" s="14">
        <v>500.01</v>
      </c>
      <c r="J950" s="14">
        <v>9999999.9900000002</v>
      </c>
      <c r="K950" s="14" t="s">
        <v>414</v>
      </c>
      <c r="L950" s="14" t="s">
        <v>411</v>
      </c>
      <c r="M950" s="14" t="s">
        <v>412</v>
      </c>
      <c r="P950" s="14" t="s">
        <v>39</v>
      </c>
      <c r="Q950" s="14" t="s">
        <v>25</v>
      </c>
      <c r="R950" s="14" t="s">
        <v>410</v>
      </c>
    </row>
    <row r="951" spans="1:18" s="14" customFormat="1" x14ac:dyDescent="0.25">
      <c r="A951" s="14" t="str">
        <f>"30105"</f>
        <v>30105</v>
      </c>
      <c r="B951" s="14" t="str">
        <f>"05040"</f>
        <v>05040</v>
      </c>
      <c r="C951" s="14" t="str">
        <f>"1930"</f>
        <v>1930</v>
      </c>
      <c r="D951" s="14" t="str">
        <f>"05040"</f>
        <v>05040</v>
      </c>
      <c r="E951" s="14" t="s">
        <v>951</v>
      </c>
      <c r="F951" s="14" t="s">
        <v>952</v>
      </c>
      <c r="G951" s="14" t="str">
        <f>""</f>
        <v/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381</v>
      </c>
      <c r="L951" s="14" t="s">
        <v>382</v>
      </c>
      <c r="P951" s="14" t="s">
        <v>31</v>
      </c>
      <c r="Q951" s="14" t="s">
        <v>25</v>
      </c>
      <c r="R951" s="14" t="s">
        <v>383</v>
      </c>
    </row>
    <row r="952" spans="1:18" s="14" customFormat="1" x14ac:dyDescent="0.25">
      <c r="A952" s="14" t="str">
        <f>"30105"</f>
        <v>30105</v>
      </c>
      <c r="B952" s="14" t="str">
        <f>"05050"</f>
        <v>05050</v>
      </c>
      <c r="C952" s="14" t="str">
        <f>"1930"</f>
        <v>1930</v>
      </c>
      <c r="D952" s="14" t="str">
        <f>"05050"</f>
        <v>05050</v>
      </c>
      <c r="E952" s="14" t="s">
        <v>951</v>
      </c>
      <c r="F952" s="14" t="s">
        <v>563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381</v>
      </c>
      <c r="L952" s="14" t="s">
        <v>382</v>
      </c>
      <c r="P952" s="14" t="s">
        <v>31</v>
      </c>
      <c r="Q952" s="14" t="s">
        <v>25</v>
      </c>
      <c r="R952" s="14" t="s">
        <v>383</v>
      </c>
    </row>
    <row r="953" spans="1:18" s="14" customFormat="1" x14ac:dyDescent="0.25">
      <c r="A953" s="14" t="str">
        <f>"30110"</f>
        <v>30110</v>
      </c>
      <c r="B953" s="14" t="str">
        <f>"05000"</f>
        <v>05000</v>
      </c>
      <c r="C953" s="14" t="str">
        <f>"1930"</f>
        <v>1930</v>
      </c>
      <c r="D953" s="14" t="str">
        <f>""</f>
        <v/>
      </c>
      <c r="E953" s="14" t="s">
        <v>953</v>
      </c>
      <c r="F953" s="14" t="s">
        <v>366</v>
      </c>
      <c r="G953" s="14" t="str">
        <f>""</f>
        <v/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47</v>
      </c>
      <c r="L953" s="14" t="s">
        <v>37</v>
      </c>
      <c r="P953" s="14" t="s">
        <v>31</v>
      </c>
      <c r="Q953" s="14" t="s">
        <v>25</v>
      </c>
      <c r="R953" s="14" t="s">
        <v>367</v>
      </c>
    </row>
    <row r="954" spans="1:18" s="14" customFormat="1" x14ac:dyDescent="0.25">
      <c r="A954" s="14" t="str">
        <f>"31010"</f>
        <v>31010</v>
      </c>
      <c r="B954" s="14" t="str">
        <f>"03140"</f>
        <v>03140</v>
      </c>
      <c r="C954" s="14" t="str">
        <f>"1921"</f>
        <v>1921</v>
      </c>
      <c r="D954" s="14" t="str">
        <f>"03140B"</f>
        <v>03140B</v>
      </c>
      <c r="E954" s="14" t="s">
        <v>954</v>
      </c>
      <c r="F954" s="14" t="s">
        <v>247</v>
      </c>
      <c r="G954" s="14" t="str">
        <f>""</f>
        <v/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236</v>
      </c>
      <c r="L954" s="14" t="s">
        <v>237</v>
      </c>
      <c r="M954" s="14" t="s">
        <v>238</v>
      </c>
      <c r="P954" s="14" t="s">
        <v>31</v>
      </c>
      <c r="Q954" s="14" t="s">
        <v>25</v>
      </c>
      <c r="R954" s="14" t="s">
        <v>1930</v>
      </c>
    </row>
    <row r="955" spans="1:18" s="14" customFormat="1" x14ac:dyDescent="0.25">
      <c r="A955" s="14" t="str">
        <f>"31010"</f>
        <v>31010</v>
      </c>
      <c r="B955" s="14" t="str">
        <f>"05170"</f>
        <v>05170</v>
      </c>
      <c r="C955" s="14" t="str">
        <f>"1921"</f>
        <v>1921</v>
      </c>
      <c r="D955" s="14" t="str">
        <f>"05170A"</f>
        <v>05170A</v>
      </c>
      <c r="E955" s="14" t="s">
        <v>954</v>
      </c>
      <c r="F955" s="14" t="s">
        <v>954</v>
      </c>
      <c r="G955" s="14" t="str">
        <f>""</f>
        <v/>
      </c>
      <c r="H955" s="14" t="str">
        <f>" 10"</f>
        <v xml:space="preserve"> 10</v>
      </c>
      <c r="I955" s="14">
        <v>0.01</v>
      </c>
      <c r="J955" s="14">
        <v>500</v>
      </c>
      <c r="K955" s="14" t="s">
        <v>955</v>
      </c>
      <c r="L955" s="14" t="s">
        <v>956</v>
      </c>
      <c r="P955" s="14" t="s">
        <v>31</v>
      </c>
      <c r="Q955" s="14" t="s">
        <v>25</v>
      </c>
      <c r="R955" s="14" t="s">
        <v>955</v>
      </c>
    </row>
    <row r="956" spans="1:18" s="14" customFormat="1" x14ac:dyDescent="0.25">
      <c r="A956" s="14" t="str">
        <f>"31010"</f>
        <v>31010</v>
      </c>
      <c r="B956" s="14" t="str">
        <f>"05170"</f>
        <v>05170</v>
      </c>
      <c r="C956" s="14" t="str">
        <f>"1921"</f>
        <v>1921</v>
      </c>
      <c r="D956" s="14" t="str">
        <f>"05170A"</f>
        <v>05170A</v>
      </c>
      <c r="E956" s="14" t="s">
        <v>954</v>
      </c>
      <c r="F956" s="14" t="s">
        <v>954</v>
      </c>
      <c r="G956" s="14" t="str">
        <f>""</f>
        <v/>
      </c>
      <c r="H956" s="14" t="str">
        <f>" 20"</f>
        <v xml:space="preserve"> 20</v>
      </c>
      <c r="I956" s="14">
        <v>500.01</v>
      </c>
      <c r="J956" s="14">
        <v>9999999.9900000002</v>
      </c>
      <c r="K956" s="14" t="s">
        <v>956</v>
      </c>
      <c r="L956" s="14" t="s">
        <v>957</v>
      </c>
      <c r="M956" s="14" t="s">
        <v>47</v>
      </c>
      <c r="P956" s="14" t="s">
        <v>31</v>
      </c>
      <c r="Q956" s="14" t="s">
        <v>25</v>
      </c>
      <c r="R956" s="14" t="s">
        <v>955</v>
      </c>
    </row>
    <row r="957" spans="1:18" s="14" customFormat="1" x14ac:dyDescent="0.25">
      <c r="A957" s="14" t="str">
        <f>"31010"</f>
        <v>31010</v>
      </c>
      <c r="B957" s="14" t="str">
        <f>"05175"</f>
        <v>05175</v>
      </c>
      <c r="C957" s="14" t="str">
        <f>"1921"</f>
        <v>1921</v>
      </c>
      <c r="D957" s="14" t="str">
        <f>""</f>
        <v/>
      </c>
      <c r="E957" s="14" t="s">
        <v>954</v>
      </c>
      <c r="F957" s="14" t="s">
        <v>958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956</v>
      </c>
      <c r="L957" s="14" t="s">
        <v>957</v>
      </c>
      <c r="M957" s="14" t="s">
        <v>47</v>
      </c>
      <c r="P957" s="14" t="s">
        <v>31</v>
      </c>
      <c r="Q957" s="14" t="s">
        <v>25</v>
      </c>
      <c r="R957" s="14" t="s">
        <v>955</v>
      </c>
    </row>
    <row r="958" spans="1:18" s="14" customFormat="1" x14ac:dyDescent="0.25">
      <c r="A958" s="14" t="str">
        <f>"31010"</f>
        <v>31010</v>
      </c>
      <c r="B958" s="14" t="str">
        <f>"05190"</f>
        <v>05190</v>
      </c>
      <c r="C958" s="14" t="str">
        <f>"1921"</f>
        <v>1921</v>
      </c>
      <c r="D958" s="14" t="str">
        <f>"05190"</f>
        <v>05190</v>
      </c>
      <c r="E958" s="14" t="s">
        <v>954</v>
      </c>
      <c r="F958" s="14" t="s">
        <v>959</v>
      </c>
      <c r="G958" s="14" t="str">
        <f>""</f>
        <v/>
      </c>
      <c r="H958" s="14" t="str">
        <f>" 10"</f>
        <v xml:space="preserve"> 10</v>
      </c>
      <c r="I958" s="14">
        <v>0.01</v>
      </c>
      <c r="J958" s="14">
        <v>500</v>
      </c>
      <c r="K958" s="14" t="s">
        <v>955</v>
      </c>
      <c r="L958" s="14" t="s">
        <v>956</v>
      </c>
      <c r="P958" s="14" t="s">
        <v>31</v>
      </c>
      <c r="Q958" s="14" t="s">
        <v>25</v>
      </c>
      <c r="R958" s="14" t="s">
        <v>955</v>
      </c>
    </row>
    <row r="959" spans="1:18" s="14" customFormat="1" x14ac:dyDescent="0.25">
      <c r="A959" s="14" t="str">
        <f>"31010"</f>
        <v>31010</v>
      </c>
      <c r="B959" s="14" t="str">
        <f>"05190"</f>
        <v>05190</v>
      </c>
      <c r="C959" s="14" t="str">
        <f>"1921"</f>
        <v>1921</v>
      </c>
      <c r="D959" s="14" t="str">
        <f>"05190"</f>
        <v>05190</v>
      </c>
      <c r="E959" s="14" t="s">
        <v>954</v>
      </c>
      <c r="F959" s="14" t="s">
        <v>959</v>
      </c>
      <c r="G959" s="14" t="str">
        <f>""</f>
        <v/>
      </c>
      <c r="H959" s="14" t="str">
        <f>" 20"</f>
        <v xml:space="preserve"> 20</v>
      </c>
      <c r="I959" s="14">
        <v>500.01</v>
      </c>
      <c r="J959" s="14">
        <v>9999999.9900000002</v>
      </c>
      <c r="K959" s="14" t="s">
        <v>956</v>
      </c>
      <c r="L959" s="14" t="s">
        <v>957</v>
      </c>
      <c r="M959" s="14" t="s">
        <v>47</v>
      </c>
      <c r="P959" s="14" t="s">
        <v>31</v>
      </c>
      <c r="Q959" s="14" t="s">
        <v>25</v>
      </c>
      <c r="R959" s="14" t="s">
        <v>955</v>
      </c>
    </row>
    <row r="960" spans="1:18" s="14" customFormat="1" x14ac:dyDescent="0.25">
      <c r="A960" s="14" t="str">
        <f>"31010"</f>
        <v>31010</v>
      </c>
      <c r="B960" s="14" t="str">
        <f>"05210"</f>
        <v>05210</v>
      </c>
      <c r="C960" s="14" t="str">
        <f>"1921"</f>
        <v>1921</v>
      </c>
      <c r="D960" s="14" t="str">
        <f>"05210"</f>
        <v>05210</v>
      </c>
      <c r="E960" s="14" t="s">
        <v>954</v>
      </c>
      <c r="F960" s="14" t="s">
        <v>960</v>
      </c>
      <c r="G960" s="14" t="str">
        <f>""</f>
        <v/>
      </c>
      <c r="H960" s="14" t="str">
        <f>" 10"</f>
        <v xml:space="preserve"> 10</v>
      </c>
      <c r="I960" s="14">
        <v>0.01</v>
      </c>
      <c r="J960" s="14">
        <v>500</v>
      </c>
      <c r="K960" s="14" t="s">
        <v>955</v>
      </c>
      <c r="L960" s="14" t="s">
        <v>956</v>
      </c>
      <c r="P960" s="14" t="s">
        <v>31</v>
      </c>
      <c r="Q960" s="14" t="s">
        <v>25</v>
      </c>
      <c r="R960" s="14" t="s">
        <v>955</v>
      </c>
    </row>
    <row r="961" spans="1:18" s="14" customFormat="1" x14ac:dyDescent="0.25">
      <c r="A961" s="14" t="str">
        <f>"31010"</f>
        <v>31010</v>
      </c>
      <c r="B961" s="14" t="str">
        <f>"05210"</f>
        <v>05210</v>
      </c>
      <c r="C961" s="14" t="str">
        <f>"1921"</f>
        <v>1921</v>
      </c>
      <c r="D961" s="14" t="str">
        <f>"05210"</f>
        <v>05210</v>
      </c>
      <c r="E961" s="14" t="s">
        <v>954</v>
      </c>
      <c r="F961" s="14" t="s">
        <v>960</v>
      </c>
      <c r="G961" s="14" t="str">
        <f>""</f>
        <v/>
      </c>
      <c r="H961" s="14" t="str">
        <f>" 20"</f>
        <v xml:space="preserve"> 20</v>
      </c>
      <c r="I961" s="14">
        <v>500.01</v>
      </c>
      <c r="J961" s="14">
        <v>9999999.9900000002</v>
      </c>
      <c r="K961" s="14" t="s">
        <v>956</v>
      </c>
      <c r="L961" s="14" t="s">
        <v>957</v>
      </c>
      <c r="M961" s="14" t="s">
        <v>47</v>
      </c>
      <c r="P961" s="14" t="s">
        <v>31</v>
      </c>
      <c r="Q961" s="14" t="s">
        <v>25</v>
      </c>
      <c r="R961" s="14" t="s">
        <v>955</v>
      </c>
    </row>
    <row r="962" spans="1:18" s="14" customFormat="1" x14ac:dyDescent="0.25">
      <c r="A962" s="14" t="str">
        <f>"31010"</f>
        <v>31010</v>
      </c>
      <c r="B962" s="14" t="str">
        <f>"05220"</f>
        <v>05220</v>
      </c>
      <c r="C962" s="14" t="str">
        <f>"1921"</f>
        <v>1921</v>
      </c>
      <c r="D962" s="14" t="str">
        <f>"05220"</f>
        <v>05220</v>
      </c>
      <c r="E962" s="14" t="s">
        <v>954</v>
      </c>
      <c r="F962" s="14" t="s">
        <v>961</v>
      </c>
      <c r="G962" s="14" t="str">
        <f>""</f>
        <v/>
      </c>
      <c r="H962" s="14" t="str">
        <f>" 10"</f>
        <v xml:space="preserve"> 10</v>
      </c>
      <c r="I962" s="14">
        <v>0.01</v>
      </c>
      <c r="J962" s="14">
        <v>500</v>
      </c>
      <c r="K962" s="14" t="s">
        <v>955</v>
      </c>
      <c r="L962" s="14" t="s">
        <v>956</v>
      </c>
      <c r="P962" s="14" t="s">
        <v>31</v>
      </c>
      <c r="Q962" s="14" t="s">
        <v>25</v>
      </c>
      <c r="R962" s="14" t="s">
        <v>955</v>
      </c>
    </row>
    <row r="963" spans="1:18" s="14" customFormat="1" x14ac:dyDescent="0.25">
      <c r="A963" s="14" t="str">
        <f>"31010"</f>
        <v>31010</v>
      </c>
      <c r="B963" s="14" t="str">
        <f>"05220"</f>
        <v>05220</v>
      </c>
      <c r="C963" s="14" t="str">
        <f>"1921"</f>
        <v>1921</v>
      </c>
      <c r="D963" s="14" t="str">
        <f>"05220"</f>
        <v>05220</v>
      </c>
      <c r="E963" s="14" t="s">
        <v>954</v>
      </c>
      <c r="F963" s="14" t="s">
        <v>961</v>
      </c>
      <c r="G963" s="14" t="str">
        <f>""</f>
        <v/>
      </c>
      <c r="H963" s="14" t="str">
        <f>" 20"</f>
        <v xml:space="preserve"> 20</v>
      </c>
      <c r="I963" s="14">
        <v>500.01</v>
      </c>
      <c r="J963" s="14">
        <v>9999999.9900000002</v>
      </c>
      <c r="K963" s="14" t="s">
        <v>956</v>
      </c>
      <c r="L963" s="14" t="s">
        <v>957</v>
      </c>
      <c r="M963" s="14" t="s">
        <v>47</v>
      </c>
      <c r="P963" s="14" t="s">
        <v>31</v>
      </c>
      <c r="Q963" s="14" t="s">
        <v>25</v>
      </c>
      <c r="R963" s="14" t="s">
        <v>955</v>
      </c>
    </row>
    <row r="964" spans="1:18" s="14" customFormat="1" x14ac:dyDescent="0.25">
      <c r="A964" s="14" t="str">
        <f>"31015"</f>
        <v>31015</v>
      </c>
      <c r="B964" s="14" t="str">
        <f>"05170"</f>
        <v>05170</v>
      </c>
      <c r="C964" s="14" t="str">
        <f>"1921"</f>
        <v>1921</v>
      </c>
      <c r="D964" s="14" t="str">
        <f>"05170B"</f>
        <v>05170B</v>
      </c>
      <c r="E964" s="14" t="s">
        <v>962</v>
      </c>
      <c r="F964" s="14" t="s">
        <v>954</v>
      </c>
      <c r="G964" s="14" t="str">
        <f>""</f>
        <v/>
      </c>
      <c r="H964" s="14" t="str">
        <f>" 10"</f>
        <v xml:space="preserve"> 10</v>
      </c>
      <c r="I964" s="14">
        <v>0.01</v>
      </c>
      <c r="J964" s="14">
        <v>500</v>
      </c>
      <c r="K964" s="14" t="s">
        <v>955</v>
      </c>
      <c r="L964" s="14" t="s">
        <v>956</v>
      </c>
      <c r="P964" s="14" t="s">
        <v>31</v>
      </c>
      <c r="Q964" s="14" t="s">
        <v>25</v>
      </c>
      <c r="R964" s="14" t="s">
        <v>955</v>
      </c>
    </row>
    <row r="965" spans="1:18" s="14" customFormat="1" x14ac:dyDescent="0.25">
      <c r="A965" s="14" t="str">
        <f>"31015"</f>
        <v>31015</v>
      </c>
      <c r="B965" s="14" t="str">
        <f>"05170"</f>
        <v>05170</v>
      </c>
      <c r="C965" s="14" t="str">
        <f>"1921"</f>
        <v>1921</v>
      </c>
      <c r="D965" s="14" t="str">
        <f>"05170B"</f>
        <v>05170B</v>
      </c>
      <c r="E965" s="14" t="s">
        <v>962</v>
      </c>
      <c r="F965" s="14" t="s">
        <v>954</v>
      </c>
      <c r="G965" s="14" t="str">
        <f>""</f>
        <v/>
      </c>
      <c r="H965" s="14" t="str">
        <f>" 20"</f>
        <v xml:space="preserve"> 20</v>
      </c>
      <c r="I965" s="14">
        <v>500.01</v>
      </c>
      <c r="J965" s="14">
        <v>9999999.9900000002</v>
      </c>
      <c r="K965" s="14" t="s">
        <v>956</v>
      </c>
      <c r="L965" s="14" t="s">
        <v>957</v>
      </c>
      <c r="M965" s="14" t="s">
        <v>47</v>
      </c>
      <c r="P965" s="14" t="s">
        <v>31</v>
      </c>
      <c r="Q965" s="14" t="s">
        <v>25</v>
      </c>
      <c r="R965" s="14" t="s">
        <v>955</v>
      </c>
    </row>
    <row r="966" spans="1:18" s="14" customFormat="1" x14ac:dyDescent="0.25">
      <c r="A966" s="14" t="str">
        <f>"31015"</f>
        <v>31015</v>
      </c>
      <c r="B966" s="14" t="str">
        <f>"05200"</f>
        <v>05200</v>
      </c>
      <c r="C966" s="14" t="str">
        <f>"1921"</f>
        <v>1921</v>
      </c>
      <c r="D966" s="14" t="str">
        <f>"05200"</f>
        <v>05200</v>
      </c>
      <c r="E966" s="14" t="s">
        <v>962</v>
      </c>
      <c r="F966" s="14" t="s">
        <v>963</v>
      </c>
      <c r="G966" s="14" t="str">
        <f>""</f>
        <v/>
      </c>
      <c r="H966" s="14" t="str">
        <f>" 10"</f>
        <v xml:space="preserve"> 10</v>
      </c>
      <c r="I966" s="14">
        <v>0.01</v>
      </c>
      <c r="J966" s="14">
        <v>500</v>
      </c>
      <c r="K966" s="14" t="s">
        <v>955</v>
      </c>
      <c r="L966" s="14" t="s">
        <v>956</v>
      </c>
      <c r="P966" s="14" t="s">
        <v>31</v>
      </c>
      <c r="Q966" s="14" t="s">
        <v>25</v>
      </c>
      <c r="R966" s="14" t="s">
        <v>955</v>
      </c>
    </row>
    <row r="967" spans="1:18" s="14" customFormat="1" x14ac:dyDescent="0.25">
      <c r="A967" s="14" t="str">
        <f>"31015"</f>
        <v>31015</v>
      </c>
      <c r="B967" s="14" t="str">
        <f>"05200"</f>
        <v>05200</v>
      </c>
      <c r="C967" s="14" t="str">
        <f>"1921"</f>
        <v>1921</v>
      </c>
      <c r="D967" s="14" t="str">
        <f>"05200"</f>
        <v>05200</v>
      </c>
      <c r="E967" s="14" t="s">
        <v>962</v>
      </c>
      <c r="F967" s="14" t="s">
        <v>963</v>
      </c>
      <c r="G967" s="14" t="str">
        <f>""</f>
        <v/>
      </c>
      <c r="H967" s="14" t="str">
        <f>" 20"</f>
        <v xml:space="preserve"> 20</v>
      </c>
      <c r="I967" s="14">
        <v>500.01</v>
      </c>
      <c r="J967" s="14">
        <v>9999999.9900000002</v>
      </c>
      <c r="K967" s="14" t="s">
        <v>956</v>
      </c>
      <c r="L967" s="14" t="s">
        <v>957</v>
      </c>
      <c r="M967" s="14" t="s">
        <v>47</v>
      </c>
      <c r="P967" s="14" t="s">
        <v>31</v>
      </c>
      <c r="Q967" s="14" t="s">
        <v>25</v>
      </c>
      <c r="R967" s="14" t="s">
        <v>955</v>
      </c>
    </row>
    <row r="968" spans="1:18" s="14" customFormat="1" x14ac:dyDescent="0.25">
      <c r="A968" s="14" t="str">
        <f>"31049"</f>
        <v>31049</v>
      </c>
      <c r="B968" s="14" t="str">
        <f>"03170"</f>
        <v>03170</v>
      </c>
      <c r="C968" s="14" t="str">
        <f>"1921"</f>
        <v>1921</v>
      </c>
      <c r="D968" s="14" t="str">
        <f>"31049"</f>
        <v>31049</v>
      </c>
      <c r="E968" s="14" t="s">
        <v>964</v>
      </c>
      <c r="F968" s="14" t="s">
        <v>251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252</v>
      </c>
      <c r="L968" s="14" t="s">
        <v>253</v>
      </c>
      <c r="P968" s="14" t="s">
        <v>31</v>
      </c>
      <c r="Q968" s="14" t="s">
        <v>25</v>
      </c>
      <c r="R968" s="14" t="s">
        <v>254</v>
      </c>
    </row>
    <row r="969" spans="1:18" s="14" customFormat="1" x14ac:dyDescent="0.25">
      <c r="A969" s="14" t="str">
        <f>"31064"</f>
        <v>31064</v>
      </c>
      <c r="B969" s="14" t="str">
        <f>"03140"</f>
        <v>03140</v>
      </c>
      <c r="C969" s="14" t="str">
        <f>"1921"</f>
        <v>1921</v>
      </c>
      <c r="D969" s="14" t="str">
        <f>"31064"</f>
        <v>31064</v>
      </c>
      <c r="E969" s="14" t="s">
        <v>965</v>
      </c>
      <c r="F969" s="14" t="s">
        <v>247</v>
      </c>
      <c r="G969" s="14" t="str">
        <f>"GN0031064"</f>
        <v>GN0031064</v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236</v>
      </c>
      <c r="L969" s="14" t="s">
        <v>237</v>
      </c>
      <c r="M969" s="14" t="s">
        <v>238</v>
      </c>
      <c r="P969" s="14" t="s">
        <v>31</v>
      </c>
      <c r="Q969" s="14" t="s">
        <v>25</v>
      </c>
      <c r="R969" s="14" t="s">
        <v>1930</v>
      </c>
    </row>
    <row r="970" spans="1:18" s="14" customFormat="1" x14ac:dyDescent="0.25">
      <c r="A970" s="14" t="str">
        <f>"31065"</f>
        <v>31065</v>
      </c>
      <c r="B970" s="14" t="str">
        <f>"05170"</f>
        <v>05170</v>
      </c>
      <c r="C970" s="14" t="str">
        <f>"1921"</f>
        <v>1921</v>
      </c>
      <c r="D970" s="14" t="str">
        <f>"31065"</f>
        <v>31065</v>
      </c>
      <c r="E970" s="14" t="s">
        <v>966</v>
      </c>
      <c r="F970" s="14" t="s">
        <v>954</v>
      </c>
      <c r="G970" s="14" t="str">
        <f>"GN0031065"</f>
        <v>GN0031065</v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957</v>
      </c>
      <c r="L970" s="14" t="s">
        <v>956</v>
      </c>
      <c r="M970" s="14" t="s">
        <v>47</v>
      </c>
      <c r="P970" s="14" t="s">
        <v>31</v>
      </c>
      <c r="Q970" s="14" t="s">
        <v>25</v>
      </c>
      <c r="R970" s="14" t="s">
        <v>955</v>
      </c>
    </row>
    <row r="971" spans="1:18" s="14" customFormat="1" x14ac:dyDescent="0.25">
      <c r="A971" s="14" t="str">
        <f>"31105"</f>
        <v>31105</v>
      </c>
      <c r="B971" s="14" t="str">
        <f>"03000"</f>
        <v>03000</v>
      </c>
      <c r="C971" s="14" t="str">
        <f>"1930"</f>
        <v>1930</v>
      </c>
      <c r="D971" s="14" t="str">
        <f>"31105"</f>
        <v>31105</v>
      </c>
      <c r="E971" s="14" t="s">
        <v>967</v>
      </c>
      <c r="F971" s="14" t="s">
        <v>217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34</v>
      </c>
      <c r="L971" s="14" t="s">
        <v>226</v>
      </c>
      <c r="P971" s="14" t="s">
        <v>31</v>
      </c>
      <c r="Q971" s="14" t="s">
        <v>25</v>
      </c>
      <c r="R971" s="14" t="s">
        <v>35</v>
      </c>
    </row>
    <row r="972" spans="1:18" s="14" customFormat="1" x14ac:dyDescent="0.25">
      <c r="A972" s="14" t="str">
        <f>"31110"</f>
        <v>31110</v>
      </c>
      <c r="B972" s="14" t="str">
        <f>"03000"</f>
        <v>03000</v>
      </c>
      <c r="C972" s="14" t="str">
        <f>"1930"</f>
        <v>1930</v>
      </c>
      <c r="D972" s="14" t="str">
        <f>"31110"</f>
        <v>31110</v>
      </c>
      <c r="E972" s="14" t="s">
        <v>968</v>
      </c>
      <c r="F972" s="14" t="s">
        <v>217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34</v>
      </c>
      <c r="L972" s="14" t="s">
        <v>226</v>
      </c>
      <c r="P972" s="14" t="s">
        <v>260</v>
      </c>
      <c r="Q972" s="14" t="s">
        <v>25</v>
      </c>
      <c r="R972" s="14" t="s">
        <v>35</v>
      </c>
    </row>
    <row r="973" spans="1:18" s="14" customFormat="1" x14ac:dyDescent="0.25">
      <c r="A973" s="14" t="str">
        <f>"31205"</f>
        <v>31205</v>
      </c>
      <c r="B973" s="14" t="str">
        <f>"03000"</f>
        <v>03000</v>
      </c>
      <c r="C973" s="14" t="str">
        <f>"1930"</f>
        <v>1930</v>
      </c>
      <c r="D973" s="14" t="str">
        <f>"31205"</f>
        <v>31205</v>
      </c>
      <c r="E973" s="14" t="s">
        <v>969</v>
      </c>
      <c r="F973" s="14" t="s">
        <v>217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34</v>
      </c>
      <c r="P973" s="14" t="s">
        <v>31</v>
      </c>
      <c r="Q973" s="14" t="s">
        <v>25</v>
      </c>
      <c r="R973" s="14" t="s">
        <v>35</v>
      </c>
    </row>
    <row r="974" spans="1:18" s="14" customFormat="1" x14ac:dyDescent="0.25">
      <c r="A974" s="14" t="str">
        <f>"31205"</f>
        <v>31205</v>
      </c>
      <c r="B974" s="14" t="str">
        <f>"03929"</f>
        <v>03929</v>
      </c>
      <c r="C974" s="14" t="str">
        <f>"1930"</f>
        <v>1930</v>
      </c>
      <c r="D974" s="14" t="str">
        <f>""</f>
        <v/>
      </c>
      <c r="E974" s="14" t="s">
        <v>969</v>
      </c>
      <c r="F974" s="14" t="s">
        <v>970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318</v>
      </c>
      <c r="L974" s="14" t="s">
        <v>319</v>
      </c>
      <c r="P974" s="14" t="s">
        <v>260</v>
      </c>
      <c r="Q974" s="14" t="s">
        <v>25</v>
      </c>
      <c r="R974" s="14" t="s">
        <v>318</v>
      </c>
    </row>
    <row r="975" spans="1:18" s="14" customFormat="1" x14ac:dyDescent="0.25">
      <c r="A975" s="14" t="str">
        <f>"32005"</f>
        <v>32005</v>
      </c>
      <c r="B975" s="14" t="str">
        <f>"03100"</f>
        <v>03100</v>
      </c>
      <c r="C975" s="14" t="str">
        <f>"1930"</f>
        <v>1930</v>
      </c>
      <c r="D975" s="14" t="str">
        <f>"03100"</f>
        <v>03100</v>
      </c>
      <c r="E975" s="14" t="s">
        <v>971</v>
      </c>
      <c r="F975" s="14" t="s">
        <v>736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226</v>
      </c>
      <c r="L975" s="14" t="s">
        <v>228</v>
      </c>
      <c r="P975" s="14" t="s">
        <v>260</v>
      </c>
      <c r="Q975" s="14" t="s">
        <v>25</v>
      </c>
      <c r="R975" s="14" t="s">
        <v>229</v>
      </c>
    </row>
    <row r="976" spans="1:18" s="14" customFormat="1" x14ac:dyDescent="0.25">
      <c r="A976" s="14" t="str">
        <f>"32105"</f>
        <v>32105</v>
      </c>
      <c r="B976" s="14" t="str">
        <f>"02120"</f>
        <v>02120</v>
      </c>
      <c r="C976" s="14" t="str">
        <f>"1930"</f>
        <v>1930</v>
      </c>
      <c r="D976" s="14" t="str">
        <f>"02120B"</f>
        <v>02120B</v>
      </c>
      <c r="E976" s="14" t="s">
        <v>972</v>
      </c>
      <c r="F976" s="14" t="s">
        <v>209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29</v>
      </c>
      <c r="L976" s="14" t="s">
        <v>210</v>
      </c>
      <c r="P976" s="14" t="s">
        <v>31</v>
      </c>
      <c r="Q976" s="14" t="s">
        <v>25</v>
      </c>
      <c r="R976" s="14" t="s">
        <v>210</v>
      </c>
    </row>
    <row r="977" spans="1:18" s="14" customFormat="1" x14ac:dyDescent="0.25">
      <c r="A977" s="14" t="str">
        <f>"32105"</f>
        <v>32105</v>
      </c>
      <c r="B977" s="14" t="str">
        <f>"03000"</f>
        <v>03000</v>
      </c>
      <c r="C977" s="14" t="str">
        <f>"1930"</f>
        <v>1930</v>
      </c>
      <c r="D977" s="14" t="str">
        <f>"03000B"</f>
        <v>03000B</v>
      </c>
      <c r="E977" s="14" t="s">
        <v>972</v>
      </c>
      <c r="F977" s="14" t="s">
        <v>217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34</v>
      </c>
      <c r="L977" s="14" t="s">
        <v>25</v>
      </c>
      <c r="P977" s="14" t="s">
        <v>31</v>
      </c>
      <c r="Q977" s="14" t="s">
        <v>25</v>
      </c>
      <c r="R977" s="14" t="s">
        <v>35</v>
      </c>
    </row>
    <row r="978" spans="1:18" s="14" customFormat="1" x14ac:dyDescent="0.25">
      <c r="A978" s="14" t="str">
        <f>"32115"</f>
        <v>32115</v>
      </c>
      <c r="B978" s="14" t="str">
        <f>"03000"</f>
        <v>03000</v>
      </c>
      <c r="C978" s="14" t="str">
        <f>"1930"</f>
        <v>1930</v>
      </c>
      <c r="D978" s="14" t="str">
        <f>"32115"</f>
        <v>32115</v>
      </c>
      <c r="E978" s="14" t="s">
        <v>973</v>
      </c>
      <c r="F978" s="14" t="s">
        <v>217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34</v>
      </c>
      <c r="L978" s="14" t="s">
        <v>226</v>
      </c>
      <c r="P978" s="14" t="s">
        <v>31</v>
      </c>
      <c r="Q978" s="14" t="s">
        <v>25</v>
      </c>
      <c r="R978" s="14" t="s">
        <v>35</v>
      </c>
    </row>
    <row r="979" spans="1:18" s="14" customFormat="1" x14ac:dyDescent="0.25">
      <c r="A979" s="14" t="str">
        <f>"33005"</f>
        <v>33005</v>
      </c>
      <c r="B979" s="14" t="str">
        <f>"01150"</f>
        <v>01150</v>
      </c>
      <c r="C979" s="14" t="str">
        <f>"1930"</f>
        <v>1930</v>
      </c>
      <c r="D979" s="14" t="str">
        <f>"01150A"</f>
        <v>01150A</v>
      </c>
      <c r="E979" s="14" t="s">
        <v>974</v>
      </c>
      <c r="F979" s="14" t="s">
        <v>975</v>
      </c>
      <c r="G979" s="14" t="str">
        <f>""</f>
        <v/>
      </c>
      <c r="H979" s="14" t="str">
        <f>" 10"</f>
        <v xml:space="preserve"> 10</v>
      </c>
      <c r="I979" s="14">
        <v>0.01</v>
      </c>
      <c r="J979" s="14">
        <v>500</v>
      </c>
      <c r="K979" s="14" t="s">
        <v>727</v>
      </c>
      <c r="L979" s="14" t="s">
        <v>55</v>
      </c>
      <c r="P979" s="14" t="s">
        <v>31</v>
      </c>
      <c r="Q979" s="14" t="s">
        <v>25</v>
      </c>
      <c r="R979" s="14" t="s">
        <v>727</v>
      </c>
    </row>
    <row r="980" spans="1:18" s="14" customFormat="1" x14ac:dyDescent="0.25">
      <c r="A980" s="14" t="str">
        <f>"33005"</f>
        <v>33005</v>
      </c>
      <c r="B980" s="14" t="str">
        <f>"01150"</f>
        <v>01150</v>
      </c>
      <c r="C980" s="14" t="str">
        <f>"1930"</f>
        <v>1930</v>
      </c>
      <c r="D980" s="14" t="str">
        <f>"01150A"</f>
        <v>01150A</v>
      </c>
      <c r="E980" s="14" t="s">
        <v>974</v>
      </c>
      <c r="F980" s="14" t="s">
        <v>975</v>
      </c>
      <c r="G980" s="14" t="str">
        <f>""</f>
        <v/>
      </c>
      <c r="H980" s="14" t="str">
        <f>" 20"</f>
        <v xml:space="preserve"> 20</v>
      </c>
      <c r="I980" s="14">
        <v>500.01</v>
      </c>
      <c r="J980" s="14">
        <v>9999999.9900000002</v>
      </c>
      <c r="K980" s="14" t="s">
        <v>55</v>
      </c>
      <c r="L980" s="14" t="s">
        <v>53</v>
      </c>
      <c r="M980" s="14" t="s">
        <v>726</v>
      </c>
      <c r="P980" s="14" t="s">
        <v>31</v>
      </c>
      <c r="Q980" s="14" t="s">
        <v>25</v>
      </c>
      <c r="R980" s="14" t="s">
        <v>727</v>
      </c>
    </row>
    <row r="981" spans="1:18" s="14" customFormat="1" x14ac:dyDescent="0.25">
      <c r="A981" s="14" t="str">
        <f>"33005"</f>
        <v>33005</v>
      </c>
      <c r="B981" s="14" t="str">
        <f>"01151"</f>
        <v>01151</v>
      </c>
      <c r="C981" s="14" t="str">
        <f>"1930"</f>
        <v>1930</v>
      </c>
      <c r="D981" s="14" t="str">
        <f>"01151"</f>
        <v>01151</v>
      </c>
      <c r="E981" s="14" t="s">
        <v>974</v>
      </c>
      <c r="F981" s="14" t="s">
        <v>976</v>
      </c>
      <c r="G981" s="14" t="str">
        <f>""</f>
        <v/>
      </c>
      <c r="H981" s="14" t="str">
        <f>" 10"</f>
        <v xml:space="preserve"> 10</v>
      </c>
      <c r="I981" s="14">
        <v>0.01</v>
      </c>
      <c r="J981" s="14">
        <v>500</v>
      </c>
      <c r="K981" s="14" t="s">
        <v>727</v>
      </c>
      <c r="L981" s="14" t="s">
        <v>55</v>
      </c>
      <c r="P981" s="14" t="s">
        <v>31</v>
      </c>
      <c r="Q981" s="14" t="s">
        <v>25</v>
      </c>
      <c r="R981" s="14" t="s">
        <v>727</v>
      </c>
    </row>
    <row r="982" spans="1:18" s="14" customFormat="1" x14ac:dyDescent="0.25">
      <c r="A982" s="14" t="str">
        <f>"33005"</f>
        <v>33005</v>
      </c>
      <c r="B982" s="14" t="str">
        <f>"01151"</f>
        <v>01151</v>
      </c>
      <c r="C982" s="14" t="str">
        <f>"1930"</f>
        <v>1930</v>
      </c>
      <c r="D982" s="14" t="str">
        <f>"01151"</f>
        <v>01151</v>
      </c>
      <c r="E982" s="14" t="s">
        <v>974</v>
      </c>
      <c r="F982" s="14" t="s">
        <v>976</v>
      </c>
      <c r="G982" s="14" t="str">
        <f>""</f>
        <v/>
      </c>
      <c r="H982" s="14" t="str">
        <f>" 20"</f>
        <v xml:space="preserve"> 20</v>
      </c>
      <c r="I982" s="14">
        <v>500.01</v>
      </c>
      <c r="J982" s="14">
        <v>9999999.9900000002</v>
      </c>
      <c r="K982" s="14" t="s">
        <v>55</v>
      </c>
      <c r="L982" s="14" t="s">
        <v>53</v>
      </c>
      <c r="M982" s="14" t="s">
        <v>726</v>
      </c>
      <c r="P982" s="14" t="s">
        <v>31</v>
      </c>
      <c r="Q982" s="14" t="s">
        <v>25</v>
      </c>
      <c r="R982" s="14" t="s">
        <v>727</v>
      </c>
    </row>
    <row r="983" spans="1:18" s="14" customFormat="1" x14ac:dyDescent="0.25">
      <c r="A983" s="14" t="str">
        <f>"33005"</f>
        <v>33005</v>
      </c>
      <c r="B983" s="14" t="str">
        <f>"01152"</f>
        <v>01152</v>
      </c>
      <c r="C983" s="14" t="str">
        <f>"1930"</f>
        <v>1930</v>
      </c>
      <c r="D983" s="14" t="str">
        <f>"01152"</f>
        <v>01152</v>
      </c>
      <c r="E983" s="14" t="s">
        <v>974</v>
      </c>
      <c r="F983" s="14" t="s">
        <v>977</v>
      </c>
      <c r="G983" s="14" t="str">
        <f>""</f>
        <v/>
      </c>
      <c r="H983" s="14" t="str">
        <f>" 10"</f>
        <v xml:space="preserve"> 10</v>
      </c>
      <c r="I983" s="14">
        <v>0.01</v>
      </c>
      <c r="J983" s="14">
        <v>500</v>
      </c>
      <c r="K983" s="14" t="s">
        <v>727</v>
      </c>
      <c r="L983" s="14" t="s">
        <v>55</v>
      </c>
      <c r="P983" s="14" t="s">
        <v>31</v>
      </c>
      <c r="Q983" s="14" t="s">
        <v>25</v>
      </c>
      <c r="R983" s="14" t="s">
        <v>727</v>
      </c>
    </row>
    <row r="984" spans="1:18" s="14" customFormat="1" x14ac:dyDescent="0.25">
      <c r="A984" s="14" t="str">
        <f>"33005"</f>
        <v>33005</v>
      </c>
      <c r="B984" s="14" t="str">
        <f>"01152"</f>
        <v>01152</v>
      </c>
      <c r="C984" s="14" t="str">
        <f>"1930"</f>
        <v>1930</v>
      </c>
      <c r="D984" s="14" t="str">
        <f>"01152"</f>
        <v>01152</v>
      </c>
      <c r="E984" s="14" t="s">
        <v>974</v>
      </c>
      <c r="F984" s="14" t="s">
        <v>977</v>
      </c>
      <c r="G984" s="14" t="str">
        <f>""</f>
        <v/>
      </c>
      <c r="H984" s="14" t="str">
        <f>" 20"</f>
        <v xml:space="preserve"> 20</v>
      </c>
      <c r="I984" s="14">
        <v>500.01</v>
      </c>
      <c r="J984" s="14">
        <v>9999999.9900000002</v>
      </c>
      <c r="K984" s="14" t="s">
        <v>55</v>
      </c>
      <c r="L984" s="14" t="s">
        <v>53</v>
      </c>
      <c r="M984" s="14" t="s">
        <v>726</v>
      </c>
      <c r="P984" s="14" t="s">
        <v>31</v>
      </c>
      <c r="Q984" s="14" t="s">
        <v>25</v>
      </c>
      <c r="R984" s="14" t="s">
        <v>727</v>
      </c>
    </row>
    <row r="985" spans="1:18" s="14" customFormat="1" x14ac:dyDescent="0.25">
      <c r="A985" s="14" t="str">
        <f>"33005"</f>
        <v>33005</v>
      </c>
      <c r="B985" s="14" t="str">
        <f>"01154"</f>
        <v>01154</v>
      </c>
      <c r="C985" s="14" t="str">
        <f>"1930"</f>
        <v>1930</v>
      </c>
      <c r="D985" s="14" t="str">
        <f>"01154"</f>
        <v>01154</v>
      </c>
      <c r="E985" s="14" t="s">
        <v>974</v>
      </c>
      <c r="F985" s="14" t="s">
        <v>978</v>
      </c>
      <c r="G985" s="14" t="str">
        <f>""</f>
        <v/>
      </c>
      <c r="H985" s="14" t="str">
        <f>" 10"</f>
        <v xml:space="preserve"> 10</v>
      </c>
      <c r="I985" s="14">
        <v>0.01</v>
      </c>
      <c r="J985" s="14">
        <v>500</v>
      </c>
      <c r="K985" s="14" t="s">
        <v>727</v>
      </c>
      <c r="L985" s="14" t="s">
        <v>55</v>
      </c>
      <c r="P985" s="14" t="s">
        <v>31</v>
      </c>
      <c r="Q985" s="14" t="s">
        <v>25</v>
      </c>
      <c r="R985" s="14" t="s">
        <v>727</v>
      </c>
    </row>
    <row r="986" spans="1:18" s="14" customFormat="1" x14ac:dyDescent="0.25">
      <c r="A986" s="14" t="str">
        <f>"33005"</f>
        <v>33005</v>
      </c>
      <c r="B986" s="14" t="str">
        <f>"01154"</f>
        <v>01154</v>
      </c>
      <c r="C986" s="14" t="str">
        <f>"1930"</f>
        <v>1930</v>
      </c>
      <c r="D986" s="14" t="str">
        <f>"01154"</f>
        <v>01154</v>
      </c>
      <c r="E986" s="14" t="s">
        <v>974</v>
      </c>
      <c r="F986" s="14" t="s">
        <v>978</v>
      </c>
      <c r="G986" s="14" t="str">
        <f>""</f>
        <v/>
      </c>
      <c r="H986" s="14" t="str">
        <f>" 20"</f>
        <v xml:space="preserve"> 20</v>
      </c>
      <c r="I986" s="14">
        <v>500.01</v>
      </c>
      <c r="J986" s="14">
        <v>9999999.9900000002</v>
      </c>
      <c r="K986" s="14" t="s">
        <v>55</v>
      </c>
      <c r="L986" s="14" t="s">
        <v>53</v>
      </c>
      <c r="M986" s="14" t="s">
        <v>726</v>
      </c>
      <c r="P986" s="14" t="s">
        <v>31</v>
      </c>
      <c r="Q986" s="14" t="s">
        <v>25</v>
      </c>
      <c r="R986" s="14" t="s">
        <v>727</v>
      </c>
    </row>
    <row r="987" spans="1:18" s="14" customFormat="1" x14ac:dyDescent="0.25">
      <c r="A987" s="14" t="str">
        <f>"33010"</f>
        <v>33010</v>
      </c>
      <c r="B987" s="14" t="str">
        <f>"01150"</f>
        <v>01150</v>
      </c>
      <c r="C987" s="14" t="str">
        <f>"1930"</f>
        <v>1930</v>
      </c>
      <c r="D987" s="14" t="str">
        <f>"01150B"</f>
        <v>01150B</v>
      </c>
      <c r="E987" s="14" t="s">
        <v>979</v>
      </c>
      <c r="F987" s="14" t="s">
        <v>975</v>
      </c>
      <c r="G987" s="14" t="str">
        <f>""</f>
        <v/>
      </c>
      <c r="H987" s="14" t="str">
        <f>" 10"</f>
        <v xml:space="preserve"> 10</v>
      </c>
      <c r="I987" s="14">
        <v>0.01</v>
      </c>
      <c r="J987" s="14">
        <v>500</v>
      </c>
      <c r="K987" s="14" t="s">
        <v>727</v>
      </c>
      <c r="L987" s="14" t="s">
        <v>55</v>
      </c>
      <c r="P987" s="14" t="s">
        <v>31</v>
      </c>
      <c r="Q987" s="14" t="s">
        <v>25</v>
      </c>
      <c r="R987" s="14" t="s">
        <v>727</v>
      </c>
    </row>
    <row r="988" spans="1:18" s="14" customFormat="1" x14ac:dyDescent="0.25">
      <c r="A988" s="14" t="str">
        <f>"33010"</f>
        <v>33010</v>
      </c>
      <c r="B988" s="14" t="str">
        <f>"01150"</f>
        <v>01150</v>
      </c>
      <c r="C988" s="14" t="str">
        <f>"1930"</f>
        <v>1930</v>
      </c>
      <c r="D988" s="14" t="str">
        <f>"01150B"</f>
        <v>01150B</v>
      </c>
      <c r="E988" s="14" t="s">
        <v>979</v>
      </c>
      <c r="F988" s="14" t="s">
        <v>975</v>
      </c>
      <c r="G988" s="14" t="str">
        <f>""</f>
        <v/>
      </c>
      <c r="H988" s="14" t="str">
        <f>" 20"</f>
        <v xml:space="preserve"> 20</v>
      </c>
      <c r="I988" s="14">
        <v>500.01</v>
      </c>
      <c r="J988" s="14">
        <v>9999999.9900000002</v>
      </c>
      <c r="K988" s="14" t="s">
        <v>55</v>
      </c>
      <c r="L988" s="14" t="s">
        <v>53</v>
      </c>
      <c r="M988" s="14" t="s">
        <v>726</v>
      </c>
      <c r="P988" s="14" t="s">
        <v>31</v>
      </c>
      <c r="Q988" s="14" t="s">
        <v>25</v>
      </c>
      <c r="R988" s="14" t="s">
        <v>727</v>
      </c>
    </row>
    <row r="989" spans="1:18" s="14" customFormat="1" x14ac:dyDescent="0.25">
      <c r="A989" s="14" t="str">
        <f>"33105"</f>
        <v>33105</v>
      </c>
      <c r="B989" s="14" t="str">
        <f>"01100"</f>
        <v>01100</v>
      </c>
      <c r="C989" s="14" t="str">
        <f>"1930"</f>
        <v>1930</v>
      </c>
      <c r="D989" s="14" t="str">
        <f>"01100"</f>
        <v>01100</v>
      </c>
      <c r="E989" s="14" t="s">
        <v>725</v>
      </c>
      <c r="F989" s="14" t="s">
        <v>725</v>
      </c>
      <c r="G989" s="14" t="str">
        <f>""</f>
        <v/>
      </c>
      <c r="H989" s="14" t="str">
        <f>" 10"</f>
        <v xml:space="preserve"> 10</v>
      </c>
      <c r="I989" s="14">
        <v>0.01</v>
      </c>
      <c r="J989" s="14">
        <v>500</v>
      </c>
      <c r="K989" s="14" t="s">
        <v>727</v>
      </c>
      <c r="L989" s="14" t="s">
        <v>55</v>
      </c>
      <c r="P989" s="14" t="s">
        <v>31</v>
      </c>
      <c r="Q989" s="14" t="s">
        <v>25</v>
      </c>
      <c r="R989" s="14" t="s">
        <v>727</v>
      </c>
    </row>
    <row r="990" spans="1:18" s="14" customFormat="1" x14ac:dyDescent="0.25">
      <c r="A990" s="14" t="str">
        <f>"33105"</f>
        <v>33105</v>
      </c>
      <c r="B990" s="14" t="str">
        <f>"01100"</f>
        <v>01100</v>
      </c>
      <c r="C990" s="14" t="str">
        <f>"1930"</f>
        <v>1930</v>
      </c>
      <c r="D990" s="14" t="str">
        <f>"01100"</f>
        <v>01100</v>
      </c>
      <c r="E990" s="14" t="s">
        <v>725</v>
      </c>
      <c r="F990" s="14" t="s">
        <v>725</v>
      </c>
      <c r="G990" s="14" t="str">
        <f>""</f>
        <v/>
      </c>
      <c r="H990" s="14" t="str">
        <f>" 20"</f>
        <v xml:space="preserve"> 20</v>
      </c>
      <c r="I990" s="14">
        <v>500.01</v>
      </c>
      <c r="J990" s="14">
        <v>9999999.9900000002</v>
      </c>
      <c r="K990" s="14" t="s">
        <v>55</v>
      </c>
      <c r="L990" s="14" t="s">
        <v>53</v>
      </c>
      <c r="M990" s="14" t="s">
        <v>726</v>
      </c>
      <c r="P990" s="14" t="s">
        <v>31</v>
      </c>
      <c r="Q990" s="14" t="s">
        <v>25</v>
      </c>
      <c r="R990" s="14" t="s">
        <v>727</v>
      </c>
    </row>
    <row r="991" spans="1:18" s="14" customFormat="1" x14ac:dyDescent="0.25">
      <c r="A991" s="14" t="str">
        <f>"33105"</f>
        <v>33105</v>
      </c>
      <c r="B991" s="14" t="str">
        <f>"01110"</f>
        <v>01110</v>
      </c>
      <c r="C991" s="14" t="str">
        <f>"1930"</f>
        <v>1930</v>
      </c>
      <c r="D991" s="14" t="str">
        <f>"01110"</f>
        <v>01110</v>
      </c>
      <c r="E991" s="14" t="s">
        <v>725</v>
      </c>
      <c r="F991" s="14" t="s">
        <v>905</v>
      </c>
      <c r="G991" s="14" t="str">
        <f>""</f>
        <v/>
      </c>
      <c r="H991" s="14" t="str">
        <f>" 10"</f>
        <v xml:space="preserve"> 10</v>
      </c>
      <c r="I991" s="14">
        <v>0.01</v>
      </c>
      <c r="J991" s="14">
        <v>500</v>
      </c>
      <c r="K991" s="14" t="s">
        <v>727</v>
      </c>
      <c r="L991" s="14" t="s">
        <v>906</v>
      </c>
      <c r="M991" s="14" t="s">
        <v>55</v>
      </c>
      <c r="P991" s="14" t="s">
        <v>31</v>
      </c>
      <c r="Q991" s="14" t="s">
        <v>25</v>
      </c>
      <c r="R991" s="14" t="s">
        <v>727</v>
      </c>
    </row>
    <row r="992" spans="1:18" s="14" customFormat="1" x14ac:dyDescent="0.25">
      <c r="A992" s="14" t="str">
        <f>"33105"</f>
        <v>33105</v>
      </c>
      <c r="B992" s="14" t="str">
        <f>"01110"</f>
        <v>01110</v>
      </c>
      <c r="C992" s="14" t="str">
        <f>"1930"</f>
        <v>1930</v>
      </c>
      <c r="D992" s="14" t="str">
        <f>"01110"</f>
        <v>01110</v>
      </c>
      <c r="E992" s="14" t="s">
        <v>725</v>
      </c>
      <c r="F992" s="14" t="s">
        <v>905</v>
      </c>
      <c r="G992" s="14" t="str">
        <f>""</f>
        <v/>
      </c>
      <c r="H992" s="14" t="str">
        <f>" 20"</f>
        <v xml:space="preserve"> 20</v>
      </c>
      <c r="I992" s="14">
        <v>500.01</v>
      </c>
      <c r="J992" s="14">
        <v>9999999.9900000002</v>
      </c>
      <c r="K992" s="14" t="s">
        <v>906</v>
      </c>
      <c r="L992" s="14" t="s">
        <v>55</v>
      </c>
      <c r="M992" s="14" t="s">
        <v>53</v>
      </c>
      <c r="P992" s="14" t="s">
        <v>31</v>
      </c>
      <c r="Q992" s="14" t="s">
        <v>25</v>
      </c>
      <c r="R992" s="14" t="s">
        <v>727</v>
      </c>
    </row>
    <row r="993" spans="1:18" s="14" customFormat="1" x14ac:dyDescent="0.25">
      <c r="A993" s="14" t="str">
        <f>"33110"</f>
        <v>33110</v>
      </c>
      <c r="B993" s="14" t="str">
        <f>"03140"</f>
        <v>03140</v>
      </c>
      <c r="C993" s="14" t="str">
        <f>"1930"</f>
        <v>1930</v>
      </c>
      <c r="D993" s="14" t="str">
        <f>"33110"</f>
        <v>33110</v>
      </c>
      <c r="E993" s="14" t="s">
        <v>980</v>
      </c>
      <c r="F993" s="14" t="s">
        <v>247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236</v>
      </c>
      <c r="L993" s="14" t="s">
        <v>237</v>
      </c>
      <c r="M993" s="14" t="s">
        <v>238</v>
      </c>
      <c r="P993" s="14" t="s">
        <v>31</v>
      </c>
      <c r="Q993" s="14" t="s">
        <v>25</v>
      </c>
      <c r="R993" s="14" t="s">
        <v>1930</v>
      </c>
    </row>
    <row r="994" spans="1:18" s="14" customFormat="1" x14ac:dyDescent="0.25">
      <c r="A994" s="14" t="str">
        <f>"34001"</f>
        <v>34001</v>
      </c>
      <c r="B994" s="14" t="str">
        <f>"01450"</f>
        <v>01450</v>
      </c>
      <c r="C994" s="14" t="str">
        <f>"1300"</f>
        <v>1300</v>
      </c>
      <c r="D994" s="14" t="str">
        <f>"34001"</f>
        <v>34001</v>
      </c>
      <c r="E994" s="14" t="s">
        <v>981</v>
      </c>
      <c r="F994" s="14" t="s">
        <v>126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69</v>
      </c>
      <c r="L994" s="14" t="s">
        <v>70</v>
      </c>
      <c r="M994" s="14" t="s">
        <v>71</v>
      </c>
      <c r="P994" s="14" t="s">
        <v>31</v>
      </c>
      <c r="Q994" s="14" t="s">
        <v>25</v>
      </c>
      <c r="R994" s="14" t="s">
        <v>72</v>
      </c>
    </row>
    <row r="995" spans="1:18" s="14" customFormat="1" x14ac:dyDescent="0.25">
      <c r="A995" s="14" t="str">
        <f>"34205"</f>
        <v>34205</v>
      </c>
      <c r="B995" s="14" t="str">
        <f>"01450"</f>
        <v>01450</v>
      </c>
      <c r="C995" s="14" t="str">
        <f>"1300"</f>
        <v>1300</v>
      </c>
      <c r="D995" s="14" t="str">
        <f>"34205"</f>
        <v>34205</v>
      </c>
      <c r="E995" s="14" t="s">
        <v>982</v>
      </c>
      <c r="F995" s="14" t="s">
        <v>126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69</v>
      </c>
      <c r="L995" s="14" t="s">
        <v>70</v>
      </c>
      <c r="M995" s="14" t="s">
        <v>71</v>
      </c>
      <c r="P995" s="14" t="s">
        <v>31</v>
      </c>
      <c r="Q995" s="14" t="s">
        <v>25</v>
      </c>
      <c r="R995" s="14" t="s">
        <v>72</v>
      </c>
    </row>
    <row r="996" spans="1:18" s="14" customFormat="1" x14ac:dyDescent="0.25">
      <c r="A996" s="14" t="str">
        <f>"35010"</f>
        <v>35010</v>
      </c>
      <c r="B996" s="14" t="str">
        <f>"03140"</f>
        <v>03140</v>
      </c>
      <c r="C996" s="14" t="str">
        <f>"1930"</f>
        <v>1930</v>
      </c>
      <c r="D996" s="14" t="str">
        <f>"35010"</f>
        <v>35010</v>
      </c>
      <c r="E996" s="14" t="s">
        <v>983</v>
      </c>
      <c r="F996" s="14" t="s">
        <v>247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236</v>
      </c>
      <c r="L996" s="14" t="s">
        <v>237</v>
      </c>
      <c r="M996" s="14" t="s">
        <v>238</v>
      </c>
      <c r="P996" s="14" t="s">
        <v>239</v>
      </c>
      <c r="Q996" s="14" t="s">
        <v>25</v>
      </c>
      <c r="R996" s="14" t="s">
        <v>1930</v>
      </c>
    </row>
    <row r="997" spans="1:18" s="14" customFormat="1" x14ac:dyDescent="0.25">
      <c r="A997" s="14" t="str">
        <f>"35015"</f>
        <v>35015</v>
      </c>
      <c r="B997" s="14" t="str">
        <f>"02120"</f>
        <v>02120</v>
      </c>
      <c r="C997" s="14" t="str">
        <f>"1930"</f>
        <v>1930</v>
      </c>
      <c r="D997" s="14" t="str">
        <f>"35015"</f>
        <v>35015</v>
      </c>
      <c r="E997" s="14" t="s">
        <v>984</v>
      </c>
      <c r="F997" s="14" t="s">
        <v>209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29</v>
      </c>
      <c r="L997" s="14" t="s">
        <v>210</v>
      </c>
      <c r="P997" s="14" t="s">
        <v>31</v>
      </c>
      <c r="Q997" s="14" t="s">
        <v>25</v>
      </c>
      <c r="R997" s="14" t="s">
        <v>210</v>
      </c>
    </row>
    <row r="998" spans="1:18" s="14" customFormat="1" x14ac:dyDescent="0.25">
      <c r="A998" s="14" t="str">
        <f>"35020"</f>
        <v>35020</v>
      </c>
      <c r="B998" s="14" t="str">
        <f>"02120"</f>
        <v>02120</v>
      </c>
      <c r="C998" s="14" t="str">
        <f>"1930"</f>
        <v>1930</v>
      </c>
      <c r="D998" s="14" t="str">
        <f>"35020"</f>
        <v>35020</v>
      </c>
      <c r="E998" s="14" t="s">
        <v>985</v>
      </c>
      <c r="F998" s="14" t="s">
        <v>209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29</v>
      </c>
      <c r="L998" s="14" t="s">
        <v>210</v>
      </c>
      <c r="P998" s="14" t="s">
        <v>31</v>
      </c>
      <c r="Q998" s="14" t="s">
        <v>25</v>
      </c>
      <c r="R998" s="14" t="s">
        <v>210</v>
      </c>
    </row>
    <row r="999" spans="1:18" s="14" customFormat="1" x14ac:dyDescent="0.25">
      <c r="A999" s="14" t="str">
        <f>"35021"</f>
        <v>35021</v>
      </c>
      <c r="B999" s="14" t="str">
        <f>"06020"</f>
        <v>06020</v>
      </c>
      <c r="C999" s="14" t="str">
        <f>"1930"</f>
        <v>1930</v>
      </c>
      <c r="D999" s="14" t="str">
        <f>"35021"</f>
        <v>35021</v>
      </c>
      <c r="E999" s="14" t="s">
        <v>986</v>
      </c>
      <c r="F999" s="14" t="s">
        <v>417</v>
      </c>
      <c r="G999" s="14" t="str">
        <f>""</f>
        <v/>
      </c>
      <c r="H999" s="14" t="str">
        <f>" 10"</f>
        <v xml:space="preserve"> 10</v>
      </c>
      <c r="I999" s="14">
        <v>0.01</v>
      </c>
      <c r="J999" s="14">
        <v>500</v>
      </c>
      <c r="K999" s="14" t="s">
        <v>410</v>
      </c>
      <c r="L999" s="14" t="s">
        <v>411</v>
      </c>
      <c r="M999" s="14" t="s">
        <v>412</v>
      </c>
      <c r="N999" s="14" t="s">
        <v>413</v>
      </c>
      <c r="P999" s="14" t="s">
        <v>39</v>
      </c>
      <c r="Q999" s="14" t="s">
        <v>25</v>
      </c>
      <c r="R999" s="14" t="s">
        <v>410</v>
      </c>
    </row>
    <row r="1000" spans="1:18" s="14" customFormat="1" x14ac:dyDescent="0.25">
      <c r="A1000" s="14" t="str">
        <f>"35021"</f>
        <v>35021</v>
      </c>
      <c r="B1000" s="14" t="str">
        <f>"06020"</f>
        <v>06020</v>
      </c>
      <c r="C1000" s="14" t="str">
        <f>"1930"</f>
        <v>1930</v>
      </c>
      <c r="D1000" s="14" t="str">
        <f>"35021"</f>
        <v>35021</v>
      </c>
      <c r="E1000" s="14" t="s">
        <v>986</v>
      </c>
      <c r="F1000" s="14" t="s">
        <v>417</v>
      </c>
      <c r="G1000" s="14" t="str">
        <f>""</f>
        <v/>
      </c>
      <c r="H1000" s="14" t="str">
        <f>" 20"</f>
        <v xml:space="preserve"> 20</v>
      </c>
      <c r="I1000" s="14">
        <v>500.01</v>
      </c>
      <c r="J1000" s="14">
        <v>9999999.9900000002</v>
      </c>
      <c r="K1000" s="14" t="s">
        <v>414</v>
      </c>
      <c r="L1000" s="14" t="s">
        <v>411</v>
      </c>
      <c r="M1000" s="14" t="s">
        <v>412</v>
      </c>
      <c r="N1000" s="14" t="s">
        <v>418</v>
      </c>
      <c r="P1000" s="14" t="s">
        <v>39</v>
      </c>
      <c r="Q1000" s="14" t="s">
        <v>25</v>
      </c>
      <c r="R1000" s="14" t="s">
        <v>410</v>
      </c>
    </row>
    <row r="1001" spans="1:18" s="14" customFormat="1" x14ac:dyDescent="0.25">
      <c r="A1001" s="14" t="str">
        <f>"35025"</f>
        <v>35025</v>
      </c>
      <c r="B1001" s="14" t="str">
        <f>"01100"</f>
        <v>01100</v>
      </c>
      <c r="C1001" s="14" t="str">
        <f>"1930"</f>
        <v>1930</v>
      </c>
      <c r="D1001" s="14" t="str">
        <f>"35025"</f>
        <v>35025</v>
      </c>
      <c r="E1001" s="14" t="s">
        <v>987</v>
      </c>
      <c r="F1001" s="14" t="s">
        <v>725</v>
      </c>
      <c r="G1001" s="14" t="str">
        <f>""</f>
        <v/>
      </c>
      <c r="H1001" s="14" t="str">
        <f>" 10"</f>
        <v xml:space="preserve"> 10</v>
      </c>
      <c r="I1001" s="14">
        <v>0.01</v>
      </c>
      <c r="J1001" s="14">
        <v>500</v>
      </c>
      <c r="K1001" s="14" t="s">
        <v>727</v>
      </c>
      <c r="L1001" s="14" t="s">
        <v>55</v>
      </c>
      <c r="P1001" s="14" t="s">
        <v>31</v>
      </c>
      <c r="Q1001" s="14" t="s">
        <v>25</v>
      </c>
      <c r="R1001" s="14" t="s">
        <v>727</v>
      </c>
    </row>
    <row r="1002" spans="1:18" s="14" customFormat="1" x14ac:dyDescent="0.25">
      <c r="A1002" s="14" t="str">
        <f>"35025"</f>
        <v>35025</v>
      </c>
      <c r="B1002" s="14" t="str">
        <f>"01100"</f>
        <v>01100</v>
      </c>
      <c r="C1002" s="14" t="str">
        <f>"1930"</f>
        <v>1930</v>
      </c>
      <c r="D1002" s="14" t="str">
        <f>"35025"</f>
        <v>35025</v>
      </c>
      <c r="E1002" s="14" t="s">
        <v>987</v>
      </c>
      <c r="F1002" s="14" t="s">
        <v>725</v>
      </c>
      <c r="G1002" s="14" t="str">
        <f>""</f>
        <v/>
      </c>
      <c r="H1002" s="14" t="str">
        <f>" 20"</f>
        <v xml:space="preserve"> 20</v>
      </c>
      <c r="I1002" s="14">
        <v>500.01</v>
      </c>
      <c r="J1002" s="14">
        <v>9999999.9900000002</v>
      </c>
      <c r="K1002" s="14" t="s">
        <v>55</v>
      </c>
      <c r="L1002" s="14" t="s">
        <v>53</v>
      </c>
      <c r="M1002" s="14" t="s">
        <v>726</v>
      </c>
      <c r="P1002" s="14" t="s">
        <v>31</v>
      </c>
      <c r="Q1002" s="14" t="s">
        <v>25</v>
      </c>
      <c r="R1002" s="14" t="s">
        <v>727</v>
      </c>
    </row>
    <row r="1003" spans="1:18" s="14" customFormat="1" x14ac:dyDescent="0.25">
      <c r="A1003" s="14" t="str">
        <f>"35105"</f>
        <v>35105</v>
      </c>
      <c r="B1003" s="14" t="str">
        <f>"03140"</f>
        <v>03140</v>
      </c>
      <c r="C1003" s="14" t="str">
        <f>"1930"</f>
        <v>1930</v>
      </c>
      <c r="D1003" s="14" t="str">
        <f>"35105"</f>
        <v>35105</v>
      </c>
      <c r="E1003" s="14" t="s">
        <v>988</v>
      </c>
      <c r="F1003" s="14" t="s">
        <v>247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236</v>
      </c>
      <c r="L1003" s="14" t="s">
        <v>237</v>
      </c>
      <c r="M1003" s="14" t="s">
        <v>238</v>
      </c>
      <c r="P1003" s="14" t="s">
        <v>239</v>
      </c>
      <c r="Q1003" s="14" t="s">
        <v>25</v>
      </c>
      <c r="R1003" s="14" t="s">
        <v>1930</v>
      </c>
    </row>
    <row r="1004" spans="1:18" s="14" customFormat="1" x14ac:dyDescent="0.25">
      <c r="A1004" s="14" t="str">
        <f>"35115"</f>
        <v>35115</v>
      </c>
      <c r="B1004" s="14" t="str">
        <f>"03000"</f>
        <v>03000</v>
      </c>
      <c r="C1004" s="14" t="str">
        <f>"1930"</f>
        <v>1930</v>
      </c>
      <c r="D1004" s="14" t="str">
        <f>"35115"</f>
        <v>35115</v>
      </c>
      <c r="E1004" s="14" t="s">
        <v>989</v>
      </c>
      <c r="F1004" s="14" t="s">
        <v>217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34</v>
      </c>
      <c r="P1004" s="14" t="s">
        <v>31</v>
      </c>
      <c r="Q1004" s="14" t="s">
        <v>25</v>
      </c>
      <c r="R1004" s="14" t="s">
        <v>35</v>
      </c>
    </row>
    <row r="1005" spans="1:18" s="14" customFormat="1" x14ac:dyDescent="0.25">
      <c r="A1005" s="14" t="str">
        <f>"35135"</f>
        <v>35135</v>
      </c>
      <c r="B1005" s="14" t="str">
        <f>"03140"</f>
        <v>03140</v>
      </c>
      <c r="C1005" s="14" t="str">
        <f>"1930"</f>
        <v>1930</v>
      </c>
      <c r="D1005" s="14" t="str">
        <f>"35135"</f>
        <v>35135</v>
      </c>
      <c r="E1005" s="14" t="s">
        <v>990</v>
      </c>
      <c r="F1005" s="14" t="s">
        <v>247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236</v>
      </c>
      <c r="L1005" s="14" t="s">
        <v>237</v>
      </c>
      <c r="M1005" s="14" t="s">
        <v>238</v>
      </c>
      <c r="P1005" s="14" t="s">
        <v>239</v>
      </c>
      <c r="Q1005" s="14" t="s">
        <v>25</v>
      </c>
      <c r="R1005" s="14" t="s">
        <v>1930</v>
      </c>
    </row>
    <row r="1006" spans="1:18" s="14" customFormat="1" x14ac:dyDescent="0.25">
      <c r="A1006" s="14" t="str">
        <f>"35234"</f>
        <v>35234</v>
      </c>
      <c r="B1006" s="14" t="str">
        <f>"01900"</f>
        <v>01900</v>
      </c>
      <c r="C1006" s="14" t="str">
        <f>"1930"</f>
        <v>1930</v>
      </c>
      <c r="D1006" s="14" t="str">
        <f>"35234"</f>
        <v>35234</v>
      </c>
      <c r="E1006" s="14" t="s">
        <v>991</v>
      </c>
      <c r="F1006" s="14" t="s">
        <v>992</v>
      </c>
      <c r="G1006" s="14" t="str">
        <f>"GN0035234"</f>
        <v>GN0035234</v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112</v>
      </c>
      <c r="L1006" s="14" t="s">
        <v>113</v>
      </c>
      <c r="M1006" s="14" t="s">
        <v>114</v>
      </c>
      <c r="N1006" s="14" t="s">
        <v>993</v>
      </c>
      <c r="O1006" s="14" t="s">
        <v>112</v>
      </c>
      <c r="P1006" s="14" t="s">
        <v>31</v>
      </c>
      <c r="Q1006" s="14" t="s">
        <v>25</v>
      </c>
      <c r="R1006" s="14" t="s">
        <v>115</v>
      </c>
    </row>
    <row r="1007" spans="1:18" s="14" customFormat="1" x14ac:dyDescent="0.25">
      <c r="A1007" s="14" t="str">
        <f>"40002"</f>
        <v>40002</v>
      </c>
      <c r="B1007" s="14" t="str">
        <f>"03050"</f>
        <v>03050</v>
      </c>
      <c r="C1007" s="14" t="str">
        <f>"1400"</f>
        <v>1400</v>
      </c>
      <c r="D1007" s="14" t="str">
        <f>""</f>
        <v/>
      </c>
      <c r="E1007" s="14" t="s">
        <v>994</v>
      </c>
      <c r="F1007" s="14" t="s">
        <v>225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226</v>
      </c>
      <c r="P1007" s="14" t="s">
        <v>995</v>
      </c>
      <c r="Q1007" s="14" t="s">
        <v>995</v>
      </c>
      <c r="R1007" s="14" t="s">
        <v>995</v>
      </c>
    </row>
    <row r="1008" spans="1:18" s="14" customFormat="1" x14ac:dyDescent="0.25">
      <c r="A1008" s="14" t="str">
        <f>"42001"</f>
        <v>42001</v>
      </c>
      <c r="B1008" s="14" t="str">
        <f>"05160"</f>
        <v>05160</v>
      </c>
      <c r="C1008" s="14" t="str">
        <f>"1400"</f>
        <v>1400</v>
      </c>
      <c r="D1008" s="14" t="str">
        <f>""</f>
        <v/>
      </c>
      <c r="E1008" s="14" t="s">
        <v>996</v>
      </c>
      <c r="F1008" s="14" t="s">
        <v>406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318</v>
      </c>
      <c r="L1008" s="14" t="s">
        <v>319</v>
      </c>
      <c r="M1008" s="14" t="s">
        <v>90</v>
      </c>
      <c r="P1008" s="14" t="s">
        <v>260</v>
      </c>
      <c r="Q1008" s="14" t="s">
        <v>260</v>
      </c>
      <c r="R1008" s="14" t="s">
        <v>318</v>
      </c>
    </row>
    <row r="1009" spans="1:18" s="14" customFormat="1" x14ac:dyDescent="0.25">
      <c r="A1009" s="14" t="str">
        <f>"42002"</f>
        <v>42002</v>
      </c>
      <c r="B1009" s="14" t="str">
        <f>"05160"</f>
        <v>05160</v>
      </c>
      <c r="C1009" s="14" t="str">
        <f>"1400"</f>
        <v>1400</v>
      </c>
      <c r="D1009" s="14" t="str">
        <f>""</f>
        <v/>
      </c>
      <c r="E1009" s="14" t="s">
        <v>997</v>
      </c>
      <c r="F1009" s="14" t="s">
        <v>406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318</v>
      </c>
      <c r="L1009" s="14" t="s">
        <v>319</v>
      </c>
      <c r="M1009" s="14" t="s">
        <v>90</v>
      </c>
      <c r="P1009" s="14" t="s">
        <v>260</v>
      </c>
      <c r="Q1009" s="14" t="s">
        <v>260</v>
      </c>
      <c r="R1009" s="14" t="s">
        <v>318</v>
      </c>
    </row>
    <row r="1010" spans="1:18" s="14" customFormat="1" x14ac:dyDescent="0.25">
      <c r="A1010" s="14" t="str">
        <f>"42101"</f>
        <v>42101</v>
      </c>
      <c r="B1010" s="14" t="str">
        <f>"05160"</f>
        <v>05160</v>
      </c>
      <c r="C1010" s="14" t="str">
        <f>"1400"</f>
        <v>1400</v>
      </c>
      <c r="D1010" s="14" t="str">
        <f>""</f>
        <v/>
      </c>
      <c r="E1010" s="14" t="s">
        <v>998</v>
      </c>
      <c r="F1010" s="14" t="s">
        <v>406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318</v>
      </c>
      <c r="L1010" s="14" t="s">
        <v>319</v>
      </c>
      <c r="M1010" s="14" t="s">
        <v>90</v>
      </c>
      <c r="P1010" s="14" t="s">
        <v>260</v>
      </c>
      <c r="Q1010" s="14" t="s">
        <v>260</v>
      </c>
      <c r="R1010" s="14" t="s">
        <v>318</v>
      </c>
    </row>
    <row r="1011" spans="1:18" s="14" customFormat="1" x14ac:dyDescent="0.25">
      <c r="A1011" s="14" t="str">
        <f>"42103"</f>
        <v>42103</v>
      </c>
      <c r="B1011" s="14" t="str">
        <f>"05160"</f>
        <v>05160</v>
      </c>
      <c r="C1011" s="14" t="str">
        <f>"1400"</f>
        <v>1400</v>
      </c>
      <c r="D1011" s="14" t="str">
        <f>""</f>
        <v/>
      </c>
      <c r="E1011" s="14" t="s">
        <v>999</v>
      </c>
      <c r="F1011" s="14" t="s">
        <v>406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318</v>
      </c>
      <c r="L1011" s="14" t="s">
        <v>319</v>
      </c>
      <c r="M1011" s="14" t="s">
        <v>90</v>
      </c>
      <c r="P1011" s="14" t="s">
        <v>260</v>
      </c>
      <c r="Q1011" s="14" t="s">
        <v>260</v>
      </c>
      <c r="R1011" s="14" t="s">
        <v>318</v>
      </c>
    </row>
    <row r="1012" spans="1:18" s="14" customFormat="1" x14ac:dyDescent="0.25">
      <c r="A1012" s="14" t="str">
        <f>"42901"</f>
        <v>42901</v>
      </c>
      <c r="B1012" s="14" t="str">
        <f>"05160"</f>
        <v>05160</v>
      </c>
      <c r="C1012" s="14" t="str">
        <f>"1400"</f>
        <v>1400</v>
      </c>
      <c r="D1012" s="14" t="str">
        <f>""</f>
        <v/>
      </c>
      <c r="E1012" s="14" t="s">
        <v>1000</v>
      </c>
      <c r="F1012" s="14" t="s">
        <v>406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318</v>
      </c>
      <c r="L1012" s="14" t="s">
        <v>319</v>
      </c>
      <c r="M1012" s="14" t="s">
        <v>90</v>
      </c>
      <c r="P1012" s="14" t="s">
        <v>260</v>
      </c>
      <c r="Q1012" s="14" t="s">
        <v>260</v>
      </c>
      <c r="R1012" s="14" t="s">
        <v>318</v>
      </c>
    </row>
    <row r="1013" spans="1:18" s="14" customFormat="1" x14ac:dyDescent="0.25">
      <c r="A1013" s="14" t="str">
        <f>"83001"</f>
        <v>83001</v>
      </c>
      <c r="B1013" s="14" t="str">
        <f>"07010"</f>
        <v>07010</v>
      </c>
      <c r="C1013" s="14" t="str">
        <f>"1800"</f>
        <v>1800</v>
      </c>
      <c r="D1013" s="14" t="str">
        <f>""</f>
        <v/>
      </c>
      <c r="E1013" s="14" t="s">
        <v>1001</v>
      </c>
      <c r="F1013" s="14" t="s">
        <v>1002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228</v>
      </c>
      <c r="P1013" s="14" t="s">
        <v>260</v>
      </c>
      <c r="Q1013" s="14" t="s">
        <v>260</v>
      </c>
      <c r="R1013" s="14" t="s">
        <v>229</v>
      </c>
    </row>
    <row r="1014" spans="1:18" s="14" customFormat="1" x14ac:dyDescent="0.25">
      <c r="A1014" s="14" t="str">
        <f>"83003"</f>
        <v>83003</v>
      </c>
      <c r="B1014" s="14" t="str">
        <f>"07010"</f>
        <v>07010</v>
      </c>
      <c r="C1014" s="14" t="str">
        <f>"1800"</f>
        <v>1800</v>
      </c>
      <c r="D1014" s="14" t="str">
        <f>""</f>
        <v/>
      </c>
      <c r="E1014" s="14" t="s">
        <v>1003</v>
      </c>
      <c r="F1014" s="14" t="s">
        <v>1002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228</v>
      </c>
      <c r="P1014" s="14" t="s">
        <v>260</v>
      </c>
      <c r="Q1014" s="14" t="s">
        <v>260</v>
      </c>
      <c r="R1014" s="14" t="s">
        <v>229</v>
      </c>
    </row>
    <row r="1015" spans="1:18" s="14" customFormat="1" x14ac:dyDescent="0.25">
      <c r="A1015" s="14" t="str">
        <f>"83005"</f>
        <v>83005</v>
      </c>
      <c r="B1015" s="14" t="str">
        <f>"07010"</f>
        <v>07010</v>
      </c>
      <c r="C1015" s="14" t="str">
        <f>"1800"</f>
        <v>1800</v>
      </c>
      <c r="D1015" s="14" t="str">
        <f>""</f>
        <v/>
      </c>
      <c r="E1015" s="14" t="s">
        <v>1004</v>
      </c>
      <c r="F1015" s="14" t="s">
        <v>1002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228</v>
      </c>
      <c r="P1015" s="14" t="s">
        <v>260</v>
      </c>
      <c r="Q1015" s="14" t="s">
        <v>260</v>
      </c>
      <c r="R1015" s="14" t="s">
        <v>229</v>
      </c>
    </row>
    <row r="1016" spans="1:18" s="14" customFormat="1" x14ac:dyDescent="0.25">
      <c r="A1016" s="14" t="str">
        <f>"83006"</f>
        <v>83006</v>
      </c>
      <c r="B1016" s="14" t="str">
        <f>"07010"</f>
        <v>07010</v>
      </c>
      <c r="C1016" s="14" t="str">
        <f>"1800"</f>
        <v>1800</v>
      </c>
      <c r="D1016" s="14" t="str">
        <f>""</f>
        <v/>
      </c>
      <c r="E1016" s="14" t="s">
        <v>1005</v>
      </c>
      <c r="F1016" s="14" t="s">
        <v>1002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228</v>
      </c>
      <c r="P1016" s="14" t="s">
        <v>260</v>
      </c>
      <c r="Q1016" s="14" t="s">
        <v>260</v>
      </c>
      <c r="R1016" s="14" t="s">
        <v>229</v>
      </c>
    </row>
    <row r="1017" spans="1:18" s="14" customFormat="1" x14ac:dyDescent="0.25">
      <c r="A1017" s="14" t="str">
        <f>"83007"</f>
        <v>83007</v>
      </c>
      <c r="B1017" s="14" t="str">
        <f>"07010"</f>
        <v>07010</v>
      </c>
      <c r="C1017" s="14" t="str">
        <f>"1800"</f>
        <v>1800</v>
      </c>
      <c r="D1017" s="14" t="str">
        <f>""</f>
        <v/>
      </c>
      <c r="E1017" s="14" t="s">
        <v>1006</v>
      </c>
      <c r="F1017" s="14" t="s">
        <v>1002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228</v>
      </c>
      <c r="P1017" s="14" t="s">
        <v>260</v>
      </c>
      <c r="Q1017" s="14" t="s">
        <v>260</v>
      </c>
      <c r="R1017" s="14" t="s">
        <v>229</v>
      </c>
    </row>
    <row r="1018" spans="1:18" s="14" customFormat="1" x14ac:dyDescent="0.25">
      <c r="A1018" s="14" t="str">
        <f>"83013"</f>
        <v>83013</v>
      </c>
      <c r="B1018" s="14" t="str">
        <f>"07010"</f>
        <v>07010</v>
      </c>
      <c r="C1018" s="14" t="str">
        <f>"1800"</f>
        <v>1800</v>
      </c>
      <c r="D1018" s="14" t="str">
        <f>""</f>
        <v/>
      </c>
      <c r="E1018" s="14" t="s">
        <v>1007</v>
      </c>
      <c r="F1018" s="14" t="s">
        <v>1002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228</v>
      </c>
      <c r="P1018" s="14" t="s">
        <v>260</v>
      </c>
      <c r="Q1018" s="14" t="s">
        <v>260</v>
      </c>
      <c r="R1018" s="14" t="s">
        <v>229</v>
      </c>
    </row>
    <row r="1019" spans="1:18" s="14" customFormat="1" x14ac:dyDescent="0.25">
      <c r="A1019" s="14" t="str">
        <f>"83014"</f>
        <v>83014</v>
      </c>
      <c r="B1019" s="14" t="str">
        <f>"07010"</f>
        <v>07010</v>
      </c>
      <c r="C1019" s="14" t="str">
        <f>"1800"</f>
        <v>1800</v>
      </c>
      <c r="D1019" s="14" t="str">
        <f>""</f>
        <v/>
      </c>
      <c r="E1019" s="14" t="s">
        <v>1008</v>
      </c>
      <c r="F1019" s="14" t="s">
        <v>1002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228</v>
      </c>
      <c r="P1019" s="14" t="s">
        <v>260</v>
      </c>
      <c r="Q1019" s="14" t="s">
        <v>260</v>
      </c>
      <c r="R1019" s="14" t="s">
        <v>229</v>
      </c>
    </row>
    <row r="1020" spans="1:18" s="14" customFormat="1" x14ac:dyDescent="0.25">
      <c r="A1020" s="14" t="str">
        <f>"83015"</f>
        <v>83015</v>
      </c>
      <c r="B1020" s="14" t="str">
        <f>"07010"</f>
        <v>07010</v>
      </c>
      <c r="C1020" s="14" t="str">
        <f>"1800"</f>
        <v>1800</v>
      </c>
      <c r="D1020" s="14" t="str">
        <f>""</f>
        <v/>
      </c>
      <c r="E1020" s="14" t="s">
        <v>1009</v>
      </c>
      <c r="F1020" s="14" t="s">
        <v>1002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228</v>
      </c>
      <c r="P1020" s="14" t="s">
        <v>260</v>
      </c>
      <c r="Q1020" s="14" t="s">
        <v>260</v>
      </c>
      <c r="R1020" s="14" t="s">
        <v>229</v>
      </c>
    </row>
    <row r="1021" spans="1:18" s="14" customFormat="1" x14ac:dyDescent="0.25">
      <c r="A1021" s="14" t="str">
        <f>"83016"</f>
        <v>83016</v>
      </c>
      <c r="B1021" s="14" t="str">
        <f>"07010"</f>
        <v>07010</v>
      </c>
      <c r="C1021" s="14" t="str">
        <f>"1800"</f>
        <v>1800</v>
      </c>
      <c r="D1021" s="14" t="str">
        <f>""</f>
        <v/>
      </c>
      <c r="E1021" s="14" t="s">
        <v>1010</v>
      </c>
      <c r="F1021" s="14" t="s">
        <v>1002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228</v>
      </c>
      <c r="P1021" s="14" t="s">
        <v>260</v>
      </c>
      <c r="Q1021" s="14" t="s">
        <v>260</v>
      </c>
      <c r="R1021" s="14" t="s">
        <v>229</v>
      </c>
    </row>
    <row r="1022" spans="1:18" s="14" customFormat="1" x14ac:dyDescent="0.25">
      <c r="A1022" s="14" t="str">
        <f>"83017"</f>
        <v>83017</v>
      </c>
      <c r="B1022" s="14" t="str">
        <f>"07010"</f>
        <v>07010</v>
      </c>
      <c r="C1022" s="14" t="str">
        <f>"1800"</f>
        <v>1800</v>
      </c>
      <c r="D1022" s="14" t="str">
        <f>""</f>
        <v/>
      </c>
      <c r="E1022" s="14" t="s">
        <v>1011</v>
      </c>
      <c r="F1022" s="14" t="s">
        <v>1002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228</v>
      </c>
      <c r="P1022" s="14" t="s">
        <v>260</v>
      </c>
      <c r="Q1022" s="14" t="s">
        <v>260</v>
      </c>
      <c r="R1022" s="14" t="s">
        <v>229</v>
      </c>
    </row>
    <row r="1023" spans="1:18" s="14" customFormat="1" x14ac:dyDescent="0.25">
      <c r="A1023" s="14" t="str">
        <f>"83019"</f>
        <v>83019</v>
      </c>
      <c r="B1023" s="14" t="str">
        <f>"07010"</f>
        <v>07010</v>
      </c>
      <c r="C1023" s="14" t="str">
        <f>"1800"</f>
        <v>1800</v>
      </c>
      <c r="D1023" s="14" t="str">
        <f>""</f>
        <v/>
      </c>
      <c r="E1023" s="14" t="s">
        <v>1012</v>
      </c>
      <c r="F1023" s="14" t="s">
        <v>1002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228</v>
      </c>
      <c r="P1023" s="14" t="s">
        <v>260</v>
      </c>
      <c r="Q1023" s="14" t="s">
        <v>260</v>
      </c>
      <c r="R1023" s="14" t="s">
        <v>229</v>
      </c>
    </row>
    <row r="1024" spans="1:18" s="14" customFormat="1" x14ac:dyDescent="0.25">
      <c r="A1024" s="14" t="str">
        <f>"83020"</f>
        <v>83020</v>
      </c>
      <c r="B1024" s="14" t="str">
        <f>"07010"</f>
        <v>07010</v>
      </c>
      <c r="C1024" s="14" t="str">
        <f>"1800"</f>
        <v>1800</v>
      </c>
      <c r="D1024" s="14" t="str">
        <f>""</f>
        <v/>
      </c>
      <c r="E1024" s="14" t="s">
        <v>1013</v>
      </c>
      <c r="F1024" s="14" t="s">
        <v>1002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228</v>
      </c>
      <c r="P1024" s="14" t="s">
        <v>260</v>
      </c>
      <c r="Q1024" s="14" t="s">
        <v>260</v>
      </c>
      <c r="R1024" s="14" t="s">
        <v>229</v>
      </c>
    </row>
    <row r="1025" spans="1:18" s="14" customFormat="1" x14ac:dyDescent="0.25">
      <c r="A1025" s="14" t="str">
        <f>"83021"</f>
        <v>83021</v>
      </c>
      <c r="B1025" s="14" t="str">
        <f>"07010"</f>
        <v>07010</v>
      </c>
      <c r="C1025" s="14" t="str">
        <f>"1800"</f>
        <v>1800</v>
      </c>
      <c r="D1025" s="14" t="str">
        <f>""</f>
        <v/>
      </c>
      <c r="E1025" s="14" t="s">
        <v>1014</v>
      </c>
      <c r="F1025" s="14" t="s">
        <v>1002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228</v>
      </c>
      <c r="P1025" s="14" t="s">
        <v>260</v>
      </c>
      <c r="Q1025" s="14" t="s">
        <v>260</v>
      </c>
      <c r="R1025" s="14" t="s">
        <v>229</v>
      </c>
    </row>
    <row r="1026" spans="1:18" s="14" customFormat="1" x14ac:dyDescent="0.25">
      <c r="A1026" s="14" t="str">
        <f>"83023"</f>
        <v>83023</v>
      </c>
      <c r="B1026" s="14" t="str">
        <f>"07010"</f>
        <v>07010</v>
      </c>
      <c r="C1026" s="14" t="str">
        <f>"1800"</f>
        <v>1800</v>
      </c>
      <c r="D1026" s="14" t="str">
        <f>""</f>
        <v/>
      </c>
      <c r="E1026" s="14" t="s">
        <v>1015</v>
      </c>
      <c r="F1026" s="14" t="s">
        <v>1002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228</v>
      </c>
      <c r="P1026" s="14" t="s">
        <v>260</v>
      </c>
      <c r="Q1026" s="14" t="s">
        <v>260</v>
      </c>
      <c r="R1026" s="14" t="s">
        <v>229</v>
      </c>
    </row>
    <row r="1027" spans="1:18" s="14" customFormat="1" x14ac:dyDescent="0.25">
      <c r="A1027" s="14" t="str">
        <f>"83025"</f>
        <v>83025</v>
      </c>
      <c r="B1027" s="14" t="str">
        <f>"07010"</f>
        <v>07010</v>
      </c>
      <c r="C1027" s="14" t="str">
        <f>"1800"</f>
        <v>1800</v>
      </c>
      <c r="D1027" s="14" t="str">
        <f>""</f>
        <v/>
      </c>
      <c r="E1027" s="14" t="s">
        <v>1016</v>
      </c>
      <c r="F1027" s="14" t="s">
        <v>1002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228</v>
      </c>
      <c r="P1027" s="14" t="s">
        <v>260</v>
      </c>
      <c r="Q1027" s="14" t="s">
        <v>260</v>
      </c>
      <c r="R1027" s="14" t="s">
        <v>229</v>
      </c>
    </row>
    <row r="1028" spans="1:18" s="14" customFormat="1" x14ac:dyDescent="0.25">
      <c r="A1028" s="14" t="str">
        <f>"83026"</f>
        <v>83026</v>
      </c>
      <c r="B1028" s="14" t="str">
        <f>"07010"</f>
        <v>07010</v>
      </c>
      <c r="C1028" s="14" t="str">
        <f>"1800"</f>
        <v>1800</v>
      </c>
      <c r="D1028" s="14" t="str">
        <f>""</f>
        <v/>
      </c>
      <c r="E1028" s="14" t="s">
        <v>1017</v>
      </c>
      <c r="F1028" s="14" t="s">
        <v>1002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228</v>
      </c>
      <c r="P1028" s="14" t="s">
        <v>260</v>
      </c>
      <c r="Q1028" s="14" t="s">
        <v>260</v>
      </c>
      <c r="R1028" s="14" t="s">
        <v>229</v>
      </c>
    </row>
    <row r="1029" spans="1:18" s="14" customFormat="1" x14ac:dyDescent="0.25">
      <c r="A1029" s="14" t="str">
        <f>"83027"</f>
        <v>83027</v>
      </c>
      <c r="B1029" s="14" t="str">
        <f>"07010"</f>
        <v>07010</v>
      </c>
      <c r="C1029" s="14" t="str">
        <f>"1800"</f>
        <v>1800</v>
      </c>
      <c r="D1029" s="14" t="str">
        <f>""</f>
        <v/>
      </c>
      <c r="E1029" s="14" t="s">
        <v>1018</v>
      </c>
      <c r="F1029" s="14" t="s">
        <v>1002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228</v>
      </c>
      <c r="P1029" s="14" t="s">
        <v>260</v>
      </c>
      <c r="Q1029" s="14" t="s">
        <v>260</v>
      </c>
      <c r="R1029" s="14" t="s">
        <v>229</v>
      </c>
    </row>
    <row r="1030" spans="1:18" s="14" customFormat="1" x14ac:dyDescent="0.25">
      <c r="A1030" s="14" t="str">
        <f>"83031"</f>
        <v>83031</v>
      </c>
      <c r="B1030" s="14" t="str">
        <f>"07010"</f>
        <v>07010</v>
      </c>
      <c r="C1030" s="14" t="str">
        <f>"1800"</f>
        <v>1800</v>
      </c>
      <c r="D1030" s="14" t="str">
        <f>""</f>
        <v/>
      </c>
      <c r="E1030" s="14" t="s">
        <v>1019</v>
      </c>
      <c r="F1030" s="14" t="s">
        <v>1002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228</v>
      </c>
      <c r="P1030" s="14" t="s">
        <v>260</v>
      </c>
      <c r="Q1030" s="14" t="s">
        <v>260</v>
      </c>
      <c r="R1030" s="14" t="s">
        <v>229</v>
      </c>
    </row>
    <row r="1031" spans="1:18" s="14" customFormat="1" x14ac:dyDescent="0.25">
      <c r="A1031" s="14" t="str">
        <f>"83032"</f>
        <v>83032</v>
      </c>
      <c r="B1031" s="14" t="str">
        <f>"07010"</f>
        <v>07010</v>
      </c>
      <c r="C1031" s="14" t="str">
        <f>"1800"</f>
        <v>1800</v>
      </c>
      <c r="D1031" s="14" t="str">
        <f>""</f>
        <v/>
      </c>
      <c r="E1031" s="14" t="s">
        <v>1020</v>
      </c>
      <c r="F1031" s="14" t="s">
        <v>1002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228</v>
      </c>
      <c r="P1031" s="14" t="s">
        <v>260</v>
      </c>
      <c r="Q1031" s="14" t="s">
        <v>260</v>
      </c>
      <c r="R1031" s="14" t="s">
        <v>229</v>
      </c>
    </row>
    <row r="1032" spans="1:18" s="14" customFormat="1" x14ac:dyDescent="0.25">
      <c r="A1032" s="14" t="str">
        <f>"83034"</f>
        <v>83034</v>
      </c>
      <c r="B1032" s="14" t="str">
        <f>"07010"</f>
        <v>07010</v>
      </c>
      <c r="C1032" s="14" t="str">
        <f>"1800"</f>
        <v>1800</v>
      </c>
      <c r="D1032" s="14" t="str">
        <f>""</f>
        <v/>
      </c>
      <c r="E1032" s="14" t="s">
        <v>1021</v>
      </c>
      <c r="F1032" s="14" t="s">
        <v>1002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228</v>
      </c>
      <c r="P1032" s="14" t="s">
        <v>260</v>
      </c>
      <c r="Q1032" s="14" t="s">
        <v>260</v>
      </c>
      <c r="R1032" s="14" t="s">
        <v>229</v>
      </c>
    </row>
    <row r="1033" spans="1:18" s="14" customFormat="1" x14ac:dyDescent="0.25">
      <c r="A1033" s="14" t="str">
        <f>"83035"</f>
        <v>83035</v>
      </c>
      <c r="B1033" s="14" t="str">
        <f>"07010"</f>
        <v>07010</v>
      </c>
      <c r="C1033" s="14" t="str">
        <f>"1800"</f>
        <v>1800</v>
      </c>
      <c r="D1033" s="14" t="str">
        <f>""</f>
        <v/>
      </c>
      <c r="E1033" s="14" t="s">
        <v>1022</v>
      </c>
      <c r="F1033" s="14" t="s">
        <v>1002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228</v>
      </c>
      <c r="P1033" s="14" t="s">
        <v>260</v>
      </c>
      <c r="Q1033" s="14" t="s">
        <v>260</v>
      </c>
      <c r="R1033" s="14" t="s">
        <v>229</v>
      </c>
    </row>
    <row r="1034" spans="1:18" s="14" customFormat="1" x14ac:dyDescent="0.25">
      <c r="A1034" s="14" t="str">
        <f>"83036"</f>
        <v>83036</v>
      </c>
      <c r="B1034" s="14" t="str">
        <f>"07010"</f>
        <v>07010</v>
      </c>
      <c r="C1034" s="14" t="str">
        <f>"1800"</f>
        <v>1800</v>
      </c>
      <c r="D1034" s="14" t="str">
        <f>""</f>
        <v/>
      </c>
      <c r="E1034" s="14" t="s">
        <v>1023</v>
      </c>
      <c r="F1034" s="14" t="s">
        <v>1002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228</v>
      </c>
      <c r="P1034" s="14" t="s">
        <v>260</v>
      </c>
      <c r="Q1034" s="14" t="s">
        <v>260</v>
      </c>
      <c r="R1034" s="14" t="s">
        <v>229</v>
      </c>
    </row>
    <row r="1035" spans="1:18" s="14" customFormat="1" x14ac:dyDescent="0.25">
      <c r="A1035" s="14" t="str">
        <f>"83042"</f>
        <v>83042</v>
      </c>
      <c r="B1035" s="14" t="str">
        <f>"07010"</f>
        <v>07010</v>
      </c>
      <c r="C1035" s="14" t="str">
        <f>"1800"</f>
        <v>1800</v>
      </c>
      <c r="D1035" s="14" t="str">
        <f>""</f>
        <v/>
      </c>
      <c r="E1035" s="14" t="s">
        <v>1024</v>
      </c>
      <c r="F1035" s="14" t="s">
        <v>1002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228</v>
      </c>
      <c r="P1035" s="14" t="s">
        <v>260</v>
      </c>
      <c r="Q1035" s="14" t="s">
        <v>260</v>
      </c>
      <c r="R1035" s="14" t="s">
        <v>229</v>
      </c>
    </row>
    <row r="1036" spans="1:18" s="14" customFormat="1" x14ac:dyDescent="0.25">
      <c r="A1036" s="14" t="str">
        <f>"83050"</f>
        <v>83050</v>
      </c>
      <c r="B1036" s="14" t="str">
        <f>"07010"</f>
        <v>07010</v>
      </c>
      <c r="C1036" s="14" t="str">
        <f>"1800"</f>
        <v>1800</v>
      </c>
      <c r="D1036" s="14" t="str">
        <f>""</f>
        <v/>
      </c>
      <c r="E1036" s="14" t="s">
        <v>1025</v>
      </c>
      <c r="F1036" s="14" t="s">
        <v>1002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228</v>
      </c>
      <c r="P1036" s="14" t="s">
        <v>260</v>
      </c>
      <c r="Q1036" s="14" t="s">
        <v>260</v>
      </c>
      <c r="R1036" s="14" t="s">
        <v>229</v>
      </c>
    </row>
    <row r="1037" spans="1:18" s="14" customFormat="1" x14ac:dyDescent="0.25">
      <c r="A1037" s="14" t="str">
        <f>"83051"</f>
        <v>83051</v>
      </c>
      <c r="B1037" s="14" t="str">
        <f>"07010"</f>
        <v>07010</v>
      </c>
      <c r="C1037" s="14" t="str">
        <f>"1800"</f>
        <v>1800</v>
      </c>
      <c r="D1037" s="14" t="str">
        <f>""</f>
        <v/>
      </c>
      <c r="E1037" s="14" t="s">
        <v>1026</v>
      </c>
      <c r="F1037" s="14" t="s">
        <v>1002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228</v>
      </c>
      <c r="P1037" s="14" t="s">
        <v>260</v>
      </c>
      <c r="Q1037" s="14" t="s">
        <v>260</v>
      </c>
      <c r="R1037" s="14" t="s">
        <v>229</v>
      </c>
    </row>
    <row r="1038" spans="1:18" s="14" customFormat="1" x14ac:dyDescent="0.25">
      <c r="A1038" s="14" t="str">
        <f>"83054"</f>
        <v>83054</v>
      </c>
      <c r="B1038" s="14" t="str">
        <f>"07010"</f>
        <v>07010</v>
      </c>
      <c r="C1038" s="14" t="str">
        <f>"1800"</f>
        <v>1800</v>
      </c>
      <c r="D1038" s="14" t="str">
        <f>""</f>
        <v/>
      </c>
      <c r="E1038" s="14" t="s">
        <v>1027</v>
      </c>
      <c r="F1038" s="14" t="s">
        <v>1002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228</v>
      </c>
      <c r="P1038" s="14" t="s">
        <v>260</v>
      </c>
      <c r="Q1038" s="14" t="s">
        <v>260</v>
      </c>
      <c r="R1038" s="14" t="s">
        <v>229</v>
      </c>
    </row>
    <row r="1039" spans="1:18" s="14" customFormat="1" x14ac:dyDescent="0.25">
      <c r="A1039" s="14" t="str">
        <f>"83058"</f>
        <v>83058</v>
      </c>
      <c r="B1039" s="14" t="str">
        <f>"07010"</f>
        <v>07010</v>
      </c>
      <c r="C1039" s="14" t="str">
        <f>"1800"</f>
        <v>1800</v>
      </c>
      <c r="D1039" s="14" t="str">
        <f>""</f>
        <v/>
      </c>
      <c r="E1039" s="14" t="s">
        <v>1028</v>
      </c>
      <c r="F1039" s="14" t="s">
        <v>1002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228</v>
      </c>
      <c r="P1039" s="14" t="s">
        <v>260</v>
      </c>
      <c r="Q1039" s="14" t="s">
        <v>260</v>
      </c>
      <c r="R1039" s="14" t="s">
        <v>229</v>
      </c>
    </row>
    <row r="1040" spans="1:18" s="14" customFormat="1" x14ac:dyDescent="0.25">
      <c r="A1040" s="14" t="str">
        <f>"83060"</f>
        <v>83060</v>
      </c>
      <c r="B1040" s="14" t="str">
        <f>"07010"</f>
        <v>07010</v>
      </c>
      <c r="C1040" s="14" t="str">
        <f>"1800"</f>
        <v>1800</v>
      </c>
      <c r="D1040" s="14" t="str">
        <f>""</f>
        <v/>
      </c>
      <c r="E1040" s="14" t="s">
        <v>1029</v>
      </c>
      <c r="F1040" s="14" t="s">
        <v>1002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228</v>
      </c>
      <c r="P1040" s="14" t="s">
        <v>260</v>
      </c>
      <c r="Q1040" s="14" t="s">
        <v>260</v>
      </c>
      <c r="R1040" s="14" t="s">
        <v>229</v>
      </c>
    </row>
    <row r="1041" spans="1:18" s="14" customFormat="1" x14ac:dyDescent="0.25">
      <c r="A1041" s="14" t="str">
        <f>"83061"</f>
        <v>83061</v>
      </c>
      <c r="B1041" s="14" t="str">
        <f>"07010"</f>
        <v>07010</v>
      </c>
      <c r="C1041" s="14" t="str">
        <f>"1800"</f>
        <v>1800</v>
      </c>
      <c r="D1041" s="14" t="str">
        <f>""</f>
        <v/>
      </c>
      <c r="E1041" s="14" t="s">
        <v>1030</v>
      </c>
      <c r="F1041" s="14" t="s">
        <v>1002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228</v>
      </c>
      <c r="P1041" s="14" t="s">
        <v>260</v>
      </c>
      <c r="Q1041" s="14" t="s">
        <v>260</v>
      </c>
      <c r="R1041" s="14" t="s">
        <v>229</v>
      </c>
    </row>
    <row r="1042" spans="1:18" s="14" customFormat="1" x14ac:dyDescent="0.25">
      <c r="A1042" s="14" t="str">
        <f>"83062"</f>
        <v>83062</v>
      </c>
      <c r="B1042" s="14" t="str">
        <f>"07010"</f>
        <v>07010</v>
      </c>
      <c r="C1042" s="14" t="str">
        <f>"1800"</f>
        <v>1800</v>
      </c>
      <c r="D1042" s="14" t="str">
        <f>""</f>
        <v/>
      </c>
      <c r="E1042" s="14" t="s">
        <v>1031</v>
      </c>
      <c r="F1042" s="14" t="s">
        <v>1002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228</v>
      </c>
      <c r="P1042" s="14" t="s">
        <v>260</v>
      </c>
      <c r="Q1042" s="14" t="s">
        <v>260</v>
      </c>
      <c r="R1042" s="14" t="s">
        <v>229</v>
      </c>
    </row>
    <row r="1043" spans="1:18" s="14" customFormat="1" x14ac:dyDescent="0.25">
      <c r="A1043" s="14" t="str">
        <f>"83063"</f>
        <v>83063</v>
      </c>
      <c r="B1043" s="14" t="str">
        <f>"07010"</f>
        <v>07010</v>
      </c>
      <c r="C1043" s="14" t="str">
        <f>"1800"</f>
        <v>1800</v>
      </c>
      <c r="D1043" s="14" t="str">
        <f>""</f>
        <v/>
      </c>
      <c r="E1043" s="14" t="s">
        <v>1032</v>
      </c>
      <c r="F1043" s="14" t="s">
        <v>1002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228</v>
      </c>
      <c r="P1043" s="14" t="s">
        <v>260</v>
      </c>
      <c r="Q1043" s="14" t="s">
        <v>260</v>
      </c>
      <c r="R1043" s="14" t="s">
        <v>229</v>
      </c>
    </row>
    <row r="1044" spans="1:18" s="14" customFormat="1" x14ac:dyDescent="0.25">
      <c r="A1044" s="14" t="str">
        <f>"83068"</f>
        <v>83068</v>
      </c>
      <c r="B1044" s="14" t="str">
        <f>"07010"</f>
        <v>07010</v>
      </c>
      <c r="C1044" s="14" t="str">
        <f>"1800"</f>
        <v>1800</v>
      </c>
      <c r="D1044" s="14" t="str">
        <f>""</f>
        <v/>
      </c>
      <c r="E1044" s="14" t="s">
        <v>1033</v>
      </c>
      <c r="F1044" s="14" t="s">
        <v>1002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228</v>
      </c>
      <c r="P1044" s="14" t="s">
        <v>260</v>
      </c>
      <c r="Q1044" s="14" t="s">
        <v>260</v>
      </c>
      <c r="R1044" s="14" t="s">
        <v>229</v>
      </c>
    </row>
    <row r="1045" spans="1:18" s="14" customFormat="1" x14ac:dyDescent="0.25">
      <c r="A1045" s="14" t="str">
        <f>"83071"</f>
        <v>83071</v>
      </c>
      <c r="B1045" s="14" t="str">
        <f>"07010"</f>
        <v>07010</v>
      </c>
      <c r="C1045" s="14" t="str">
        <f>"1800"</f>
        <v>1800</v>
      </c>
      <c r="D1045" s="14" t="str">
        <f>""</f>
        <v/>
      </c>
      <c r="E1045" s="14" t="s">
        <v>1034</v>
      </c>
      <c r="F1045" s="14" t="s">
        <v>1002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228</v>
      </c>
      <c r="P1045" s="14" t="s">
        <v>260</v>
      </c>
      <c r="Q1045" s="14" t="s">
        <v>260</v>
      </c>
      <c r="R1045" s="14" t="s">
        <v>229</v>
      </c>
    </row>
    <row r="1046" spans="1:18" s="14" customFormat="1" x14ac:dyDescent="0.25">
      <c r="A1046" s="14" t="str">
        <f>"83073"</f>
        <v>83073</v>
      </c>
      <c r="B1046" s="14" t="str">
        <f>"07010"</f>
        <v>07010</v>
      </c>
      <c r="C1046" s="14" t="str">
        <f>"1800"</f>
        <v>1800</v>
      </c>
      <c r="D1046" s="14" t="str">
        <f>""</f>
        <v/>
      </c>
      <c r="E1046" s="14" t="s">
        <v>1035</v>
      </c>
      <c r="F1046" s="14" t="s">
        <v>1002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228</v>
      </c>
      <c r="P1046" s="14" t="s">
        <v>260</v>
      </c>
      <c r="Q1046" s="14" t="s">
        <v>260</v>
      </c>
      <c r="R1046" s="14" t="s">
        <v>229</v>
      </c>
    </row>
    <row r="1047" spans="1:18" s="14" customFormat="1" x14ac:dyDescent="0.25">
      <c r="A1047" s="14" t="str">
        <f>"83075"</f>
        <v>83075</v>
      </c>
      <c r="B1047" s="14" t="str">
        <f>"07010"</f>
        <v>07010</v>
      </c>
      <c r="C1047" s="14" t="str">
        <f>"1800"</f>
        <v>1800</v>
      </c>
      <c r="D1047" s="14" t="str">
        <f>""</f>
        <v/>
      </c>
      <c r="E1047" s="14" t="s">
        <v>1036</v>
      </c>
      <c r="F1047" s="14" t="s">
        <v>1002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228</v>
      </c>
      <c r="P1047" s="14" t="s">
        <v>260</v>
      </c>
      <c r="Q1047" s="14" t="s">
        <v>260</v>
      </c>
      <c r="R1047" s="14" t="s">
        <v>229</v>
      </c>
    </row>
    <row r="1048" spans="1:18" s="14" customFormat="1" x14ac:dyDescent="0.25">
      <c r="A1048" s="14" t="str">
        <f>"83076"</f>
        <v>83076</v>
      </c>
      <c r="B1048" s="14" t="str">
        <f>"07010"</f>
        <v>07010</v>
      </c>
      <c r="C1048" s="14" t="str">
        <f>"1800"</f>
        <v>1800</v>
      </c>
      <c r="D1048" s="14" t="str">
        <f>""</f>
        <v/>
      </c>
      <c r="E1048" s="14" t="s">
        <v>1037</v>
      </c>
      <c r="F1048" s="14" t="s">
        <v>1002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228</v>
      </c>
      <c r="P1048" s="14" t="s">
        <v>260</v>
      </c>
      <c r="Q1048" s="14" t="s">
        <v>260</v>
      </c>
      <c r="R1048" s="14" t="s">
        <v>229</v>
      </c>
    </row>
    <row r="1049" spans="1:18" s="14" customFormat="1" x14ac:dyDescent="0.25">
      <c r="A1049" s="14" t="str">
        <f>"83079"</f>
        <v>83079</v>
      </c>
      <c r="B1049" s="14" t="str">
        <f>"07010"</f>
        <v>07010</v>
      </c>
      <c r="C1049" s="14" t="str">
        <f>"1800"</f>
        <v>1800</v>
      </c>
      <c r="D1049" s="14" t="str">
        <f>""</f>
        <v/>
      </c>
      <c r="E1049" s="14" t="s">
        <v>1038</v>
      </c>
      <c r="F1049" s="14" t="s">
        <v>1002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228</v>
      </c>
      <c r="P1049" s="14" t="s">
        <v>260</v>
      </c>
      <c r="Q1049" s="14" t="s">
        <v>260</v>
      </c>
      <c r="R1049" s="14" t="s">
        <v>229</v>
      </c>
    </row>
    <row r="1050" spans="1:18" s="14" customFormat="1" x14ac:dyDescent="0.25">
      <c r="A1050" s="14" t="str">
        <f>"83080"</f>
        <v>83080</v>
      </c>
      <c r="B1050" s="14" t="str">
        <f>"07010"</f>
        <v>07010</v>
      </c>
      <c r="C1050" s="14" t="str">
        <f>"1800"</f>
        <v>1800</v>
      </c>
      <c r="D1050" s="14" t="str">
        <f>""</f>
        <v/>
      </c>
      <c r="E1050" s="14" t="s">
        <v>1039</v>
      </c>
      <c r="F1050" s="14" t="s">
        <v>1002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228</v>
      </c>
      <c r="P1050" s="14" t="s">
        <v>260</v>
      </c>
      <c r="Q1050" s="14" t="s">
        <v>260</v>
      </c>
      <c r="R1050" s="14" t="s">
        <v>229</v>
      </c>
    </row>
    <row r="1051" spans="1:18" s="14" customFormat="1" x14ac:dyDescent="0.25">
      <c r="A1051" s="14" t="str">
        <f>"83081"</f>
        <v>83081</v>
      </c>
      <c r="B1051" s="14" t="str">
        <f>"07010"</f>
        <v>07010</v>
      </c>
      <c r="C1051" s="14" t="str">
        <f>"1800"</f>
        <v>1800</v>
      </c>
      <c r="D1051" s="14" t="str">
        <f>""</f>
        <v/>
      </c>
      <c r="E1051" s="14" t="s">
        <v>1040</v>
      </c>
      <c r="F1051" s="14" t="s">
        <v>1002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228</v>
      </c>
      <c r="P1051" s="14" t="s">
        <v>260</v>
      </c>
      <c r="Q1051" s="14" t="s">
        <v>260</v>
      </c>
      <c r="R1051" s="14" t="s">
        <v>229</v>
      </c>
    </row>
    <row r="1052" spans="1:18" s="14" customFormat="1" x14ac:dyDescent="0.25">
      <c r="A1052" s="14" t="str">
        <f>"83082"</f>
        <v>83082</v>
      </c>
      <c r="B1052" s="14" t="str">
        <f>"07010"</f>
        <v>07010</v>
      </c>
      <c r="C1052" s="14" t="str">
        <f>"1800"</f>
        <v>1800</v>
      </c>
      <c r="D1052" s="14" t="str">
        <f>""</f>
        <v/>
      </c>
      <c r="E1052" s="14" t="s">
        <v>1041</v>
      </c>
      <c r="F1052" s="14" t="s">
        <v>1002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228</v>
      </c>
      <c r="P1052" s="14" t="s">
        <v>260</v>
      </c>
      <c r="Q1052" s="14" t="s">
        <v>260</v>
      </c>
      <c r="R1052" s="14" t="s">
        <v>229</v>
      </c>
    </row>
    <row r="1053" spans="1:18" s="14" customFormat="1" x14ac:dyDescent="0.25">
      <c r="A1053" s="14" t="str">
        <f>"83084"</f>
        <v>83084</v>
      </c>
      <c r="B1053" s="14" t="str">
        <f>"07010"</f>
        <v>07010</v>
      </c>
      <c r="C1053" s="14" t="str">
        <f>"1800"</f>
        <v>1800</v>
      </c>
      <c r="D1053" s="14" t="str">
        <f>""</f>
        <v/>
      </c>
      <c r="E1053" s="14" t="s">
        <v>1042</v>
      </c>
      <c r="F1053" s="14" t="s">
        <v>1002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228</v>
      </c>
      <c r="P1053" s="14" t="s">
        <v>260</v>
      </c>
      <c r="Q1053" s="14" t="s">
        <v>260</v>
      </c>
      <c r="R1053" s="14" t="s">
        <v>229</v>
      </c>
    </row>
    <row r="1054" spans="1:18" s="14" customFormat="1" x14ac:dyDescent="0.25">
      <c r="A1054" s="14" t="str">
        <f>"83086"</f>
        <v>83086</v>
      </c>
      <c r="B1054" s="14" t="str">
        <f>"07010"</f>
        <v>07010</v>
      </c>
      <c r="C1054" s="14" t="str">
        <f>"1800"</f>
        <v>1800</v>
      </c>
      <c r="D1054" s="14" t="str">
        <f>""</f>
        <v/>
      </c>
      <c r="E1054" s="14" t="s">
        <v>1043</v>
      </c>
      <c r="F1054" s="14" t="s">
        <v>1002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228</v>
      </c>
      <c r="P1054" s="14" t="s">
        <v>260</v>
      </c>
      <c r="Q1054" s="14" t="s">
        <v>260</v>
      </c>
      <c r="R1054" s="14" t="s">
        <v>229</v>
      </c>
    </row>
    <row r="1055" spans="1:18" s="14" customFormat="1" x14ac:dyDescent="0.25">
      <c r="A1055" s="14" t="str">
        <f>"83087"</f>
        <v>83087</v>
      </c>
      <c r="B1055" s="14" t="str">
        <f>"07010"</f>
        <v>07010</v>
      </c>
      <c r="C1055" s="14" t="str">
        <f>"1800"</f>
        <v>1800</v>
      </c>
      <c r="D1055" s="14" t="str">
        <f>""</f>
        <v/>
      </c>
      <c r="E1055" s="14" t="s">
        <v>1044</v>
      </c>
      <c r="F1055" s="14" t="s">
        <v>1002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228</v>
      </c>
      <c r="P1055" s="14" t="s">
        <v>260</v>
      </c>
      <c r="Q1055" s="14" t="s">
        <v>260</v>
      </c>
      <c r="R1055" s="14" t="s">
        <v>229</v>
      </c>
    </row>
    <row r="1056" spans="1:18" s="14" customFormat="1" x14ac:dyDescent="0.25">
      <c r="A1056" s="14" t="str">
        <f>"83088"</f>
        <v>83088</v>
      </c>
      <c r="B1056" s="14" t="str">
        <f>"07010"</f>
        <v>07010</v>
      </c>
      <c r="C1056" s="14" t="str">
        <f>"1800"</f>
        <v>1800</v>
      </c>
      <c r="D1056" s="14" t="str">
        <f>""</f>
        <v/>
      </c>
      <c r="E1056" s="14" t="s">
        <v>1045</v>
      </c>
      <c r="F1056" s="14" t="s">
        <v>1002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228</v>
      </c>
      <c r="P1056" s="14" t="s">
        <v>260</v>
      </c>
      <c r="Q1056" s="14" t="s">
        <v>260</v>
      </c>
      <c r="R1056" s="14" t="s">
        <v>229</v>
      </c>
    </row>
    <row r="1057" spans="1:18" s="14" customFormat="1" x14ac:dyDescent="0.25">
      <c r="A1057" s="14" t="str">
        <f>"83093"</f>
        <v>83093</v>
      </c>
      <c r="B1057" s="14" t="str">
        <f>"07010"</f>
        <v>07010</v>
      </c>
      <c r="C1057" s="14" t="str">
        <f>"1800"</f>
        <v>1800</v>
      </c>
      <c r="D1057" s="14" t="str">
        <f>""</f>
        <v/>
      </c>
      <c r="E1057" s="14" t="s">
        <v>1046</v>
      </c>
      <c r="F1057" s="14" t="s">
        <v>1002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228</v>
      </c>
      <c r="P1057" s="14" t="s">
        <v>260</v>
      </c>
      <c r="Q1057" s="14" t="s">
        <v>260</v>
      </c>
      <c r="R1057" s="14" t="s">
        <v>229</v>
      </c>
    </row>
    <row r="1058" spans="1:18" s="14" customFormat="1" x14ac:dyDescent="0.25">
      <c r="A1058" s="14" t="str">
        <f>"83094"</f>
        <v>83094</v>
      </c>
      <c r="B1058" s="14" t="str">
        <f>"07010"</f>
        <v>07010</v>
      </c>
      <c r="C1058" s="14" t="str">
        <f>"1800"</f>
        <v>1800</v>
      </c>
      <c r="D1058" s="14" t="str">
        <f>""</f>
        <v/>
      </c>
      <c r="E1058" s="14" t="s">
        <v>1047</v>
      </c>
      <c r="F1058" s="14" t="s">
        <v>1002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228</v>
      </c>
      <c r="P1058" s="14" t="s">
        <v>260</v>
      </c>
      <c r="Q1058" s="14" t="s">
        <v>260</v>
      </c>
      <c r="R1058" s="14" t="s">
        <v>229</v>
      </c>
    </row>
    <row r="1059" spans="1:18" s="14" customFormat="1" x14ac:dyDescent="0.25">
      <c r="A1059" s="14" t="str">
        <f>"83099"</f>
        <v>83099</v>
      </c>
      <c r="B1059" s="14" t="str">
        <f>"07010"</f>
        <v>07010</v>
      </c>
      <c r="C1059" s="14" t="str">
        <f>"1800"</f>
        <v>1800</v>
      </c>
      <c r="D1059" s="14" t="str">
        <f>""</f>
        <v/>
      </c>
      <c r="E1059" s="14" t="s">
        <v>1048</v>
      </c>
      <c r="F1059" s="14" t="s">
        <v>1002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228</v>
      </c>
      <c r="P1059" s="14" t="s">
        <v>260</v>
      </c>
      <c r="Q1059" s="14" t="s">
        <v>260</v>
      </c>
      <c r="R1059" s="14" t="s">
        <v>229</v>
      </c>
    </row>
    <row r="1060" spans="1:18" s="14" customFormat="1" x14ac:dyDescent="0.25">
      <c r="A1060" s="14" t="str">
        <f>"83100"</f>
        <v>83100</v>
      </c>
      <c r="B1060" s="14" t="str">
        <f>"07010"</f>
        <v>07010</v>
      </c>
      <c r="C1060" s="14" t="str">
        <f>"1800"</f>
        <v>1800</v>
      </c>
      <c r="D1060" s="14" t="str">
        <f>""</f>
        <v/>
      </c>
      <c r="E1060" s="14" t="s">
        <v>1049</v>
      </c>
      <c r="F1060" s="14" t="s">
        <v>1002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228</v>
      </c>
      <c r="P1060" s="14" t="s">
        <v>260</v>
      </c>
      <c r="Q1060" s="14" t="s">
        <v>260</v>
      </c>
      <c r="R1060" s="14" t="s">
        <v>229</v>
      </c>
    </row>
    <row r="1061" spans="1:18" s="14" customFormat="1" x14ac:dyDescent="0.25">
      <c r="A1061" s="14" t="str">
        <f>"83102"</f>
        <v>83102</v>
      </c>
      <c r="B1061" s="14" t="str">
        <f>"07010"</f>
        <v>07010</v>
      </c>
      <c r="C1061" s="14" t="str">
        <f>"1800"</f>
        <v>1800</v>
      </c>
      <c r="D1061" s="14" t="str">
        <f>""</f>
        <v/>
      </c>
      <c r="E1061" s="14" t="s">
        <v>1050</v>
      </c>
      <c r="F1061" s="14" t="s">
        <v>1002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228</v>
      </c>
      <c r="P1061" s="14" t="s">
        <v>260</v>
      </c>
      <c r="Q1061" s="14" t="s">
        <v>260</v>
      </c>
      <c r="R1061" s="14" t="s">
        <v>229</v>
      </c>
    </row>
    <row r="1062" spans="1:18" s="14" customFormat="1" x14ac:dyDescent="0.25">
      <c r="A1062" s="14" t="str">
        <f>"83103"</f>
        <v>83103</v>
      </c>
      <c r="B1062" s="14" t="str">
        <f>"07010"</f>
        <v>07010</v>
      </c>
      <c r="C1062" s="14" t="str">
        <f>"1800"</f>
        <v>1800</v>
      </c>
      <c r="D1062" s="14" t="str">
        <f>""</f>
        <v/>
      </c>
      <c r="E1062" s="14" t="s">
        <v>1051</v>
      </c>
      <c r="F1062" s="14" t="s">
        <v>1002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228</v>
      </c>
      <c r="P1062" s="14" t="s">
        <v>260</v>
      </c>
      <c r="Q1062" s="14" t="s">
        <v>260</v>
      </c>
      <c r="R1062" s="14" t="s">
        <v>229</v>
      </c>
    </row>
    <row r="1063" spans="1:18" s="14" customFormat="1" x14ac:dyDescent="0.25">
      <c r="A1063" s="14" t="str">
        <f>"83109"</f>
        <v>83109</v>
      </c>
      <c r="B1063" s="14" t="str">
        <f>"07010"</f>
        <v>07010</v>
      </c>
      <c r="C1063" s="14" t="str">
        <f>"1800"</f>
        <v>1800</v>
      </c>
      <c r="D1063" s="14" t="str">
        <f>""</f>
        <v/>
      </c>
      <c r="E1063" s="14" t="s">
        <v>1052</v>
      </c>
      <c r="F1063" s="14" t="s">
        <v>1002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228</v>
      </c>
      <c r="P1063" s="14" t="s">
        <v>260</v>
      </c>
      <c r="Q1063" s="14" t="s">
        <v>260</v>
      </c>
      <c r="R1063" s="14" t="s">
        <v>229</v>
      </c>
    </row>
    <row r="1064" spans="1:18" s="14" customFormat="1" x14ac:dyDescent="0.25">
      <c r="A1064" s="14" t="str">
        <f>"83111"</f>
        <v>83111</v>
      </c>
      <c r="B1064" s="14" t="str">
        <f>"07010"</f>
        <v>07010</v>
      </c>
      <c r="C1064" s="14" t="str">
        <f>"1800"</f>
        <v>1800</v>
      </c>
      <c r="D1064" s="14" t="str">
        <f>""</f>
        <v/>
      </c>
      <c r="E1064" s="14" t="s">
        <v>1053</v>
      </c>
      <c r="F1064" s="14" t="s">
        <v>1002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228</v>
      </c>
      <c r="P1064" s="14" t="s">
        <v>260</v>
      </c>
      <c r="Q1064" s="14" t="s">
        <v>260</v>
      </c>
      <c r="R1064" s="14" t="s">
        <v>229</v>
      </c>
    </row>
    <row r="1065" spans="1:18" s="14" customFormat="1" x14ac:dyDescent="0.25">
      <c r="A1065" s="14" t="str">
        <f>"83113"</f>
        <v>83113</v>
      </c>
      <c r="B1065" s="14" t="str">
        <f>"07010"</f>
        <v>07010</v>
      </c>
      <c r="C1065" s="14" t="str">
        <f>"1800"</f>
        <v>1800</v>
      </c>
      <c r="D1065" s="14" t="str">
        <f>""</f>
        <v/>
      </c>
      <c r="E1065" s="14" t="s">
        <v>1054</v>
      </c>
      <c r="F1065" s="14" t="s">
        <v>1002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228</v>
      </c>
      <c r="P1065" s="14" t="s">
        <v>260</v>
      </c>
      <c r="Q1065" s="14" t="s">
        <v>260</v>
      </c>
      <c r="R1065" s="14" t="s">
        <v>229</v>
      </c>
    </row>
    <row r="1066" spans="1:18" s="14" customFormat="1" x14ac:dyDescent="0.25">
      <c r="A1066" s="14" t="str">
        <f>"83115"</f>
        <v>83115</v>
      </c>
      <c r="B1066" s="14" t="str">
        <f>"07010"</f>
        <v>07010</v>
      </c>
      <c r="C1066" s="14" t="str">
        <f>"1800"</f>
        <v>1800</v>
      </c>
      <c r="D1066" s="14" t="str">
        <f>""</f>
        <v/>
      </c>
      <c r="E1066" s="14" t="s">
        <v>1055</v>
      </c>
      <c r="F1066" s="14" t="s">
        <v>1002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228</v>
      </c>
      <c r="P1066" s="14" t="s">
        <v>260</v>
      </c>
      <c r="Q1066" s="14" t="s">
        <v>260</v>
      </c>
      <c r="R1066" s="14" t="s">
        <v>229</v>
      </c>
    </row>
    <row r="1067" spans="1:18" s="14" customFormat="1" x14ac:dyDescent="0.25">
      <c r="A1067" s="14" t="str">
        <f>"83120"</f>
        <v>83120</v>
      </c>
      <c r="B1067" s="14" t="str">
        <f>"07010"</f>
        <v>07010</v>
      </c>
      <c r="C1067" s="14" t="str">
        <f>"1800"</f>
        <v>1800</v>
      </c>
      <c r="D1067" s="14" t="str">
        <f>""</f>
        <v/>
      </c>
      <c r="E1067" s="14" t="s">
        <v>1056</v>
      </c>
      <c r="F1067" s="14" t="s">
        <v>1002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228</v>
      </c>
      <c r="P1067" s="14" t="s">
        <v>260</v>
      </c>
      <c r="Q1067" s="14" t="s">
        <v>260</v>
      </c>
      <c r="R1067" s="14" t="s">
        <v>229</v>
      </c>
    </row>
    <row r="1068" spans="1:18" s="14" customFormat="1" x14ac:dyDescent="0.25">
      <c r="A1068" s="14" t="str">
        <f>"83122"</f>
        <v>83122</v>
      </c>
      <c r="B1068" s="14" t="str">
        <f>"07010"</f>
        <v>07010</v>
      </c>
      <c r="C1068" s="14" t="str">
        <f>"1800"</f>
        <v>1800</v>
      </c>
      <c r="D1068" s="14" t="str">
        <f>""</f>
        <v/>
      </c>
      <c r="E1068" s="14" t="s">
        <v>1057</v>
      </c>
      <c r="F1068" s="14" t="s">
        <v>1002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228</v>
      </c>
      <c r="P1068" s="14" t="s">
        <v>260</v>
      </c>
      <c r="Q1068" s="14" t="s">
        <v>260</v>
      </c>
      <c r="R1068" s="14" t="s">
        <v>229</v>
      </c>
    </row>
    <row r="1069" spans="1:18" s="14" customFormat="1" x14ac:dyDescent="0.25">
      <c r="A1069" s="14" t="str">
        <f>"83125"</f>
        <v>83125</v>
      </c>
      <c r="B1069" s="14" t="str">
        <f>"07010"</f>
        <v>07010</v>
      </c>
      <c r="C1069" s="14" t="str">
        <f>"1800"</f>
        <v>1800</v>
      </c>
      <c r="D1069" s="14" t="str">
        <f>""</f>
        <v/>
      </c>
      <c r="E1069" s="14" t="s">
        <v>1058</v>
      </c>
      <c r="F1069" s="14" t="s">
        <v>1002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228</v>
      </c>
      <c r="P1069" s="14" t="s">
        <v>260</v>
      </c>
      <c r="Q1069" s="14" t="s">
        <v>260</v>
      </c>
      <c r="R1069" s="14" t="s">
        <v>229</v>
      </c>
    </row>
    <row r="1070" spans="1:18" s="14" customFormat="1" x14ac:dyDescent="0.25">
      <c r="A1070" s="14" t="str">
        <f>"83130"</f>
        <v>83130</v>
      </c>
      <c r="B1070" s="14" t="str">
        <f>"07010"</f>
        <v>07010</v>
      </c>
      <c r="C1070" s="14" t="str">
        <f>"1800"</f>
        <v>1800</v>
      </c>
      <c r="D1070" s="14" t="str">
        <f>""</f>
        <v/>
      </c>
      <c r="E1070" s="14" t="s">
        <v>1059</v>
      </c>
      <c r="F1070" s="14" t="s">
        <v>1002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228</v>
      </c>
      <c r="P1070" s="14" t="s">
        <v>260</v>
      </c>
      <c r="Q1070" s="14" t="s">
        <v>260</v>
      </c>
      <c r="R1070" s="14" t="s">
        <v>229</v>
      </c>
    </row>
    <row r="1071" spans="1:18" s="14" customFormat="1" x14ac:dyDescent="0.25">
      <c r="A1071" s="14" t="str">
        <f>"83131"</f>
        <v>83131</v>
      </c>
      <c r="B1071" s="14" t="str">
        <f>"07010"</f>
        <v>07010</v>
      </c>
      <c r="C1071" s="14" t="str">
        <f>"1800"</f>
        <v>1800</v>
      </c>
      <c r="D1071" s="14" t="str">
        <f>""</f>
        <v/>
      </c>
      <c r="E1071" s="14" t="s">
        <v>1060</v>
      </c>
      <c r="F1071" s="14" t="s">
        <v>1002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228</v>
      </c>
      <c r="P1071" s="14" t="s">
        <v>260</v>
      </c>
      <c r="Q1071" s="14" t="s">
        <v>260</v>
      </c>
      <c r="R1071" s="14" t="s">
        <v>229</v>
      </c>
    </row>
    <row r="1072" spans="1:18" s="14" customFormat="1" x14ac:dyDescent="0.25">
      <c r="A1072" s="14" t="str">
        <f>"83132"</f>
        <v>83132</v>
      </c>
      <c r="B1072" s="14" t="str">
        <f>"07010"</f>
        <v>07010</v>
      </c>
      <c r="C1072" s="14" t="str">
        <f>"1800"</f>
        <v>1800</v>
      </c>
      <c r="D1072" s="14" t="str">
        <f>""</f>
        <v/>
      </c>
      <c r="E1072" s="14" t="s">
        <v>1061</v>
      </c>
      <c r="F1072" s="14" t="s">
        <v>1002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228</v>
      </c>
      <c r="P1072" s="14" t="s">
        <v>260</v>
      </c>
      <c r="Q1072" s="14" t="s">
        <v>260</v>
      </c>
      <c r="R1072" s="14" t="s">
        <v>229</v>
      </c>
    </row>
    <row r="1073" spans="1:18" s="14" customFormat="1" x14ac:dyDescent="0.25">
      <c r="A1073" s="14" t="str">
        <f>"83135"</f>
        <v>83135</v>
      </c>
      <c r="B1073" s="14" t="str">
        <f>"07010"</f>
        <v>07010</v>
      </c>
      <c r="C1073" s="14" t="str">
        <f>"1800"</f>
        <v>1800</v>
      </c>
      <c r="D1073" s="14" t="str">
        <f>""</f>
        <v/>
      </c>
      <c r="E1073" s="14" t="s">
        <v>1062</v>
      </c>
      <c r="F1073" s="14" t="s">
        <v>1002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228</v>
      </c>
      <c r="P1073" s="14" t="s">
        <v>260</v>
      </c>
      <c r="Q1073" s="14" t="s">
        <v>260</v>
      </c>
      <c r="R1073" s="14" t="s">
        <v>229</v>
      </c>
    </row>
    <row r="1074" spans="1:18" s="14" customFormat="1" x14ac:dyDescent="0.25">
      <c r="A1074" s="14" t="str">
        <f>"83137"</f>
        <v>83137</v>
      </c>
      <c r="B1074" s="14" t="str">
        <f>"07010"</f>
        <v>07010</v>
      </c>
      <c r="C1074" s="14" t="str">
        <f>"1800"</f>
        <v>1800</v>
      </c>
      <c r="D1074" s="14" t="str">
        <f>""</f>
        <v/>
      </c>
      <c r="E1074" s="14" t="s">
        <v>1063</v>
      </c>
      <c r="F1074" s="14" t="s">
        <v>1002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228</v>
      </c>
      <c r="P1074" s="14" t="s">
        <v>260</v>
      </c>
      <c r="Q1074" s="14" t="s">
        <v>260</v>
      </c>
      <c r="R1074" s="14" t="s">
        <v>229</v>
      </c>
    </row>
    <row r="1075" spans="1:18" s="14" customFormat="1" x14ac:dyDescent="0.25">
      <c r="A1075" s="14" t="str">
        <f>"83138"</f>
        <v>83138</v>
      </c>
      <c r="B1075" s="14" t="str">
        <f>"07010"</f>
        <v>07010</v>
      </c>
      <c r="C1075" s="14" t="str">
        <f>"1800"</f>
        <v>1800</v>
      </c>
      <c r="D1075" s="14" t="str">
        <f>""</f>
        <v/>
      </c>
      <c r="E1075" s="14" t="s">
        <v>1064</v>
      </c>
      <c r="F1075" s="14" t="s">
        <v>1002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228</v>
      </c>
      <c r="P1075" s="14" t="s">
        <v>260</v>
      </c>
      <c r="Q1075" s="14" t="s">
        <v>260</v>
      </c>
      <c r="R1075" s="14" t="s">
        <v>229</v>
      </c>
    </row>
    <row r="1076" spans="1:18" s="14" customFormat="1" x14ac:dyDescent="0.25">
      <c r="A1076" s="14" t="str">
        <f>"83139"</f>
        <v>83139</v>
      </c>
      <c r="B1076" s="14" t="str">
        <f>"07010"</f>
        <v>07010</v>
      </c>
      <c r="C1076" s="14" t="str">
        <f>"1800"</f>
        <v>1800</v>
      </c>
      <c r="D1076" s="14" t="str">
        <f>""</f>
        <v/>
      </c>
      <c r="E1076" s="14" t="s">
        <v>1065</v>
      </c>
      <c r="F1076" s="14" t="s">
        <v>1002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228</v>
      </c>
      <c r="P1076" s="14" t="s">
        <v>260</v>
      </c>
      <c r="Q1076" s="14" t="s">
        <v>260</v>
      </c>
      <c r="R1076" s="14" t="s">
        <v>229</v>
      </c>
    </row>
    <row r="1077" spans="1:18" s="14" customFormat="1" x14ac:dyDescent="0.25">
      <c r="A1077" s="14" t="str">
        <f>"83140"</f>
        <v>83140</v>
      </c>
      <c r="B1077" s="14" t="str">
        <f>"07010"</f>
        <v>07010</v>
      </c>
      <c r="C1077" s="14" t="str">
        <f>"1800"</f>
        <v>1800</v>
      </c>
      <c r="D1077" s="14" t="str">
        <f>""</f>
        <v/>
      </c>
      <c r="E1077" s="14" t="s">
        <v>1066</v>
      </c>
      <c r="F1077" s="14" t="s">
        <v>1002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228</v>
      </c>
      <c r="P1077" s="14" t="s">
        <v>260</v>
      </c>
      <c r="Q1077" s="14" t="s">
        <v>260</v>
      </c>
      <c r="R1077" s="14" t="s">
        <v>229</v>
      </c>
    </row>
    <row r="1078" spans="1:18" s="14" customFormat="1" x14ac:dyDescent="0.25">
      <c r="A1078" s="14" t="str">
        <f>"83141"</f>
        <v>83141</v>
      </c>
      <c r="B1078" s="14" t="str">
        <f>"07010"</f>
        <v>07010</v>
      </c>
      <c r="C1078" s="14" t="str">
        <f>"1800"</f>
        <v>1800</v>
      </c>
      <c r="D1078" s="14" t="str">
        <f>""</f>
        <v/>
      </c>
      <c r="E1078" s="14" t="s">
        <v>1067</v>
      </c>
      <c r="F1078" s="14" t="s">
        <v>1002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228</v>
      </c>
      <c r="P1078" s="14" t="s">
        <v>260</v>
      </c>
      <c r="Q1078" s="14" t="s">
        <v>260</v>
      </c>
      <c r="R1078" s="14" t="s">
        <v>229</v>
      </c>
    </row>
    <row r="1079" spans="1:18" s="14" customFormat="1" x14ac:dyDescent="0.25">
      <c r="A1079" s="14" t="str">
        <f>"83142"</f>
        <v>83142</v>
      </c>
      <c r="B1079" s="14" t="str">
        <f>"07010"</f>
        <v>07010</v>
      </c>
      <c r="C1079" s="14" t="str">
        <f>"1800"</f>
        <v>1800</v>
      </c>
      <c r="D1079" s="14" t="str">
        <f>""</f>
        <v/>
      </c>
      <c r="E1079" s="14" t="s">
        <v>1068</v>
      </c>
      <c r="F1079" s="14" t="s">
        <v>1002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228</v>
      </c>
      <c r="P1079" s="14" t="s">
        <v>260</v>
      </c>
      <c r="Q1079" s="14" t="s">
        <v>260</v>
      </c>
      <c r="R1079" s="14" t="s">
        <v>229</v>
      </c>
    </row>
    <row r="1080" spans="1:18" s="14" customFormat="1" x14ac:dyDescent="0.25">
      <c r="A1080" s="14" t="str">
        <f>"83147"</f>
        <v>83147</v>
      </c>
      <c r="B1080" s="14" t="str">
        <f>"07010"</f>
        <v>07010</v>
      </c>
      <c r="C1080" s="14" t="str">
        <f>"1800"</f>
        <v>1800</v>
      </c>
      <c r="D1080" s="14" t="str">
        <f>""</f>
        <v/>
      </c>
      <c r="E1080" s="14" t="s">
        <v>1069</v>
      </c>
      <c r="F1080" s="14" t="s">
        <v>1002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228</v>
      </c>
      <c r="P1080" s="14" t="s">
        <v>260</v>
      </c>
      <c r="Q1080" s="14" t="s">
        <v>260</v>
      </c>
      <c r="R1080" s="14" t="s">
        <v>229</v>
      </c>
    </row>
    <row r="1081" spans="1:18" s="14" customFormat="1" x14ac:dyDescent="0.25">
      <c r="A1081" s="14" t="str">
        <f>"83150"</f>
        <v>83150</v>
      </c>
      <c r="B1081" s="14" t="str">
        <f>"07010"</f>
        <v>07010</v>
      </c>
      <c r="C1081" s="14" t="str">
        <f>"1800"</f>
        <v>1800</v>
      </c>
      <c r="D1081" s="14" t="str">
        <f>""</f>
        <v/>
      </c>
      <c r="E1081" s="14" t="s">
        <v>1070</v>
      </c>
      <c r="F1081" s="14" t="s">
        <v>1002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228</v>
      </c>
      <c r="P1081" s="14" t="s">
        <v>260</v>
      </c>
      <c r="Q1081" s="14" t="s">
        <v>260</v>
      </c>
      <c r="R1081" s="14" t="s">
        <v>229</v>
      </c>
    </row>
    <row r="1082" spans="1:18" s="14" customFormat="1" x14ac:dyDescent="0.25">
      <c r="A1082" s="14" t="str">
        <f>"83154"</f>
        <v>83154</v>
      </c>
      <c r="B1082" s="14" t="str">
        <f>"07010"</f>
        <v>07010</v>
      </c>
      <c r="C1082" s="14" t="str">
        <f>"1800"</f>
        <v>1800</v>
      </c>
      <c r="D1082" s="14" t="str">
        <f>""</f>
        <v/>
      </c>
      <c r="E1082" s="14" t="s">
        <v>1071</v>
      </c>
      <c r="F1082" s="14" t="s">
        <v>1002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228</v>
      </c>
      <c r="P1082" s="14" t="s">
        <v>260</v>
      </c>
      <c r="Q1082" s="14" t="s">
        <v>260</v>
      </c>
      <c r="R1082" s="14" t="s">
        <v>229</v>
      </c>
    </row>
    <row r="1083" spans="1:18" s="14" customFormat="1" x14ac:dyDescent="0.25">
      <c r="A1083" s="14" t="str">
        <f>"83156"</f>
        <v>83156</v>
      </c>
      <c r="B1083" s="14" t="str">
        <f>"07010"</f>
        <v>07010</v>
      </c>
      <c r="C1083" s="14" t="str">
        <f>"1800"</f>
        <v>1800</v>
      </c>
      <c r="D1083" s="14" t="str">
        <f>""</f>
        <v/>
      </c>
      <c r="E1083" s="14" t="s">
        <v>1072</v>
      </c>
      <c r="F1083" s="14" t="s">
        <v>1002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228</v>
      </c>
      <c r="P1083" s="14" t="s">
        <v>260</v>
      </c>
      <c r="Q1083" s="14" t="s">
        <v>260</v>
      </c>
      <c r="R1083" s="14" t="s">
        <v>229</v>
      </c>
    </row>
    <row r="1084" spans="1:18" s="14" customFormat="1" x14ac:dyDescent="0.25">
      <c r="A1084" s="14" t="str">
        <f>"83159"</f>
        <v>83159</v>
      </c>
      <c r="B1084" s="14" t="str">
        <f>"07010"</f>
        <v>07010</v>
      </c>
      <c r="C1084" s="14" t="str">
        <f>"1800"</f>
        <v>1800</v>
      </c>
      <c r="D1084" s="14" t="str">
        <f>""</f>
        <v/>
      </c>
      <c r="E1084" s="14" t="s">
        <v>1073</v>
      </c>
      <c r="F1084" s="14" t="s">
        <v>1002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228</v>
      </c>
      <c r="P1084" s="14" t="s">
        <v>260</v>
      </c>
      <c r="Q1084" s="14" t="s">
        <v>260</v>
      </c>
      <c r="R1084" s="14" t="s">
        <v>229</v>
      </c>
    </row>
    <row r="1085" spans="1:18" s="14" customFormat="1" x14ac:dyDescent="0.25">
      <c r="A1085" s="14" t="str">
        <f>"83160"</f>
        <v>83160</v>
      </c>
      <c r="B1085" s="14" t="str">
        <f>"07010"</f>
        <v>07010</v>
      </c>
      <c r="C1085" s="14" t="str">
        <f>"1800"</f>
        <v>1800</v>
      </c>
      <c r="D1085" s="14" t="str">
        <f>""</f>
        <v/>
      </c>
      <c r="E1085" s="14" t="s">
        <v>1074</v>
      </c>
      <c r="F1085" s="14" t="s">
        <v>1002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228</v>
      </c>
      <c r="P1085" s="14" t="s">
        <v>260</v>
      </c>
      <c r="Q1085" s="14" t="s">
        <v>260</v>
      </c>
      <c r="R1085" s="14" t="s">
        <v>229</v>
      </c>
    </row>
    <row r="1086" spans="1:18" s="14" customFormat="1" x14ac:dyDescent="0.25">
      <c r="A1086" s="14" t="str">
        <f>"83161"</f>
        <v>83161</v>
      </c>
      <c r="B1086" s="14" t="str">
        <f>"07010"</f>
        <v>07010</v>
      </c>
      <c r="C1086" s="14" t="str">
        <f>"1800"</f>
        <v>1800</v>
      </c>
      <c r="D1086" s="14" t="str">
        <f>""</f>
        <v/>
      </c>
      <c r="E1086" s="14" t="s">
        <v>1075</v>
      </c>
      <c r="F1086" s="14" t="s">
        <v>1002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228</v>
      </c>
      <c r="P1086" s="14" t="s">
        <v>260</v>
      </c>
      <c r="Q1086" s="14" t="s">
        <v>260</v>
      </c>
      <c r="R1086" s="14" t="s">
        <v>229</v>
      </c>
    </row>
    <row r="1087" spans="1:18" s="14" customFormat="1" x14ac:dyDescent="0.25">
      <c r="A1087" s="14" t="str">
        <f>"83164"</f>
        <v>83164</v>
      </c>
      <c r="B1087" s="14" t="str">
        <f>"07010"</f>
        <v>07010</v>
      </c>
      <c r="C1087" s="14" t="str">
        <f>"1800"</f>
        <v>1800</v>
      </c>
      <c r="D1087" s="14" t="str">
        <f>""</f>
        <v/>
      </c>
      <c r="E1087" s="14" t="s">
        <v>1076</v>
      </c>
      <c r="F1087" s="14" t="s">
        <v>1002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228</v>
      </c>
      <c r="P1087" s="14" t="s">
        <v>260</v>
      </c>
      <c r="Q1087" s="14" t="s">
        <v>260</v>
      </c>
      <c r="R1087" s="14" t="s">
        <v>229</v>
      </c>
    </row>
    <row r="1088" spans="1:18" s="14" customFormat="1" x14ac:dyDescent="0.25">
      <c r="A1088" s="14" t="str">
        <f>"83167"</f>
        <v>83167</v>
      </c>
      <c r="B1088" s="14" t="str">
        <f>"07010"</f>
        <v>07010</v>
      </c>
      <c r="C1088" s="14" t="str">
        <f>"1800"</f>
        <v>1800</v>
      </c>
      <c r="D1088" s="14" t="str">
        <f>""</f>
        <v/>
      </c>
      <c r="E1088" s="14" t="s">
        <v>1077</v>
      </c>
      <c r="F1088" s="14" t="s">
        <v>1002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228</v>
      </c>
      <c r="P1088" s="14" t="s">
        <v>260</v>
      </c>
      <c r="Q1088" s="14" t="s">
        <v>260</v>
      </c>
      <c r="R1088" s="14" t="s">
        <v>229</v>
      </c>
    </row>
    <row r="1089" spans="1:18" s="14" customFormat="1" x14ac:dyDescent="0.25">
      <c r="A1089" s="14" t="str">
        <f>"83168"</f>
        <v>83168</v>
      </c>
      <c r="B1089" s="14" t="str">
        <f>"07010"</f>
        <v>07010</v>
      </c>
      <c r="C1089" s="14" t="str">
        <f>"1800"</f>
        <v>1800</v>
      </c>
      <c r="D1089" s="14" t="str">
        <f>""</f>
        <v/>
      </c>
      <c r="E1089" s="14" t="s">
        <v>1078</v>
      </c>
      <c r="F1089" s="14" t="s">
        <v>1002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228</v>
      </c>
      <c r="P1089" s="14" t="s">
        <v>260</v>
      </c>
      <c r="Q1089" s="14" t="s">
        <v>260</v>
      </c>
      <c r="R1089" s="14" t="s">
        <v>229</v>
      </c>
    </row>
    <row r="1090" spans="1:18" s="14" customFormat="1" x14ac:dyDescent="0.25">
      <c r="A1090" s="14" t="str">
        <f>"83172"</f>
        <v>83172</v>
      </c>
      <c r="B1090" s="14" t="str">
        <f>"07010"</f>
        <v>07010</v>
      </c>
      <c r="C1090" s="14" t="str">
        <f>"1800"</f>
        <v>1800</v>
      </c>
      <c r="D1090" s="14" t="str">
        <f>""</f>
        <v/>
      </c>
      <c r="E1090" s="14" t="s">
        <v>1079</v>
      </c>
      <c r="F1090" s="14" t="s">
        <v>1002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228</v>
      </c>
      <c r="P1090" s="14" t="s">
        <v>260</v>
      </c>
      <c r="Q1090" s="14" t="s">
        <v>260</v>
      </c>
      <c r="R1090" s="14" t="s">
        <v>229</v>
      </c>
    </row>
    <row r="1091" spans="1:18" s="14" customFormat="1" x14ac:dyDescent="0.25">
      <c r="A1091" s="14" t="str">
        <f>"83175"</f>
        <v>83175</v>
      </c>
      <c r="B1091" s="14" t="str">
        <f>"07010"</f>
        <v>07010</v>
      </c>
      <c r="C1091" s="14" t="str">
        <f>"1800"</f>
        <v>1800</v>
      </c>
      <c r="D1091" s="14" t="str">
        <f>""</f>
        <v/>
      </c>
      <c r="E1091" s="14" t="s">
        <v>1080</v>
      </c>
      <c r="F1091" s="14" t="s">
        <v>1002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228</v>
      </c>
      <c r="P1091" s="14" t="s">
        <v>260</v>
      </c>
      <c r="Q1091" s="14" t="s">
        <v>260</v>
      </c>
      <c r="R1091" s="14" t="s">
        <v>229</v>
      </c>
    </row>
    <row r="1092" spans="1:18" s="14" customFormat="1" x14ac:dyDescent="0.25">
      <c r="A1092" s="14" t="str">
        <f>"83177"</f>
        <v>83177</v>
      </c>
      <c r="B1092" s="14" t="str">
        <f>"07010"</f>
        <v>07010</v>
      </c>
      <c r="C1092" s="14" t="str">
        <f>"1800"</f>
        <v>1800</v>
      </c>
      <c r="D1092" s="14" t="str">
        <f>""</f>
        <v/>
      </c>
      <c r="E1092" s="14" t="s">
        <v>1081</v>
      </c>
      <c r="F1092" s="14" t="s">
        <v>1002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228</v>
      </c>
      <c r="P1092" s="14" t="s">
        <v>260</v>
      </c>
      <c r="Q1092" s="14" t="s">
        <v>260</v>
      </c>
      <c r="R1092" s="14" t="s">
        <v>229</v>
      </c>
    </row>
    <row r="1093" spans="1:18" s="14" customFormat="1" x14ac:dyDescent="0.25">
      <c r="A1093" s="14" t="str">
        <f>"83178"</f>
        <v>83178</v>
      </c>
      <c r="B1093" s="14" t="str">
        <f>"07010"</f>
        <v>07010</v>
      </c>
      <c r="C1093" s="14" t="str">
        <f>"1800"</f>
        <v>1800</v>
      </c>
      <c r="D1093" s="14" t="str">
        <f>""</f>
        <v/>
      </c>
      <c r="E1093" s="14" t="s">
        <v>1082</v>
      </c>
      <c r="F1093" s="14" t="s">
        <v>1002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228</v>
      </c>
      <c r="P1093" s="14" t="s">
        <v>260</v>
      </c>
      <c r="Q1093" s="14" t="s">
        <v>260</v>
      </c>
      <c r="R1093" s="14" t="s">
        <v>229</v>
      </c>
    </row>
    <row r="1094" spans="1:18" s="14" customFormat="1" x14ac:dyDescent="0.25">
      <c r="A1094" s="14" t="str">
        <f>"83179"</f>
        <v>83179</v>
      </c>
      <c r="B1094" s="14" t="str">
        <f>"07010"</f>
        <v>07010</v>
      </c>
      <c r="C1094" s="14" t="str">
        <f>"1800"</f>
        <v>1800</v>
      </c>
      <c r="D1094" s="14" t="str">
        <f>""</f>
        <v/>
      </c>
      <c r="E1094" s="14" t="s">
        <v>1083</v>
      </c>
      <c r="F1094" s="14" t="s">
        <v>1002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228</v>
      </c>
      <c r="P1094" s="14" t="s">
        <v>260</v>
      </c>
      <c r="Q1094" s="14" t="s">
        <v>260</v>
      </c>
      <c r="R1094" s="14" t="s">
        <v>229</v>
      </c>
    </row>
    <row r="1095" spans="1:18" s="14" customFormat="1" x14ac:dyDescent="0.25">
      <c r="A1095" s="14" t="str">
        <f>"83186"</f>
        <v>83186</v>
      </c>
      <c r="B1095" s="14" t="str">
        <f>"07010"</f>
        <v>07010</v>
      </c>
      <c r="C1095" s="14" t="str">
        <f>"1800"</f>
        <v>1800</v>
      </c>
      <c r="D1095" s="14" t="str">
        <f>""</f>
        <v/>
      </c>
      <c r="E1095" s="14" t="s">
        <v>1084</v>
      </c>
      <c r="F1095" s="14" t="s">
        <v>1002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228</v>
      </c>
      <c r="P1095" s="14" t="s">
        <v>260</v>
      </c>
      <c r="Q1095" s="14" t="s">
        <v>260</v>
      </c>
      <c r="R1095" s="14" t="s">
        <v>229</v>
      </c>
    </row>
    <row r="1096" spans="1:18" s="14" customFormat="1" x14ac:dyDescent="0.25">
      <c r="A1096" s="14" t="str">
        <f>"83188"</f>
        <v>83188</v>
      </c>
      <c r="B1096" s="14" t="str">
        <f>"07010"</f>
        <v>07010</v>
      </c>
      <c r="C1096" s="14" t="str">
        <f>"1800"</f>
        <v>1800</v>
      </c>
      <c r="D1096" s="14" t="str">
        <f>""</f>
        <v/>
      </c>
      <c r="E1096" s="14" t="s">
        <v>1085</v>
      </c>
      <c r="F1096" s="14" t="s">
        <v>1002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228</v>
      </c>
      <c r="P1096" s="14" t="s">
        <v>260</v>
      </c>
      <c r="Q1096" s="14" t="s">
        <v>260</v>
      </c>
      <c r="R1096" s="14" t="s">
        <v>229</v>
      </c>
    </row>
    <row r="1097" spans="1:18" s="14" customFormat="1" x14ac:dyDescent="0.25">
      <c r="A1097" s="14" t="str">
        <f>"83189"</f>
        <v>83189</v>
      </c>
      <c r="B1097" s="14" t="str">
        <f>"07010"</f>
        <v>07010</v>
      </c>
      <c r="C1097" s="14" t="str">
        <f>"1800"</f>
        <v>1800</v>
      </c>
      <c r="D1097" s="14" t="str">
        <f>""</f>
        <v/>
      </c>
      <c r="E1097" s="14" t="s">
        <v>1086</v>
      </c>
      <c r="F1097" s="14" t="s">
        <v>1002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228</v>
      </c>
      <c r="P1097" s="14" t="s">
        <v>260</v>
      </c>
      <c r="Q1097" s="14" t="s">
        <v>260</v>
      </c>
      <c r="R1097" s="14" t="s">
        <v>229</v>
      </c>
    </row>
    <row r="1098" spans="1:18" s="14" customFormat="1" x14ac:dyDescent="0.25">
      <c r="A1098" s="14" t="str">
        <f>"83191"</f>
        <v>83191</v>
      </c>
      <c r="B1098" s="14" t="str">
        <f>"07010"</f>
        <v>07010</v>
      </c>
      <c r="C1098" s="14" t="str">
        <f>"1800"</f>
        <v>1800</v>
      </c>
      <c r="D1098" s="14" t="str">
        <f>""</f>
        <v/>
      </c>
      <c r="E1098" s="14" t="s">
        <v>1087</v>
      </c>
      <c r="F1098" s="14" t="s">
        <v>1002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228</v>
      </c>
      <c r="P1098" s="14" t="s">
        <v>260</v>
      </c>
      <c r="Q1098" s="14" t="s">
        <v>260</v>
      </c>
      <c r="R1098" s="14" t="s">
        <v>229</v>
      </c>
    </row>
    <row r="1099" spans="1:18" s="14" customFormat="1" x14ac:dyDescent="0.25">
      <c r="A1099" s="14" t="str">
        <f>"83193"</f>
        <v>83193</v>
      </c>
      <c r="B1099" s="14" t="str">
        <f>"07010"</f>
        <v>07010</v>
      </c>
      <c r="C1099" s="14" t="str">
        <f>"1800"</f>
        <v>1800</v>
      </c>
      <c r="D1099" s="14" t="str">
        <f>""</f>
        <v/>
      </c>
      <c r="E1099" s="14" t="s">
        <v>1088</v>
      </c>
      <c r="F1099" s="14" t="s">
        <v>1002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228</v>
      </c>
      <c r="P1099" s="14" t="s">
        <v>260</v>
      </c>
      <c r="Q1099" s="14" t="s">
        <v>260</v>
      </c>
      <c r="R1099" s="14" t="s">
        <v>229</v>
      </c>
    </row>
    <row r="1100" spans="1:18" s="14" customFormat="1" x14ac:dyDescent="0.25">
      <c r="A1100" s="14" t="str">
        <f>"83194"</f>
        <v>83194</v>
      </c>
      <c r="B1100" s="14" t="str">
        <f>"07010"</f>
        <v>07010</v>
      </c>
      <c r="C1100" s="14" t="str">
        <f>"1800"</f>
        <v>1800</v>
      </c>
      <c r="D1100" s="14" t="str">
        <f>""</f>
        <v/>
      </c>
      <c r="E1100" s="14" t="s">
        <v>1089</v>
      </c>
      <c r="F1100" s="14" t="s">
        <v>1002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228</v>
      </c>
      <c r="P1100" s="14" t="s">
        <v>260</v>
      </c>
      <c r="Q1100" s="14" t="s">
        <v>260</v>
      </c>
      <c r="R1100" s="14" t="s">
        <v>229</v>
      </c>
    </row>
    <row r="1101" spans="1:18" s="14" customFormat="1" x14ac:dyDescent="0.25">
      <c r="A1101" s="14" t="str">
        <f>"83197"</f>
        <v>83197</v>
      </c>
      <c r="B1101" s="14" t="str">
        <f>"07010"</f>
        <v>07010</v>
      </c>
      <c r="C1101" s="14" t="str">
        <f>"1800"</f>
        <v>1800</v>
      </c>
      <c r="D1101" s="14" t="str">
        <f>""</f>
        <v/>
      </c>
      <c r="E1101" s="14" t="s">
        <v>1090</v>
      </c>
      <c r="F1101" s="14" t="s">
        <v>1002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228</v>
      </c>
      <c r="P1101" s="14" t="s">
        <v>260</v>
      </c>
      <c r="Q1101" s="14" t="s">
        <v>260</v>
      </c>
      <c r="R1101" s="14" t="s">
        <v>229</v>
      </c>
    </row>
    <row r="1102" spans="1:18" s="14" customFormat="1" x14ac:dyDescent="0.25">
      <c r="A1102" s="14" t="str">
        <f>"83200"</f>
        <v>83200</v>
      </c>
      <c r="B1102" s="14" t="str">
        <f>"07010"</f>
        <v>07010</v>
      </c>
      <c r="C1102" s="14" t="str">
        <f>"1800"</f>
        <v>1800</v>
      </c>
      <c r="D1102" s="14" t="str">
        <f>""</f>
        <v/>
      </c>
      <c r="E1102" s="14" t="s">
        <v>1091</v>
      </c>
      <c r="F1102" s="14" t="s">
        <v>1002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228</v>
      </c>
      <c r="P1102" s="14" t="s">
        <v>260</v>
      </c>
      <c r="Q1102" s="14" t="s">
        <v>260</v>
      </c>
      <c r="R1102" s="14" t="s">
        <v>229</v>
      </c>
    </row>
    <row r="1103" spans="1:18" s="14" customFormat="1" x14ac:dyDescent="0.25">
      <c r="A1103" s="14" t="str">
        <f>"83202"</f>
        <v>83202</v>
      </c>
      <c r="B1103" s="14" t="str">
        <f>"07010"</f>
        <v>07010</v>
      </c>
      <c r="C1103" s="14" t="str">
        <f>"1800"</f>
        <v>1800</v>
      </c>
      <c r="D1103" s="14" t="str">
        <f>""</f>
        <v/>
      </c>
      <c r="E1103" s="14" t="s">
        <v>1092</v>
      </c>
      <c r="F1103" s="14" t="s">
        <v>1002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228</v>
      </c>
      <c r="P1103" s="14" t="s">
        <v>260</v>
      </c>
      <c r="Q1103" s="14" t="s">
        <v>260</v>
      </c>
      <c r="R1103" s="14" t="s">
        <v>229</v>
      </c>
    </row>
    <row r="1104" spans="1:18" s="14" customFormat="1" x14ac:dyDescent="0.25">
      <c r="A1104" s="14" t="str">
        <f>"83204"</f>
        <v>83204</v>
      </c>
      <c r="B1104" s="14" t="str">
        <f>"07010"</f>
        <v>07010</v>
      </c>
      <c r="C1104" s="14" t="str">
        <f>"1800"</f>
        <v>1800</v>
      </c>
      <c r="D1104" s="14" t="str">
        <f>""</f>
        <v/>
      </c>
      <c r="E1104" s="14" t="s">
        <v>1093</v>
      </c>
      <c r="F1104" s="14" t="s">
        <v>1002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228</v>
      </c>
      <c r="P1104" s="14" t="s">
        <v>260</v>
      </c>
      <c r="Q1104" s="14" t="s">
        <v>260</v>
      </c>
      <c r="R1104" s="14" t="s">
        <v>229</v>
      </c>
    </row>
    <row r="1105" spans="1:18" s="14" customFormat="1" x14ac:dyDescent="0.25">
      <c r="A1105" s="14" t="str">
        <f>"83205"</f>
        <v>83205</v>
      </c>
      <c r="B1105" s="14" t="str">
        <f>"07010"</f>
        <v>07010</v>
      </c>
      <c r="C1105" s="14" t="str">
        <f>"1800"</f>
        <v>1800</v>
      </c>
      <c r="D1105" s="14" t="str">
        <f>""</f>
        <v/>
      </c>
      <c r="E1105" s="14" t="s">
        <v>1094</v>
      </c>
      <c r="F1105" s="14" t="s">
        <v>1002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228</v>
      </c>
      <c r="P1105" s="14" t="s">
        <v>260</v>
      </c>
      <c r="Q1105" s="14" t="s">
        <v>260</v>
      </c>
      <c r="R1105" s="14" t="s">
        <v>229</v>
      </c>
    </row>
    <row r="1106" spans="1:18" s="14" customFormat="1" x14ac:dyDescent="0.25">
      <c r="A1106" s="14" t="str">
        <f>"83206"</f>
        <v>83206</v>
      </c>
      <c r="B1106" s="14" t="str">
        <f>"07010"</f>
        <v>07010</v>
      </c>
      <c r="C1106" s="14" t="str">
        <f>"1800"</f>
        <v>1800</v>
      </c>
      <c r="D1106" s="14" t="str">
        <f>""</f>
        <v/>
      </c>
      <c r="E1106" s="14" t="s">
        <v>1095</v>
      </c>
      <c r="F1106" s="14" t="s">
        <v>1002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228</v>
      </c>
      <c r="P1106" s="14" t="s">
        <v>260</v>
      </c>
      <c r="Q1106" s="14" t="s">
        <v>260</v>
      </c>
      <c r="R1106" s="14" t="s">
        <v>229</v>
      </c>
    </row>
    <row r="1107" spans="1:18" s="14" customFormat="1" x14ac:dyDescent="0.25">
      <c r="A1107" s="14" t="str">
        <f>"83207"</f>
        <v>83207</v>
      </c>
      <c r="B1107" s="14" t="str">
        <f>"07010"</f>
        <v>07010</v>
      </c>
      <c r="C1107" s="14" t="str">
        <f>"1800"</f>
        <v>1800</v>
      </c>
      <c r="D1107" s="14" t="str">
        <f>""</f>
        <v/>
      </c>
      <c r="E1107" s="14" t="s">
        <v>1096</v>
      </c>
      <c r="F1107" s="14" t="s">
        <v>1002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228</v>
      </c>
      <c r="P1107" s="14" t="s">
        <v>260</v>
      </c>
      <c r="Q1107" s="14" t="s">
        <v>260</v>
      </c>
      <c r="R1107" s="14" t="s">
        <v>229</v>
      </c>
    </row>
    <row r="1108" spans="1:18" s="14" customFormat="1" x14ac:dyDescent="0.25">
      <c r="A1108" s="14" t="str">
        <f>"83210"</f>
        <v>83210</v>
      </c>
      <c r="B1108" s="14" t="str">
        <f>"07010"</f>
        <v>07010</v>
      </c>
      <c r="C1108" s="14" t="str">
        <f>"1800"</f>
        <v>1800</v>
      </c>
      <c r="D1108" s="14" t="str">
        <f>""</f>
        <v/>
      </c>
      <c r="E1108" s="14" t="s">
        <v>1097</v>
      </c>
      <c r="F1108" s="14" t="s">
        <v>1002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228</v>
      </c>
      <c r="P1108" s="14" t="s">
        <v>260</v>
      </c>
      <c r="Q1108" s="14" t="s">
        <v>260</v>
      </c>
      <c r="R1108" s="14" t="s">
        <v>229</v>
      </c>
    </row>
    <row r="1109" spans="1:18" s="14" customFormat="1" x14ac:dyDescent="0.25">
      <c r="A1109" s="14" t="str">
        <f>"83214"</f>
        <v>83214</v>
      </c>
      <c r="B1109" s="14" t="str">
        <f>"07010"</f>
        <v>07010</v>
      </c>
      <c r="C1109" s="14" t="str">
        <f>"1800"</f>
        <v>1800</v>
      </c>
      <c r="D1109" s="14" t="str">
        <f>""</f>
        <v/>
      </c>
      <c r="E1109" s="14" t="s">
        <v>1098</v>
      </c>
      <c r="F1109" s="14" t="s">
        <v>1002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228</v>
      </c>
      <c r="P1109" s="14" t="s">
        <v>260</v>
      </c>
      <c r="Q1109" s="14" t="s">
        <v>260</v>
      </c>
      <c r="R1109" s="14" t="s">
        <v>229</v>
      </c>
    </row>
    <row r="1110" spans="1:18" s="14" customFormat="1" x14ac:dyDescent="0.25">
      <c r="A1110" s="14" t="str">
        <f>"83215"</f>
        <v>83215</v>
      </c>
      <c r="B1110" s="14" t="str">
        <f>"07010"</f>
        <v>07010</v>
      </c>
      <c r="C1110" s="14" t="str">
        <f>"1800"</f>
        <v>1800</v>
      </c>
      <c r="D1110" s="14" t="str">
        <f>""</f>
        <v/>
      </c>
      <c r="E1110" s="14" t="s">
        <v>1099</v>
      </c>
      <c r="F1110" s="14" t="s">
        <v>1002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228</v>
      </c>
      <c r="P1110" s="14" t="s">
        <v>260</v>
      </c>
      <c r="Q1110" s="14" t="s">
        <v>260</v>
      </c>
      <c r="R1110" s="14" t="s">
        <v>229</v>
      </c>
    </row>
    <row r="1111" spans="1:18" s="14" customFormat="1" x14ac:dyDescent="0.25">
      <c r="A1111" s="14" t="str">
        <f>"83216"</f>
        <v>83216</v>
      </c>
      <c r="B1111" s="14" t="str">
        <f>"07010"</f>
        <v>07010</v>
      </c>
      <c r="C1111" s="14" t="str">
        <f>"1800"</f>
        <v>1800</v>
      </c>
      <c r="D1111" s="14" t="str">
        <f>""</f>
        <v/>
      </c>
      <c r="E1111" s="14" t="s">
        <v>1100</v>
      </c>
      <c r="F1111" s="14" t="s">
        <v>1002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228</v>
      </c>
      <c r="P1111" s="14" t="s">
        <v>260</v>
      </c>
      <c r="Q1111" s="14" t="s">
        <v>260</v>
      </c>
      <c r="R1111" s="14" t="s">
        <v>229</v>
      </c>
    </row>
    <row r="1112" spans="1:18" s="14" customFormat="1" x14ac:dyDescent="0.25">
      <c r="A1112" s="14" t="str">
        <f>"83217"</f>
        <v>83217</v>
      </c>
      <c r="B1112" s="14" t="str">
        <f>"07010"</f>
        <v>07010</v>
      </c>
      <c r="C1112" s="14" t="str">
        <f>"1800"</f>
        <v>1800</v>
      </c>
      <c r="D1112" s="14" t="str">
        <f>""</f>
        <v/>
      </c>
      <c r="E1112" s="14" t="s">
        <v>1101</v>
      </c>
      <c r="F1112" s="14" t="s">
        <v>1002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228</v>
      </c>
      <c r="P1112" s="14" t="s">
        <v>260</v>
      </c>
      <c r="Q1112" s="14" t="s">
        <v>260</v>
      </c>
      <c r="R1112" s="14" t="s">
        <v>229</v>
      </c>
    </row>
    <row r="1113" spans="1:18" s="14" customFormat="1" x14ac:dyDescent="0.25">
      <c r="A1113" s="14" t="str">
        <f>"83218"</f>
        <v>83218</v>
      </c>
      <c r="B1113" s="14" t="str">
        <f>"07010"</f>
        <v>07010</v>
      </c>
      <c r="C1113" s="14" t="str">
        <f>"1800"</f>
        <v>1800</v>
      </c>
      <c r="D1113" s="14" t="str">
        <f>""</f>
        <v/>
      </c>
      <c r="E1113" s="14" t="s">
        <v>1102</v>
      </c>
      <c r="F1113" s="14" t="s">
        <v>1002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228</v>
      </c>
      <c r="P1113" s="14" t="s">
        <v>260</v>
      </c>
      <c r="Q1113" s="14" t="s">
        <v>260</v>
      </c>
      <c r="R1113" s="14" t="s">
        <v>229</v>
      </c>
    </row>
    <row r="1114" spans="1:18" s="14" customFormat="1" x14ac:dyDescent="0.25">
      <c r="A1114" s="14" t="str">
        <f>"83219"</f>
        <v>83219</v>
      </c>
      <c r="B1114" s="14" t="str">
        <f>"07010"</f>
        <v>07010</v>
      </c>
      <c r="C1114" s="14" t="str">
        <f>"1800"</f>
        <v>1800</v>
      </c>
      <c r="D1114" s="14" t="str">
        <f>""</f>
        <v/>
      </c>
      <c r="E1114" s="14" t="s">
        <v>1103</v>
      </c>
      <c r="F1114" s="14" t="s">
        <v>1002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228</v>
      </c>
      <c r="P1114" s="14" t="s">
        <v>260</v>
      </c>
      <c r="Q1114" s="14" t="s">
        <v>260</v>
      </c>
      <c r="R1114" s="14" t="s">
        <v>229</v>
      </c>
    </row>
    <row r="1115" spans="1:18" s="14" customFormat="1" x14ac:dyDescent="0.25">
      <c r="A1115" s="14" t="str">
        <f>"83220"</f>
        <v>83220</v>
      </c>
      <c r="B1115" s="14" t="str">
        <f>"07010"</f>
        <v>07010</v>
      </c>
      <c r="C1115" s="14" t="str">
        <f>"1800"</f>
        <v>1800</v>
      </c>
      <c r="D1115" s="14" t="str">
        <f>""</f>
        <v/>
      </c>
      <c r="E1115" s="14" t="s">
        <v>1104</v>
      </c>
      <c r="F1115" s="14" t="s">
        <v>1002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228</v>
      </c>
      <c r="P1115" s="14" t="s">
        <v>260</v>
      </c>
      <c r="Q1115" s="14" t="s">
        <v>260</v>
      </c>
      <c r="R1115" s="14" t="s">
        <v>229</v>
      </c>
    </row>
    <row r="1116" spans="1:18" s="14" customFormat="1" x14ac:dyDescent="0.25">
      <c r="A1116" s="14" t="str">
        <f>"83221"</f>
        <v>83221</v>
      </c>
      <c r="B1116" s="14" t="str">
        <f>"07010"</f>
        <v>07010</v>
      </c>
      <c r="C1116" s="14" t="str">
        <f>"1800"</f>
        <v>1800</v>
      </c>
      <c r="D1116" s="14" t="str">
        <f>""</f>
        <v/>
      </c>
      <c r="E1116" s="14" t="s">
        <v>1105</v>
      </c>
      <c r="F1116" s="14" t="s">
        <v>1002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228</v>
      </c>
      <c r="P1116" s="14" t="s">
        <v>260</v>
      </c>
      <c r="Q1116" s="14" t="s">
        <v>260</v>
      </c>
      <c r="R1116" s="14" t="s">
        <v>229</v>
      </c>
    </row>
    <row r="1117" spans="1:18" s="14" customFormat="1" x14ac:dyDescent="0.25">
      <c r="A1117" s="14" t="str">
        <f>"83222"</f>
        <v>83222</v>
      </c>
      <c r="B1117" s="14" t="str">
        <f>"07010"</f>
        <v>07010</v>
      </c>
      <c r="C1117" s="14" t="str">
        <f>"1800"</f>
        <v>1800</v>
      </c>
      <c r="D1117" s="14" t="str">
        <f>""</f>
        <v/>
      </c>
      <c r="E1117" s="14" t="s">
        <v>1106</v>
      </c>
      <c r="F1117" s="14" t="s">
        <v>1002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228</v>
      </c>
      <c r="P1117" s="14" t="s">
        <v>260</v>
      </c>
      <c r="Q1117" s="14" t="s">
        <v>260</v>
      </c>
      <c r="R1117" s="14" t="s">
        <v>229</v>
      </c>
    </row>
    <row r="1118" spans="1:18" s="14" customFormat="1" x14ac:dyDescent="0.25">
      <c r="A1118" s="14" t="str">
        <f>"83225"</f>
        <v>83225</v>
      </c>
      <c r="B1118" s="14" t="str">
        <f>"07010"</f>
        <v>07010</v>
      </c>
      <c r="C1118" s="14" t="str">
        <f>"1800"</f>
        <v>1800</v>
      </c>
      <c r="D1118" s="14" t="str">
        <f>""</f>
        <v/>
      </c>
      <c r="E1118" s="14" t="s">
        <v>1107</v>
      </c>
      <c r="F1118" s="14" t="s">
        <v>1002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228</v>
      </c>
      <c r="P1118" s="14" t="s">
        <v>260</v>
      </c>
      <c r="Q1118" s="14" t="s">
        <v>260</v>
      </c>
      <c r="R1118" s="14" t="s">
        <v>229</v>
      </c>
    </row>
    <row r="1119" spans="1:18" s="14" customFormat="1" x14ac:dyDescent="0.25">
      <c r="A1119" s="14" t="str">
        <f>"83226"</f>
        <v>83226</v>
      </c>
      <c r="B1119" s="14" t="str">
        <f>"07010"</f>
        <v>07010</v>
      </c>
      <c r="C1119" s="14" t="str">
        <f>"1800"</f>
        <v>1800</v>
      </c>
      <c r="D1119" s="14" t="str">
        <f>""</f>
        <v/>
      </c>
      <c r="E1119" s="14" t="s">
        <v>1108</v>
      </c>
      <c r="F1119" s="14" t="s">
        <v>1002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228</v>
      </c>
      <c r="P1119" s="14" t="s">
        <v>260</v>
      </c>
      <c r="Q1119" s="14" t="s">
        <v>260</v>
      </c>
      <c r="R1119" s="14" t="s">
        <v>229</v>
      </c>
    </row>
    <row r="1120" spans="1:18" s="14" customFormat="1" x14ac:dyDescent="0.25">
      <c r="A1120" s="14" t="str">
        <f>"83228"</f>
        <v>83228</v>
      </c>
      <c r="B1120" s="14" t="str">
        <f>"07010"</f>
        <v>07010</v>
      </c>
      <c r="C1120" s="14" t="str">
        <f>"1800"</f>
        <v>1800</v>
      </c>
      <c r="D1120" s="14" t="str">
        <f>""</f>
        <v/>
      </c>
      <c r="E1120" s="14" t="s">
        <v>1109</v>
      </c>
      <c r="F1120" s="14" t="s">
        <v>1002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228</v>
      </c>
      <c r="P1120" s="14" t="s">
        <v>260</v>
      </c>
      <c r="Q1120" s="14" t="s">
        <v>260</v>
      </c>
      <c r="R1120" s="14" t="s">
        <v>229</v>
      </c>
    </row>
    <row r="1121" spans="1:18" s="14" customFormat="1" x14ac:dyDescent="0.25">
      <c r="A1121" s="14" t="str">
        <f>"83229"</f>
        <v>83229</v>
      </c>
      <c r="B1121" s="14" t="str">
        <f>"07010"</f>
        <v>07010</v>
      </c>
      <c r="C1121" s="14" t="str">
        <f>"1800"</f>
        <v>1800</v>
      </c>
      <c r="D1121" s="14" t="str">
        <f>""</f>
        <v/>
      </c>
      <c r="E1121" s="14" t="s">
        <v>1110</v>
      </c>
      <c r="F1121" s="14" t="s">
        <v>1002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228</v>
      </c>
      <c r="P1121" s="14" t="s">
        <v>260</v>
      </c>
      <c r="Q1121" s="14" t="s">
        <v>260</v>
      </c>
      <c r="R1121" s="14" t="s">
        <v>229</v>
      </c>
    </row>
    <row r="1122" spans="1:18" s="14" customFormat="1" x14ac:dyDescent="0.25">
      <c r="A1122" s="14" t="str">
        <f>"83230"</f>
        <v>83230</v>
      </c>
      <c r="B1122" s="14" t="str">
        <f>"07010"</f>
        <v>07010</v>
      </c>
      <c r="C1122" s="14" t="str">
        <f>"1800"</f>
        <v>1800</v>
      </c>
      <c r="D1122" s="14" t="str">
        <f>""</f>
        <v/>
      </c>
      <c r="E1122" s="14" t="s">
        <v>1111</v>
      </c>
      <c r="F1122" s="14" t="s">
        <v>1002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228</v>
      </c>
      <c r="P1122" s="14" t="s">
        <v>260</v>
      </c>
      <c r="Q1122" s="14" t="s">
        <v>260</v>
      </c>
      <c r="R1122" s="14" t="s">
        <v>229</v>
      </c>
    </row>
    <row r="1123" spans="1:18" s="14" customFormat="1" x14ac:dyDescent="0.25">
      <c r="A1123" s="14" t="str">
        <f>"83231"</f>
        <v>83231</v>
      </c>
      <c r="B1123" s="14" t="str">
        <f>"07010"</f>
        <v>07010</v>
      </c>
      <c r="C1123" s="14" t="str">
        <f>"1800"</f>
        <v>1800</v>
      </c>
      <c r="D1123" s="14" t="str">
        <f>""</f>
        <v/>
      </c>
      <c r="E1123" s="14" t="s">
        <v>1112</v>
      </c>
      <c r="F1123" s="14" t="s">
        <v>1002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228</v>
      </c>
      <c r="P1123" s="14" t="s">
        <v>260</v>
      </c>
      <c r="Q1123" s="14" t="s">
        <v>260</v>
      </c>
      <c r="R1123" s="14" t="s">
        <v>229</v>
      </c>
    </row>
    <row r="1124" spans="1:18" s="14" customFormat="1" x14ac:dyDescent="0.25">
      <c r="A1124" s="14" t="str">
        <f>"83232"</f>
        <v>83232</v>
      </c>
      <c r="B1124" s="14" t="str">
        <f>"07010"</f>
        <v>07010</v>
      </c>
      <c r="C1124" s="14" t="str">
        <f>"1800"</f>
        <v>1800</v>
      </c>
      <c r="D1124" s="14" t="str">
        <f>""</f>
        <v/>
      </c>
      <c r="E1124" s="14" t="s">
        <v>1113</v>
      </c>
      <c r="F1124" s="14" t="s">
        <v>1002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228</v>
      </c>
      <c r="P1124" s="14" t="s">
        <v>260</v>
      </c>
      <c r="Q1124" s="14" t="s">
        <v>260</v>
      </c>
      <c r="R1124" s="14" t="s">
        <v>229</v>
      </c>
    </row>
    <row r="1125" spans="1:18" s="14" customFormat="1" x14ac:dyDescent="0.25">
      <c r="A1125" s="14" t="str">
        <f>"83233"</f>
        <v>83233</v>
      </c>
      <c r="B1125" s="14" t="str">
        <f>"07010"</f>
        <v>07010</v>
      </c>
      <c r="C1125" s="14" t="str">
        <f>"1800"</f>
        <v>1800</v>
      </c>
      <c r="D1125" s="14" t="str">
        <f>""</f>
        <v/>
      </c>
      <c r="E1125" s="14" t="s">
        <v>1114</v>
      </c>
      <c r="F1125" s="14" t="s">
        <v>1002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228</v>
      </c>
      <c r="P1125" s="14" t="s">
        <v>260</v>
      </c>
      <c r="Q1125" s="14" t="s">
        <v>260</v>
      </c>
      <c r="R1125" s="14" t="s">
        <v>229</v>
      </c>
    </row>
    <row r="1126" spans="1:18" s="14" customFormat="1" x14ac:dyDescent="0.25">
      <c r="A1126" s="14" t="str">
        <f>"83234"</f>
        <v>83234</v>
      </c>
      <c r="B1126" s="14" t="str">
        <f>"07010"</f>
        <v>07010</v>
      </c>
      <c r="C1126" s="14" t="str">
        <f>"1800"</f>
        <v>1800</v>
      </c>
      <c r="D1126" s="14" t="str">
        <f>""</f>
        <v/>
      </c>
      <c r="E1126" s="14" t="s">
        <v>1115</v>
      </c>
      <c r="F1126" s="14" t="s">
        <v>1002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228</v>
      </c>
      <c r="P1126" s="14" t="s">
        <v>260</v>
      </c>
      <c r="Q1126" s="14" t="s">
        <v>260</v>
      </c>
      <c r="R1126" s="14" t="s">
        <v>229</v>
      </c>
    </row>
    <row r="1127" spans="1:18" s="14" customFormat="1" x14ac:dyDescent="0.25">
      <c r="A1127" s="14" t="str">
        <f>"83237"</f>
        <v>83237</v>
      </c>
      <c r="B1127" s="14" t="str">
        <f>"07010"</f>
        <v>07010</v>
      </c>
      <c r="C1127" s="14" t="str">
        <f>"1800"</f>
        <v>1800</v>
      </c>
      <c r="D1127" s="14" t="str">
        <f>""</f>
        <v/>
      </c>
      <c r="E1127" s="14" t="s">
        <v>1116</v>
      </c>
      <c r="F1127" s="14" t="s">
        <v>1002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228</v>
      </c>
      <c r="P1127" s="14" t="s">
        <v>260</v>
      </c>
      <c r="Q1127" s="14" t="s">
        <v>260</v>
      </c>
      <c r="R1127" s="14" t="s">
        <v>229</v>
      </c>
    </row>
    <row r="1128" spans="1:18" s="14" customFormat="1" x14ac:dyDescent="0.25">
      <c r="A1128" s="14" t="str">
        <f>"83241"</f>
        <v>83241</v>
      </c>
      <c r="B1128" s="14" t="str">
        <f>"07010"</f>
        <v>07010</v>
      </c>
      <c r="C1128" s="14" t="str">
        <f>"1800"</f>
        <v>1800</v>
      </c>
      <c r="D1128" s="14" t="str">
        <f>""</f>
        <v/>
      </c>
      <c r="E1128" s="14" t="s">
        <v>1117</v>
      </c>
      <c r="F1128" s="14" t="s">
        <v>1002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228</v>
      </c>
      <c r="P1128" s="14" t="s">
        <v>260</v>
      </c>
      <c r="Q1128" s="14" t="s">
        <v>260</v>
      </c>
      <c r="R1128" s="14" t="s">
        <v>229</v>
      </c>
    </row>
    <row r="1129" spans="1:18" s="14" customFormat="1" x14ac:dyDescent="0.25">
      <c r="A1129" s="14" t="str">
        <f>"83243"</f>
        <v>83243</v>
      </c>
      <c r="B1129" s="14" t="str">
        <f>"07010"</f>
        <v>07010</v>
      </c>
      <c r="C1129" s="14" t="str">
        <f>"1800"</f>
        <v>1800</v>
      </c>
      <c r="D1129" s="14" t="str">
        <f>""</f>
        <v/>
      </c>
      <c r="E1129" s="14" t="s">
        <v>1118</v>
      </c>
      <c r="F1129" s="14" t="s">
        <v>1002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228</v>
      </c>
      <c r="P1129" s="14" t="s">
        <v>260</v>
      </c>
      <c r="Q1129" s="14" t="s">
        <v>260</v>
      </c>
      <c r="R1129" s="14" t="s">
        <v>229</v>
      </c>
    </row>
    <row r="1130" spans="1:18" s="14" customFormat="1" x14ac:dyDescent="0.25">
      <c r="A1130" s="14" t="str">
        <f>"83244"</f>
        <v>83244</v>
      </c>
      <c r="B1130" s="14" t="str">
        <f>"07010"</f>
        <v>07010</v>
      </c>
      <c r="C1130" s="14" t="str">
        <f>"1800"</f>
        <v>1800</v>
      </c>
      <c r="D1130" s="14" t="str">
        <f>""</f>
        <v/>
      </c>
      <c r="E1130" s="14" t="s">
        <v>1119</v>
      </c>
      <c r="F1130" s="14" t="s">
        <v>1002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228</v>
      </c>
      <c r="P1130" s="14" t="s">
        <v>260</v>
      </c>
      <c r="Q1130" s="14" t="s">
        <v>260</v>
      </c>
      <c r="R1130" s="14" t="s">
        <v>229</v>
      </c>
    </row>
    <row r="1131" spans="1:18" s="14" customFormat="1" x14ac:dyDescent="0.25">
      <c r="A1131" s="14" t="str">
        <f>"83247"</f>
        <v>83247</v>
      </c>
      <c r="B1131" s="14" t="str">
        <f>"07010"</f>
        <v>07010</v>
      </c>
      <c r="C1131" s="14" t="str">
        <f>"1800"</f>
        <v>1800</v>
      </c>
      <c r="D1131" s="14" t="str">
        <f>""</f>
        <v/>
      </c>
      <c r="E1131" s="14" t="s">
        <v>1120</v>
      </c>
      <c r="F1131" s="14" t="s">
        <v>1002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228</v>
      </c>
      <c r="P1131" s="14" t="s">
        <v>260</v>
      </c>
      <c r="Q1131" s="14" t="s">
        <v>260</v>
      </c>
      <c r="R1131" s="14" t="s">
        <v>229</v>
      </c>
    </row>
    <row r="1132" spans="1:18" s="14" customFormat="1" x14ac:dyDescent="0.25">
      <c r="A1132" s="14" t="str">
        <f>"83248"</f>
        <v>83248</v>
      </c>
      <c r="B1132" s="14" t="str">
        <f>"07010"</f>
        <v>07010</v>
      </c>
      <c r="C1132" s="14" t="str">
        <f>"1800"</f>
        <v>1800</v>
      </c>
      <c r="D1132" s="14" t="str">
        <f>""</f>
        <v/>
      </c>
      <c r="E1132" s="14" t="s">
        <v>1121</v>
      </c>
      <c r="F1132" s="14" t="s">
        <v>1002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228</v>
      </c>
      <c r="P1132" s="14" t="s">
        <v>260</v>
      </c>
      <c r="Q1132" s="14" t="s">
        <v>260</v>
      </c>
      <c r="R1132" s="14" t="s">
        <v>229</v>
      </c>
    </row>
    <row r="1133" spans="1:18" s="14" customFormat="1" x14ac:dyDescent="0.25">
      <c r="A1133" s="14" t="str">
        <f>"83251"</f>
        <v>83251</v>
      </c>
      <c r="B1133" s="14" t="str">
        <f>"07010"</f>
        <v>07010</v>
      </c>
      <c r="C1133" s="14" t="str">
        <f>"1800"</f>
        <v>1800</v>
      </c>
      <c r="D1133" s="14" t="str">
        <f>""</f>
        <v/>
      </c>
      <c r="E1133" s="14" t="s">
        <v>1122</v>
      </c>
      <c r="F1133" s="14" t="s">
        <v>1002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228</v>
      </c>
      <c r="P1133" s="14" t="s">
        <v>260</v>
      </c>
      <c r="Q1133" s="14" t="s">
        <v>260</v>
      </c>
      <c r="R1133" s="14" t="s">
        <v>229</v>
      </c>
    </row>
    <row r="1134" spans="1:18" s="14" customFormat="1" x14ac:dyDescent="0.25">
      <c r="A1134" s="14" t="str">
        <f>"83257"</f>
        <v>83257</v>
      </c>
      <c r="B1134" s="14" t="str">
        <f>"07010"</f>
        <v>07010</v>
      </c>
      <c r="C1134" s="14" t="str">
        <f>"1800"</f>
        <v>1800</v>
      </c>
      <c r="D1134" s="14" t="str">
        <f>""</f>
        <v/>
      </c>
      <c r="E1134" s="14" t="s">
        <v>1123</v>
      </c>
      <c r="F1134" s="14" t="s">
        <v>1002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228</v>
      </c>
      <c r="P1134" s="14" t="s">
        <v>260</v>
      </c>
      <c r="Q1134" s="14" t="s">
        <v>260</v>
      </c>
      <c r="R1134" s="14" t="s">
        <v>229</v>
      </c>
    </row>
    <row r="1135" spans="1:18" s="14" customFormat="1" x14ac:dyDescent="0.25">
      <c r="A1135" s="14" t="str">
        <f>"83258"</f>
        <v>83258</v>
      </c>
      <c r="B1135" s="14" t="str">
        <f>"07010"</f>
        <v>07010</v>
      </c>
      <c r="C1135" s="14" t="str">
        <f>"1800"</f>
        <v>1800</v>
      </c>
      <c r="D1135" s="14" t="str">
        <f>""</f>
        <v/>
      </c>
      <c r="E1135" s="14" t="s">
        <v>1124</v>
      </c>
      <c r="F1135" s="14" t="s">
        <v>1002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228</v>
      </c>
      <c r="P1135" s="14" t="s">
        <v>260</v>
      </c>
      <c r="Q1135" s="14" t="s">
        <v>260</v>
      </c>
      <c r="R1135" s="14" t="s">
        <v>229</v>
      </c>
    </row>
    <row r="1136" spans="1:18" s="14" customFormat="1" x14ac:dyDescent="0.25">
      <c r="A1136" s="14" t="str">
        <f>"83259"</f>
        <v>83259</v>
      </c>
      <c r="B1136" s="14" t="str">
        <f>"07010"</f>
        <v>07010</v>
      </c>
      <c r="C1136" s="14" t="str">
        <f>"1800"</f>
        <v>1800</v>
      </c>
      <c r="D1136" s="14" t="str">
        <f>""</f>
        <v/>
      </c>
      <c r="E1136" s="14" t="s">
        <v>1125</v>
      </c>
      <c r="F1136" s="14" t="s">
        <v>1002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228</v>
      </c>
      <c r="P1136" s="14" t="s">
        <v>260</v>
      </c>
      <c r="Q1136" s="14" t="s">
        <v>260</v>
      </c>
      <c r="R1136" s="14" t="s">
        <v>229</v>
      </c>
    </row>
    <row r="1137" spans="1:18" s="14" customFormat="1" x14ac:dyDescent="0.25">
      <c r="A1137" s="14" t="str">
        <f>"83260"</f>
        <v>83260</v>
      </c>
      <c r="B1137" s="14" t="str">
        <f>"07010"</f>
        <v>07010</v>
      </c>
      <c r="C1137" s="14" t="str">
        <f>"1800"</f>
        <v>1800</v>
      </c>
      <c r="D1137" s="14" t="str">
        <f>""</f>
        <v/>
      </c>
      <c r="E1137" s="14" t="s">
        <v>1126</v>
      </c>
      <c r="F1137" s="14" t="s">
        <v>1002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228</v>
      </c>
      <c r="P1137" s="14" t="s">
        <v>260</v>
      </c>
      <c r="Q1137" s="14" t="s">
        <v>260</v>
      </c>
      <c r="R1137" s="14" t="s">
        <v>229</v>
      </c>
    </row>
    <row r="1138" spans="1:18" s="14" customFormat="1" x14ac:dyDescent="0.25">
      <c r="A1138" s="14" t="str">
        <f>"83261"</f>
        <v>83261</v>
      </c>
      <c r="B1138" s="14" t="str">
        <f>"07010"</f>
        <v>07010</v>
      </c>
      <c r="C1138" s="14" t="str">
        <f>"1800"</f>
        <v>1800</v>
      </c>
      <c r="D1138" s="14" t="str">
        <f>""</f>
        <v/>
      </c>
      <c r="E1138" s="14" t="s">
        <v>1127</v>
      </c>
      <c r="F1138" s="14" t="s">
        <v>1002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228</v>
      </c>
      <c r="P1138" s="14" t="s">
        <v>260</v>
      </c>
      <c r="Q1138" s="14" t="s">
        <v>260</v>
      </c>
      <c r="R1138" s="14" t="s">
        <v>229</v>
      </c>
    </row>
    <row r="1139" spans="1:18" s="14" customFormat="1" x14ac:dyDescent="0.25">
      <c r="A1139" s="14" t="str">
        <f>"83262"</f>
        <v>83262</v>
      </c>
      <c r="B1139" s="14" t="str">
        <f>"07010"</f>
        <v>07010</v>
      </c>
      <c r="C1139" s="14" t="str">
        <f>"1800"</f>
        <v>1800</v>
      </c>
      <c r="D1139" s="14" t="str">
        <f>""</f>
        <v/>
      </c>
      <c r="E1139" s="14" t="s">
        <v>1128</v>
      </c>
      <c r="F1139" s="14" t="s">
        <v>1002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228</v>
      </c>
      <c r="P1139" s="14" t="s">
        <v>260</v>
      </c>
      <c r="Q1139" s="14" t="s">
        <v>260</v>
      </c>
      <c r="R1139" s="14" t="s">
        <v>229</v>
      </c>
    </row>
    <row r="1140" spans="1:18" s="14" customFormat="1" x14ac:dyDescent="0.25">
      <c r="A1140" s="14" t="str">
        <f>"83265"</f>
        <v>83265</v>
      </c>
      <c r="B1140" s="14" t="str">
        <f>"07010"</f>
        <v>07010</v>
      </c>
      <c r="C1140" s="14" t="str">
        <f>"1800"</f>
        <v>1800</v>
      </c>
      <c r="D1140" s="14" t="str">
        <f>""</f>
        <v/>
      </c>
      <c r="E1140" s="14" t="s">
        <v>1129</v>
      </c>
      <c r="F1140" s="14" t="s">
        <v>1002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228</v>
      </c>
      <c r="P1140" s="14" t="s">
        <v>260</v>
      </c>
      <c r="Q1140" s="14" t="s">
        <v>260</v>
      </c>
      <c r="R1140" s="14" t="s">
        <v>229</v>
      </c>
    </row>
    <row r="1141" spans="1:18" s="14" customFormat="1" x14ac:dyDescent="0.25">
      <c r="A1141" s="14" t="str">
        <f>"83269"</f>
        <v>83269</v>
      </c>
      <c r="B1141" s="14" t="str">
        <f>"07010"</f>
        <v>07010</v>
      </c>
      <c r="C1141" s="14" t="str">
        <f>"1800"</f>
        <v>1800</v>
      </c>
      <c r="D1141" s="14" t="str">
        <f>""</f>
        <v/>
      </c>
      <c r="E1141" s="14" t="s">
        <v>1130</v>
      </c>
      <c r="F1141" s="14" t="s">
        <v>1002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228</v>
      </c>
      <c r="P1141" s="14" t="s">
        <v>260</v>
      </c>
      <c r="Q1141" s="14" t="s">
        <v>260</v>
      </c>
      <c r="R1141" s="14" t="s">
        <v>229</v>
      </c>
    </row>
    <row r="1142" spans="1:18" s="14" customFormat="1" x14ac:dyDescent="0.25">
      <c r="A1142" s="14" t="str">
        <f>"83270"</f>
        <v>83270</v>
      </c>
      <c r="B1142" s="14" t="str">
        <f>"07010"</f>
        <v>07010</v>
      </c>
      <c r="C1142" s="14" t="str">
        <f>"1800"</f>
        <v>1800</v>
      </c>
      <c r="D1142" s="14" t="str">
        <f>""</f>
        <v/>
      </c>
      <c r="E1142" s="14" t="s">
        <v>1131</v>
      </c>
      <c r="F1142" s="14" t="s">
        <v>1002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228</v>
      </c>
      <c r="P1142" s="14" t="s">
        <v>260</v>
      </c>
      <c r="Q1142" s="14" t="s">
        <v>260</v>
      </c>
      <c r="R1142" s="14" t="s">
        <v>229</v>
      </c>
    </row>
    <row r="1143" spans="1:18" s="14" customFormat="1" x14ac:dyDescent="0.25">
      <c r="A1143" s="14" t="str">
        <f>"83273"</f>
        <v>83273</v>
      </c>
      <c r="B1143" s="14" t="str">
        <f>"07010"</f>
        <v>07010</v>
      </c>
      <c r="C1143" s="14" t="str">
        <f>"1800"</f>
        <v>1800</v>
      </c>
      <c r="D1143" s="14" t="str">
        <f>""</f>
        <v/>
      </c>
      <c r="E1143" s="14" t="s">
        <v>1132</v>
      </c>
      <c r="F1143" s="14" t="s">
        <v>1002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228</v>
      </c>
      <c r="P1143" s="14" t="s">
        <v>260</v>
      </c>
      <c r="Q1143" s="14" t="s">
        <v>260</v>
      </c>
      <c r="R1143" s="14" t="s">
        <v>229</v>
      </c>
    </row>
    <row r="1144" spans="1:18" s="14" customFormat="1" x14ac:dyDescent="0.25">
      <c r="A1144" s="14" t="str">
        <f>"83275"</f>
        <v>83275</v>
      </c>
      <c r="B1144" s="14" t="str">
        <f>"07010"</f>
        <v>07010</v>
      </c>
      <c r="C1144" s="14" t="str">
        <f>"1800"</f>
        <v>1800</v>
      </c>
      <c r="D1144" s="14" t="str">
        <f>""</f>
        <v/>
      </c>
      <c r="E1144" s="14" t="s">
        <v>1133</v>
      </c>
      <c r="F1144" s="14" t="s">
        <v>1002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228</v>
      </c>
      <c r="P1144" s="14" t="s">
        <v>260</v>
      </c>
      <c r="Q1144" s="14" t="s">
        <v>260</v>
      </c>
      <c r="R1144" s="14" t="s">
        <v>229</v>
      </c>
    </row>
    <row r="1145" spans="1:18" s="14" customFormat="1" x14ac:dyDescent="0.25">
      <c r="A1145" s="14" t="str">
        <f>"83278"</f>
        <v>83278</v>
      </c>
      <c r="B1145" s="14" t="str">
        <f>"07010"</f>
        <v>07010</v>
      </c>
      <c r="C1145" s="14" t="str">
        <f>"1800"</f>
        <v>1800</v>
      </c>
      <c r="D1145" s="14" t="str">
        <f>""</f>
        <v/>
      </c>
      <c r="E1145" s="14" t="s">
        <v>1134</v>
      </c>
      <c r="F1145" s="14" t="s">
        <v>1002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228</v>
      </c>
      <c r="P1145" s="14" t="s">
        <v>260</v>
      </c>
      <c r="Q1145" s="14" t="s">
        <v>260</v>
      </c>
      <c r="R1145" s="14" t="s">
        <v>229</v>
      </c>
    </row>
    <row r="1146" spans="1:18" s="14" customFormat="1" x14ac:dyDescent="0.25">
      <c r="A1146" s="14" t="str">
        <f>"83279"</f>
        <v>83279</v>
      </c>
      <c r="B1146" s="14" t="str">
        <f>"07010"</f>
        <v>07010</v>
      </c>
      <c r="C1146" s="14" t="str">
        <f>"1800"</f>
        <v>1800</v>
      </c>
      <c r="D1146" s="14" t="str">
        <f>""</f>
        <v/>
      </c>
      <c r="E1146" s="14" t="s">
        <v>1135</v>
      </c>
      <c r="F1146" s="14" t="s">
        <v>1002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228</v>
      </c>
      <c r="P1146" s="14" t="s">
        <v>260</v>
      </c>
      <c r="Q1146" s="14" t="s">
        <v>260</v>
      </c>
      <c r="R1146" s="14" t="s">
        <v>229</v>
      </c>
    </row>
    <row r="1147" spans="1:18" s="14" customFormat="1" x14ac:dyDescent="0.25">
      <c r="A1147" s="14" t="str">
        <f>"83280"</f>
        <v>83280</v>
      </c>
      <c r="B1147" s="14" t="str">
        <f>"07010"</f>
        <v>07010</v>
      </c>
      <c r="C1147" s="14" t="str">
        <f>"1800"</f>
        <v>1800</v>
      </c>
      <c r="D1147" s="14" t="str">
        <f>""</f>
        <v/>
      </c>
      <c r="E1147" s="14" t="s">
        <v>1136</v>
      </c>
      <c r="F1147" s="14" t="s">
        <v>1002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228</v>
      </c>
      <c r="P1147" s="14" t="s">
        <v>260</v>
      </c>
      <c r="Q1147" s="14" t="s">
        <v>260</v>
      </c>
      <c r="R1147" s="14" t="s">
        <v>229</v>
      </c>
    </row>
    <row r="1148" spans="1:18" s="14" customFormat="1" x14ac:dyDescent="0.25">
      <c r="A1148" s="14" t="str">
        <f>"83283"</f>
        <v>83283</v>
      </c>
      <c r="B1148" s="14" t="str">
        <f>"07010"</f>
        <v>07010</v>
      </c>
      <c r="C1148" s="14" t="str">
        <f>"1800"</f>
        <v>1800</v>
      </c>
      <c r="D1148" s="14" t="str">
        <f>""</f>
        <v/>
      </c>
      <c r="E1148" s="14" t="s">
        <v>1137</v>
      </c>
      <c r="F1148" s="14" t="s">
        <v>1002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228</v>
      </c>
      <c r="P1148" s="14" t="s">
        <v>260</v>
      </c>
      <c r="Q1148" s="14" t="s">
        <v>260</v>
      </c>
      <c r="R1148" s="14" t="s">
        <v>229</v>
      </c>
    </row>
    <row r="1149" spans="1:18" s="14" customFormat="1" x14ac:dyDescent="0.25">
      <c r="A1149" s="14" t="str">
        <f>"83284"</f>
        <v>83284</v>
      </c>
      <c r="B1149" s="14" t="str">
        <f>"07010"</f>
        <v>07010</v>
      </c>
      <c r="C1149" s="14" t="str">
        <f>"1800"</f>
        <v>1800</v>
      </c>
      <c r="D1149" s="14" t="str">
        <f>""</f>
        <v/>
      </c>
      <c r="E1149" s="14" t="s">
        <v>1138</v>
      </c>
      <c r="F1149" s="14" t="s">
        <v>1002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228</v>
      </c>
      <c r="P1149" s="14" t="s">
        <v>260</v>
      </c>
      <c r="Q1149" s="14" t="s">
        <v>260</v>
      </c>
      <c r="R1149" s="14" t="s">
        <v>229</v>
      </c>
    </row>
    <row r="1150" spans="1:18" s="14" customFormat="1" x14ac:dyDescent="0.25">
      <c r="A1150" s="14" t="str">
        <f>"83287"</f>
        <v>83287</v>
      </c>
      <c r="B1150" s="14" t="str">
        <f>"07010"</f>
        <v>07010</v>
      </c>
      <c r="C1150" s="14" t="str">
        <f>"1800"</f>
        <v>1800</v>
      </c>
      <c r="D1150" s="14" t="str">
        <f>""</f>
        <v/>
      </c>
      <c r="E1150" s="14" t="s">
        <v>1139</v>
      </c>
      <c r="F1150" s="14" t="s">
        <v>1002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228</v>
      </c>
      <c r="P1150" s="14" t="s">
        <v>260</v>
      </c>
      <c r="Q1150" s="14" t="s">
        <v>260</v>
      </c>
      <c r="R1150" s="14" t="s">
        <v>229</v>
      </c>
    </row>
    <row r="1151" spans="1:18" s="14" customFormat="1" x14ac:dyDescent="0.25">
      <c r="A1151" s="14" t="str">
        <f>"83288"</f>
        <v>83288</v>
      </c>
      <c r="B1151" s="14" t="str">
        <f>"07010"</f>
        <v>07010</v>
      </c>
      <c r="C1151" s="14" t="str">
        <f>"1800"</f>
        <v>1800</v>
      </c>
      <c r="D1151" s="14" t="str">
        <f>""</f>
        <v/>
      </c>
      <c r="E1151" s="14" t="s">
        <v>1140</v>
      </c>
      <c r="F1151" s="14" t="s">
        <v>1002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228</v>
      </c>
      <c r="P1151" s="14" t="s">
        <v>260</v>
      </c>
      <c r="Q1151" s="14" t="s">
        <v>260</v>
      </c>
      <c r="R1151" s="14" t="s">
        <v>229</v>
      </c>
    </row>
    <row r="1152" spans="1:18" s="14" customFormat="1" x14ac:dyDescent="0.25">
      <c r="A1152" s="14" t="str">
        <f>"83289"</f>
        <v>83289</v>
      </c>
      <c r="B1152" s="14" t="str">
        <f>"07010"</f>
        <v>07010</v>
      </c>
      <c r="C1152" s="14" t="str">
        <f>"1800"</f>
        <v>1800</v>
      </c>
      <c r="D1152" s="14" t="str">
        <f>""</f>
        <v/>
      </c>
      <c r="E1152" s="14" t="s">
        <v>1141</v>
      </c>
      <c r="F1152" s="14" t="s">
        <v>1002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228</v>
      </c>
      <c r="P1152" s="14" t="s">
        <v>260</v>
      </c>
      <c r="Q1152" s="14" t="s">
        <v>260</v>
      </c>
      <c r="R1152" s="14" t="s">
        <v>229</v>
      </c>
    </row>
    <row r="1153" spans="1:18" s="14" customFormat="1" x14ac:dyDescent="0.25">
      <c r="A1153" s="14" t="str">
        <f>"83290"</f>
        <v>83290</v>
      </c>
      <c r="B1153" s="14" t="str">
        <f>"07010"</f>
        <v>07010</v>
      </c>
      <c r="C1153" s="14" t="str">
        <f>"1800"</f>
        <v>1800</v>
      </c>
      <c r="D1153" s="14" t="str">
        <f>""</f>
        <v/>
      </c>
      <c r="E1153" s="14" t="s">
        <v>1142</v>
      </c>
      <c r="F1153" s="14" t="s">
        <v>1002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228</v>
      </c>
      <c r="P1153" s="14" t="s">
        <v>260</v>
      </c>
      <c r="Q1153" s="14" t="s">
        <v>260</v>
      </c>
      <c r="R1153" s="14" t="s">
        <v>229</v>
      </c>
    </row>
    <row r="1154" spans="1:18" s="14" customFormat="1" x14ac:dyDescent="0.25">
      <c r="A1154" s="14" t="str">
        <f>"83291"</f>
        <v>83291</v>
      </c>
      <c r="B1154" s="14" t="str">
        <f>"07010"</f>
        <v>07010</v>
      </c>
      <c r="C1154" s="14" t="str">
        <f>"1800"</f>
        <v>1800</v>
      </c>
      <c r="D1154" s="14" t="str">
        <f>""</f>
        <v/>
      </c>
      <c r="E1154" s="14" t="s">
        <v>1143</v>
      </c>
      <c r="F1154" s="14" t="s">
        <v>1002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228</v>
      </c>
      <c r="P1154" s="14" t="s">
        <v>260</v>
      </c>
      <c r="Q1154" s="14" t="s">
        <v>260</v>
      </c>
      <c r="R1154" s="14" t="s">
        <v>229</v>
      </c>
    </row>
    <row r="1155" spans="1:18" s="14" customFormat="1" x14ac:dyDescent="0.25">
      <c r="A1155" s="14" t="str">
        <f>"83293"</f>
        <v>83293</v>
      </c>
      <c r="B1155" s="14" t="str">
        <f>"07010"</f>
        <v>07010</v>
      </c>
      <c r="C1155" s="14" t="str">
        <f>"1800"</f>
        <v>1800</v>
      </c>
      <c r="D1155" s="14" t="str">
        <f>""</f>
        <v/>
      </c>
      <c r="E1155" s="14" t="s">
        <v>1144</v>
      </c>
      <c r="F1155" s="14" t="s">
        <v>1002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228</v>
      </c>
      <c r="P1155" s="14" t="s">
        <v>260</v>
      </c>
      <c r="Q1155" s="14" t="s">
        <v>260</v>
      </c>
      <c r="R1155" s="14" t="s">
        <v>229</v>
      </c>
    </row>
    <row r="1156" spans="1:18" s="14" customFormat="1" x14ac:dyDescent="0.25">
      <c r="A1156" s="14" t="str">
        <f>"83294"</f>
        <v>83294</v>
      </c>
      <c r="B1156" s="14" t="str">
        <f>"07010"</f>
        <v>07010</v>
      </c>
      <c r="C1156" s="14" t="str">
        <f>"1800"</f>
        <v>1800</v>
      </c>
      <c r="D1156" s="14" t="str">
        <f>""</f>
        <v/>
      </c>
      <c r="E1156" s="14" t="s">
        <v>1145</v>
      </c>
      <c r="F1156" s="14" t="s">
        <v>1002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228</v>
      </c>
      <c r="P1156" s="14" t="s">
        <v>260</v>
      </c>
      <c r="Q1156" s="14" t="s">
        <v>260</v>
      </c>
      <c r="R1156" s="14" t="s">
        <v>229</v>
      </c>
    </row>
    <row r="1157" spans="1:18" s="14" customFormat="1" x14ac:dyDescent="0.25">
      <c r="A1157" s="14" t="str">
        <f>"83296"</f>
        <v>83296</v>
      </c>
      <c r="B1157" s="14" t="str">
        <f>"07010"</f>
        <v>07010</v>
      </c>
      <c r="C1157" s="14" t="str">
        <f>"1800"</f>
        <v>1800</v>
      </c>
      <c r="D1157" s="14" t="str">
        <f>""</f>
        <v/>
      </c>
      <c r="E1157" s="14" t="s">
        <v>1146</v>
      </c>
      <c r="F1157" s="14" t="s">
        <v>1002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228</v>
      </c>
      <c r="P1157" s="14" t="s">
        <v>260</v>
      </c>
      <c r="Q1157" s="14" t="s">
        <v>260</v>
      </c>
      <c r="R1157" s="14" t="s">
        <v>229</v>
      </c>
    </row>
    <row r="1158" spans="1:18" s="14" customFormat="1" x14ac:dyDescent="0.25">
      <c r="A1158" s="14" t="str">
        <f>"83299"</f>
        <v>83299</v>
      </c>
      <c r="B1158" s="14" t="str">
        <f>"07010"</f>
        <v>07010</v>
      </c>
      <c r="C1158" s="14" t="str">
        <f>"1800"</f>
        <v>1800</v>
      </c>
      <c r="D1158" s="14" t="str">
        <f>""</f>
        <v/>
      </c>
      <c r="E1158" s="14" t="s">
        <v>1147</v>
      </c>
      <c r="F1158" s="14" t="s">
        <v>1002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228</v>
      </c>
      <c r="P1158" s="14" t="s">
        <v>260</v>
      </c>
      <c r="Q1158" s="14" t="s">
        <v>260</v>
      </c>
      <c r="R1158" s="14" t="s">
        <v>229</v>
      </c>
    </row>
    <row r="1159" spans="1:18" s="14" customFormat="1" x14ac:dyDescent="0.25">
      <c r="A1159" s="14" t="str">
        <f>"83300"</f>
        <v>83300</v>
      </c>
      <c r="B1159" s="14" t="str">
        <f>"07010"</f>
        <v>07010</v>
      </c>
      <c r="C1159" s="14" t="str">
        <f>"1800"</f>
        <v>1800</v>
      </c>
      <c r="D1159" s="14" t="str">
        <f>""</f>
        <v/>
      </c>
      <c r="E1159" s="14" t="s">
        <v>1148</v>
      </c>
      <c r="F1159" s="14" t="s">
        <v>1002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228</v>
      </c>
      <c r="P1159" s="14" t="s">
        <v>260</v>
      </c>
      <c r="Q1159" s="14" t="s">
        <v>260</v>
      </c>
      <c r="R1159" s="14" t="s">
        <v>229</v>
      </c>
    </row>
    <row r="1160" spans="1:18" s="14" customFormat="1" x14ac:dyDescent="0.25">
      <c r="A1160" s="14" t="str">
        <f>"83301"</f>
        <v>83301</v>
      </c>
      <c r="B1160" s="14" t="str">
        <f>"07010"</f>
        <v>07010</v>
      </c>
      <c r="C1160" s="14" t="str">
        <f>"1800"</f>
        <v>1800</v>
      </c>
      <c r="D1160" s="14" t="str">
        <f>""</f>
        <v/>
      </c>
      <c r="E1160" s="14" t="s">
        <v>1149</v>
      </c>
      <c r="F1160" s="14" t="s">
        <v>1002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228</v>
      </c>
      <c r="P1160" s="14" t="s">
        <v>260</v>
      </c>
      <c r="Q1160" s="14" t="s">
        <v>260</v>
      </c>
      <c r="R1160" s="14" t="s">
        <v>229</v>
      </c>
    </row>
    <row r="1161" spans="1:18" s="14" customFormat="1" x14ac:dyDescent="0.25">
      <c r="A1161" s="14" t="str">
        <f>"83306"</f>
        <v>83306</v>
      </c>
      <c r="B1161" s="14" t="str">
        <f>"07010"</f>
        <v>07010</v>
      </c>
      <c r="C1161" s="14" t="str">
        <f>"1800"</f>
        <v>1800</v>
      </c>
      <c r="D1161" s="14" t="str">
        <f>""</f>
        <v/>
      </c>
      <c r="E1161" s="14" t="s">
        <v>1150</v>
      </c>
      <c r="F1161" s="14" t="s">
        <v>1002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228</v>
      </c>
      <c r="P1161" s="14" t="s">
        <v>260</v>
      </c>
      <c r="Q1161" s="14" t="s">
        <v>260</v>
      </c>
      <c r="R1161" s="14" t="s">
        <v>229</v>
      </c>
    </row>
    <row r="1162" spans="1:18" s="14" customFormat="1" x14ac:dyDescent="0.25">
      <c r="A1162" s="14" t="str">
        <f>"83309"</f>
        <v>83309</v>
      </c>
      <c r="B1162" s="14" t="str">
        <f>"07010"</f>
        <v>07010</v>
      </c>
      <c r="C1162" s="14" t="str">
        <f>"1800"</f>
        <v>1800</v>
      </c>
      <c r="D1162" s="14" t="str">
        <f>""</f>
        <v/>
      </c>
      <c r="E1162" s="14" t="s">
        <v>1151</v>
      </c>
      <c r="F1162" s="14" t="s">
        <v>1002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228</v>
      </c>
      <c r="P1162" s="14" t="s">
        <v>260</v>
      </c>
      <c r="Q1162" s="14" t="s">
        <v>260</v>
      </c>
      <c r="R1162" s="14" t="s">
        <v>229</v>
      </c>
    </row>
    <row r="1163" spans="1:18" s="14" customFormat="1" x14ac:dyDescent="0.25">
      <c r="A1163" s="14" t="str">
        <f>"83310"</f>
        <v>83310</v>
      </c>
      <c r="B1163" s="14" t="str">
        <f>"07010"</f>
        <v>07010</v>
      </c>
      <c r="C1163" s="14" t="str">
        <f>"1800"</f>
        <v>1800</v>
      </c>
      <c r="D1163" s="14" t="str">
        <f>""</f>
        <v/>
      </c>
      <c r="E1163" s="14" t="s">
        <v>1152</v>
      </c>
      <c r="F1163" s="14" t="s">
        <v>1002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228</v>
      </c>
      <c r="P1163" s="14" t="s">
        <v>260</v>
      </c>
      <c r="Q1163" s="14" t="s">
        <v>260</v>
      </c>
      <c r="R1163" s="14" t="s">
        <v>229</v>
      </c>
    </row>
    <row r="1164" spans="1:18" s="14" customFormat="1" x14ac:dyDescent="0.25">
      <c r="A1164" s="14" t="str">
        <f>"83312"</f>
        <v>83312</v>
      </c>
      <c r="B1164" s="14" t="str">
        <f>"07010"</f>
        <v>07010</v>
      </c>
      <c r="C1164" s="14" t="str">
        <f>"1800"</f>
        <v>1800</v>
      </c>
      <c r="D1164" s="14" t="str">
        <f>""</f>
        <v/>
      </c>
      <c r="E1164" s="14" t="s">
        <v>1153</v>
      </c>
      <c r="F1164" s="14" t="s">
        <v>1002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228</v>
      </c>
      <c r="P1164" s="14" t="s">
        <v>260</v>
      </c>
      <c r="Q1164" s="14" t="s">
        <v>260</v>
      </c>
      <c r="R1164" s="14" t="s">
        <v>229</v>
      </c>
    </row>
    <row r="1165" spans="1:18" s="14" customFormat="1" x14ac:dyDescent="0.25">
      <c r="A1165" s="14" t="str">
        <f>"83313"</f>
        <v>83313</v>
      </c>
      <c r="B1165" s="14" t="str">
        <f>"07010"</f>
        <v>07010</v>
      </c>
      <c r="C1165" s="14" t="str">
        <f>"1800"</f>
        <v>1800</v>
      </c>
      <c r="D1165" s="14" t="str">
        <f>""</f>
        <v/>
      </c>
      <c r="E1165" s="14" t="s">
        <v>1154</v>
      </c>
      <c r="F1165" s="14" t="s">
        <v>1002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228</v>
      </c>
      <c r="P1165" s="14" t="s">
        <v>260</v>
      </c>
      <c r="Q1165" s="14" t="s">
        <v>260</v>
      </c>
      <c r="R1165" s="14" t="s">
        <v>229</v>
      </c>
    </row>
    <row r="1166" spans="1:18" s="14" customFormat="1" x14ac:dyDescent="0.25">
      <c r="A1166" s="14" t="str">
        <f>"83315"</f>
        <v>83315</v>
      </c>
      <c r="B1166" s="14" t="str">
        <f>"07010"</f>
        <v>07010</v>
      </c>
      <c r="C1166" s="14" t="str">
        <f>"1800"</f>
        <v>1800</v>
      </c>
      <c r="D1166" s="14" t="str">
        <f>""</f>
        <v/>
      </c>
      <c r="E1166" s="14" t="s">
        <v>1155</v>
      </c>
      <c r="F1166" s="14" t="s">
        <v>1002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228</v>
      </c>
      <c r="P1166" s="14" t="s">
        <v>260</v>
      </c>
      <c r="Q1166" s="14" t="s">
        <v>260</v>
      </c>
      <c r="R1166" s="14" t="s">
        <v>229</v>
      </c>
    </row>
    <row r="1167" spans="1:18" s="14" customFormat="1" x14ac:dyDescent="0.25">
      <c r="A1167" s="14" t="str">
        <f>"83316"</f>
        <v>83316</v>
      </c>
      <c r="B1167" s="14" t="str">
        <f>"07010"</f>
        <v>07010</v>
      </c>
      <c r="C1167" s="14" t="str">
        <f>"1800"</f>
        <v>1800</v>
      </c>
      <c r="D1167" s="14" t="str">
        <f>""</f>
        <v/>
      </c>
      <c r="E1167" s="14" t="s">
        <v>1156</v>
      </c>
      <c r="F1167" s="14" t="s">
        <v>1002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228</v>
      </c>
      <c r="P1167" s="14" t="s">
        <v>260</v>
      </c>
      <c r="Q1167" s="14" t="s">
        <v>260</v>
      </c>
      <c r="R1167" s="14" t="s">
        <v>229</v>
      </c>
    </row>
    <row r="1168" spans="1:18" s="14" customFormat="1" x14ac:dyDescent="0.25">
      <c r="A1168" s="14" t="str">
        <f>"83317"</f>
        <v>83317</v>
      </c>
      <c r="B1168" s="14" t="str">
        <f>"07010"</f>
        <v>07010</v>
      </c>
      <c r="C1168" s="14" t="str">
        <f>"1800"</f>
        <v>1800</v>
      </c>
      <c r="D1168" s="14" t="str">
        <f>""</f>
        <v/>
      </c>
      <c r="E1168" s="14" t="s">
        <v>1157</v>
      </c>
      <c r="F1168" s="14" t="s">
        <v>1002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228</v>
      </c>
      <c r="P1168" s="14" t="s">
        <v>260</v>
      </c>
      <c r="Q1168" s="14" t="s">
        <v>260</v>
      </c>
      <c r="R1168" s="14" t="s">
        <v>229</v>
      </c>
    </row>
    <row r="1169" spans="1:18" s="14" customFormat="1" x14ac:dyDescent="0.25">
      <c r="A1169" s="14" t="str">
        <f>"83318"</f>
        <v>83318</v>
      </c>
      <c r="B1169" s="14" t="str">
        <f>"07010"</f>
        <v>07010</v>
      </c>
      <c r="C1169" s="14" t="str">
        <f>"1800"</f>
        <v>1800</v>
      </c>
      <c r="D1169" s="14" t="str">
        <f>""</f>
        <v/>
      </c>
      <c r="E1169" s="14" t="s">
        <v>1158</v>
      </c>
      <c r="F1169" s="14" t="s">
        <v>1002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228</v>
      </c>
      <c r="P1169" s="14" t="s">
        <v>260</v>
      </c>
      <c r="Q1169" s="14" t="s">
        <v>260</v>
      </c>
      <c r="R1169" s="14" t="s">
        <v>229</v>
      </c>
    </row>
    <row r="1170" spans="1:18" s="14" customFormat="1" x14ac:dyDescent="0.25">
      <c r="A1170" s="14" t="str">
        <f>"83319"</f>
        <v>83319</v>
      </c>
      <c r="B1170" s="14" t="str">
        <f>"07010"</f>
        <v>07010</v>
      </c>
      <c r="C1170" s="14" t="str">
        <f>"1800"</f>
        <v>1800</v>
      </c>
      <c r="D1170" s="14" t="str">
        <f>""</f>
        <v/>
      </c>
      <c r="E1170" s="14" t="s">
        <v>1159</v>
      </c>
      <c r="F1170" s="14" t="s">
        <v>1002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228</v>
      </c>
      <c r="P1170" s="14" t="s">
        <v>260</v>
      </c>
      <c r="Q1170" s="14" t="s">
        <v>260</v>
      </c>
      <c r="R1170" s="14" t="s">
        <v>229</v>
      </c>
    </row>
    <row r="1171" spans="1:18" s="14" customFormat="1" x14ac:dyDescent="0.25">
      <c r="A1171" s="14" t="str">
        <f>"83320"</f>
        <v>83320</v>
      </c>
      <c r="B1171" s="14" t="str">
        <f>"07010"</f>
        <v>07010</v>
      </c>
      <c r="C1171" s="14" t="str">
        <f>"1800"</f>
        <v>1800</v>
      </c>
      <c r="D1171" s="14" t="str">
        <f>""</f>
        <v/>
      </c>
      <c r="E1171" s="14" t="s">
        <v>1160</v>
      </c>
      <c r="F1171" s="14" t="s">
        <v>1002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228</v>
      </c>
      <c r="P1171" s="14" t="s">
        <v>260</v>
      </c>
      <c r="Q1171" s="14" t="s">
        <v>260</v>
      </c>
      <c r="R1171" s="14" t="s">
        <v>229</v>
      </c>
    </row>
    <row r="1172" spans="1:18" s="14" customFormat="1" x14ac:dyDescent="0.25">
      <c r="A1172" s="14" t="str">
        <f>"83321"</f>
        <v>83321</v>
      </c>
      <c r="B1172" s="14" t="str">
        <f>"07010"</f>
        <v>07010</v>
      </c>
      <c r="C1172" s="14" t="str">
        <f>"1800"</f>
        <v>1800</v>
      </c>
      <c r="D1172" s="14" t="str">
        <f>""</f>
        <v/>
      </c>
      <c r="E1172" s="14" t="s">
        <v>1161</v>
      </c>
      <c r="F1172" s="14" t="s">
        <v>1002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228</v>
      </c>
      <c r="P1172" s="14" t="s">
        <v>260</v>
      </c>
      <c r="Q1172" s="14" t="s">
        <v>260</v>
      </c>
      <c r="R1172" s="14" t="s">
        <v>229</v>
      </c>
    </row>
    <row r="1173" spans="1:18" s="14" customFormat="1" x14ac:dyDescent="0.25">
      <c r="A1173" s="14" t="str">
        <f>"83323"</f>
        <v>83323</v>
      </c>
      <c r="B1173" s="14" t="str">
        <f>"07010"</f>
        <v>07010</v>
      </c>
      <c r="C1173" s="14" t="str">
        <f>"1800"</f>
        <v>1800</v>
      </c>
      <c r="D1173" s="14" t="str">
        <f>""</f>
        <v/>
      </c>
      <c r="E1173" s="14" t="s">
        <v>1162</v>
      </c>
      <c r="F1173" s="14" t="s">
        <v>1002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228</v>
      </c>
      <c r="P1173" s="14" t="s">
        <v>260</v>
      </c>
      <c r="Q1173" s="14" t="s">
        <v>260</v>
      </c>
      <c r="R1173" s="14" t="s">
        <v>229</v>
      </c>
    </row>
    <row r="1174" spans="1:18" s="14" customFormat="1" x14ac:dyDescent="0.25">
      <c r="A1174" s="14" t="str">
        <f>"83324"</f>
        <v>83324</v>
      </c>
      <c r="B1174" s="14" t="str">
        <f>"07010"</f>
        <v>07010</v>
      </c>
      <c r="C1174" s="14" t="str">
        <f>"1800"</f>
        <v>1800</v>
      </c>
      <c r="D1174" s="14" t="str">
        <f>""</f>
        <v/>
      </c>
      <c r="E1174" s="14" t="s">
        <v>1163</v>
      </c>
      <c r="F1174" s="14" t="s">
        <v>1002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228</v>
      </c>
      <c r="P1174" s="14" t="s">
        <v>260</v>
      </c>
      <c r="Q1174" s="14" t="s">
        <v>260</v>
      </c>
      <c r="R1174" s="14" t="s">
        <v>229</v>
      </c>
    </row>
    <row r="1175" spans="1:18" s="14" customFormat="1" x14ac:dyDescent="0.25">
      <c r="A1175" s="14" t="str">
        <f>"83326"</f>
        <v>83326</v>
      </c>
      <c r="B1175" s="14" t="str">
        <f>"07010"</f>
        <v>07010</v>
      </c>
      <c r="C1175" s="14" t="str">
        <f>"1800"</f>
        <v>1800</v>
      </c>
      <c r="D1175" s="14" t="str">
        <f>""</f>
        <v/>
      </c>
      <c r="E1175" s="14" t="s">
        <v>1164</v>
      </c>
      <c r="F1175" s="14" t="s">
        <v>1002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228</v>
      </c>
      <c r="P1175" s="14" t="s">
        <v>260</v>
      </c>
      <c r="Q1175" s="14" t="s">
        <v>260</v>
      </c>
      <c r="R1175" s="14" t="s">
        <v>229</v>
      </c>
    </row>
    <row r="1176" spans="1:18" s="14" customFormat="1" x14ac:dyDescent="0.25">
      <c r="A1176" s="14" t="str">
        <f>"83330"</f>
        <v>83330</v>
      </c>
      <c r="B1176" s="14" t="str">
        <f>"07010"</f>
        <v>07010</v>
      </c>
      <c r="C1176" s="14" t="str">
        <f>"1800"</f>
        <v>1800</v>
      </c>
      <c r="D1176" s="14" t="str">
        <f>""</f>
        <v/>
      </c>
      <c r="E1176" s="14" t="s">
        <v>1165</v>
      </c>
      <c r="F1176" s="14" t="s">
        <v>1002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228</v>
      </c>
      <c r="P1176" s="14" t="s">
        <v>260</v>
      </c>
      <c r="Q1176" s="14" t="s">
        <v>260</v>
      </c>
      <c r="R1176" s="14" t="s">
        <v>229</v>
      </c>
    </row>
    <row r="1177" spans="1:18" s="14" customFormat="1" x14ac:dyDescent="0.25">
      <c r="A1177" s="14" t="str">
        <f>"83332"</f>
        <v>83332</v>
      </c>
      <c r="B1177" s="14" t="str">
        <f>"07010"</f>
        <v>07010</v>
      </c>
      <c r="C1177" s="14" t="str">
        <f>"1800"</f>
        <v>1800</v>
      </c>
      <c r="D1177" s="14" t="str">
        <f>""</f>
        <v/>
      </c>
      <c r="E1177" s="14" t="s">
        <v>1166</v>
      </c>
      <c r="F1177" s="14" t="s">
        <v>1002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228</v>
      </c>
      <c r="P1177" s="14" t="s">
        <v>260</v>
      </c>
      <c r="Q1177" s="14" t="s">
        <v>260</v>
      </c>
      <c r="R1177" s="14" t="s">
        <v>229</v>
      </c>
    </row>
    <row r="1178" spans="1:18" s="14" customFormat="1" x14ac:dyDescent="0.25">
      <c r="A1178" s="14" t="str">
        <f>"83334"</f>
        <v>83334</v>
      </c>
      <c r="B1178" s="14" t="str">
        <f>"07010"</f>
        <v>07010</v>
      </c>
      <c r="C1178" s="14" t="str">
        <f>"1800"</f>
        <v>1800</v>
      </c>
      <c r="D1178" s="14" t="str">
        <f>""</f>
        <v/>
      </c>
      <c r="E1178" s="14" t="s">
        <v>1167</v>
      </c>
      <c r="F1178" s="14" t="s">
        <v>1002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228</v>
      </c>
      <c r="P1178" s="14" t="s">
        <v>260</v>
      </c>
      <c r="Q1178" s="14" t="s">
        <v>260</v>
      </c>
      <c r="R1178" s="14" t="s">
        <v>229</v>
      </c>
    </row>
    <row r="1179" spans="1:18" s="14" customFormat="1" x14ac:dyDescent="0.25">
      <c r="A1179" s="14" t="str">
        <f>"83335"</f>
        <v>83335</v>
      </c>
      <c r="B1179" s="14" t="str">
        <f>"07010"</f>
        <v>07010</v>
      </c>
      <c r="C1179" s="14" t="str">
        <f>"1800"</f>
        <v>1800</v>
      </c>
      <c r="D1179" s="14" t="str">
        <f>""</f>
        <v/>
      </c>
      <c r="E1179" s="14" t="s">
        <v>1168</v>
      </c>
      <c r="F1179" s="14" t="s">
        <v>1002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228</v>
      </c>
      <c r="P1179" s="14" t="s">
        <v>260</v>
      </c>
      <c r="Q1179" s="14" t="s">
        <v>260</v>
      </c>
      <c r="R1179" s="14" t="s">
        <v>229</v>
      </c>
    </row>
    <row r="1180" spans="1:18" s="14" customFormat="1" x14ac:dyDescent="0.25">
      <c r="A1180" s="14" t="str">
        <f>"83337"</f>
        <v>83337</v>
      </c>
      <c r="B1180" s="14" t="str">
        <f>"07010"</f>
        <v>07010</v>
      </c>
      <c r="C1180" s="14" t="str">
        <f>"1800"</f>
        <v>1800</v>
      </c>
      <c r="D1180" s="14" t="str">
        <f>""</f>
        <v/>
      </c>
      <c r="E1180" s="14" t="s">
        <v>1169</v>
      </c>
      <c r="F1180" s="14" t="s">
        <v>1002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228</v>
      </c>
      <c r="P1180" s="14" t="s">
        <v>260</v>
      </c>
      <c r="Q1180" s="14" t="s">
        <v>260</v>
      </c>
      <c r="R1180" s="14" t="s">
        <v>229</v>
      </c>
    </row>
    <row r="1181" spans="1:18" s="14" customFormat="1" x14ac:dyDescent="0.25">
      <c r="A1181" s="14" t="str">
        <f>"83339"</f>
        <v>83339</v>
      </c>
      <c r="B1181" s="14" t="str">
        <f>"07010"</f>
        <v>07010</v>
      </c>
      <c r="C1181" s="14" t="str">
        <f>"1800"</f>
        <v>1800</v>
      </c>
      <c r="D1181" s="14" t="str">
        <f>""</f>
        <v/>
      </c>
      <c r="E1181" s="14" t="s">
        <v>1170</v>
      </c>
      <c r="F1181" s="14" t="s">
        <v>1002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228</v>
      </c>
      <c r="P1181" s="14" t="s">
        <v>260</v>
      </c>
      <c r="Q1181" s="14" t="s">
        <v>260</v>
      </c>
      <c r="R1181" s="14" t="s">
        <v>229</v>
      </c>
    </row>
    <row r="1182" spans="1:18" s="14" customFormat="1" x14ac:dyDescent="0.25">
      <c r="A1182" s="14" t="str">
        <f>"83340"</f>
        <v>83340</v>
      </c>
      <c r="B1182" s="14" t="str">
        <f>"07010"</f>
        <v>07010</v>
      </c>
      <c r="C1182" s="14" t="str">
        <f>"1800"</f>
        <v>1800</v>
      </c>
      <c r="D1182" s="14" t="str">
        <f>""</f>
        <v/>
      </c>
      <c r="E1182" s="14" t="s">
        <v>1171</v>
      </c>
      <c r="F1182" s="14" t="s">
        <v>1002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228</v>
      </c>
      <c r="P1182" s="14" t="s">
        <v>260</v>
      </c>
      <c r="Q1182" s="14" t="s">
        <v>260</v>
      </c>
      <c r="R1182" s="14" t="s">
        <v>229</v>
      </c>
    </row>
    <row r="1183" spans="1:18" s="14" customFormat="1" x14ac:dyDescent="0.25">
      <c r="A1183" s="14" t="str">
        <f>"83343"</f>
        <v>83343</v>
      </c>
      <c r="B1183" s="14" t="str">
        <f>"07010"</f>
        <v>07010</v>
      </c>
      <c r="C1183" s="14" t="str">
        <f>"1800"</f>
        <v>1800</v>
      </c>
      <c r="D1183" s="14" t="str">
        <f>""</f>
        <v/>
      </c>
      <c r="E1183" s="14" t="s">
        <v>1172</v>
      </c>
      <c r="F1183" s="14" t="s">
        <v>1002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228</v>
      </c>
      <c r="P1183" s="14" t="s">
        <v>260</v>
      </c>
      <c r="Q1183" s="14" t="s">
        <v>260</v>
      </c>
      <c r="R1183" s="14" t="s">
        <v>229</v>
      </c>
    </row>
    <row r="1184" spans="1:18" s="14" customFormat="1" x14ac:dyDescent="0.25">
      <c r="A1184" s="14" t="str">
        <f>"83344"</f>
        <v>83344</v>
      </c>
      <c r="B1184" s="14" t="str">
        <f>"07010"</f>
        <v>07010</v>
      </c>
      <c r="C1184" s="14" t="str">
        <f>"1800"</f>
        <v>1800</v>
      </c>
      <c r="D1184" s="14" t="str">
        <f>""</f>
        <v/>
      </c>
      <c r="E1184" s="14" t="s">
        <v>1173</v>
      </c>
      <c r="F1184" s="14" t="s">
        <v>1002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228</v>
      </c>
      <c r="P1184" s="14" t="s">
        <v>260</v>
      </c>
      <c r="Q1184" s="14" t="s">
        <v>260</v>
      </c>
      <c r="R1184" s="14" t="s">
        <v>229</v>
      </c>
    </row>
    <row r="1185" spans="1:18" s="14" customFormat="1" x14ac:dyDescent="0.25">
      <c r="A1185" s="14" t="str">
        <f>"83345"</f>
        <v>83345</v>
      </c>
      <c r="B1185" s="14" t="str">
        <f>"07010"</f>
        <v>07010</v>
      </c>
      <c r="C1185" s="14" t="str">
        <f>"1800"</f>
        <v>1800</v>
      </c>
      <c r="D1185" s="14" t="str">
        <f>""</f>
        <v/>
      </c>
      <c r="E1185" s="14" t="s">
        <v>1174</v>
      </c>
      <c r="F1185" s="14" t="s">
        <v>1002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228</v>
      </c>
      <c r="P1185" s="14" t="s">
        <v>260</v>
      </c>
      <c r="Q1185" s="14" t="s">
        <v>260</v>
      </c>
      <c r="R1185" s="14" t="s">
        <v>229</v>
      </c>
    </row>
    <row r="1186" spans="1:18" s="14" customFormat="1" x14ac:dyDescent="0.25">
      <c r="A1186" s="14" t="str">
        <f>"83346"</f>
        <v>83346</v>
      </c>
      <c r="B1186" s="14" t="str">
        <f>"07010"</f>
        <v>07010</v>
      </c>
      <c r="C1186" s="14" t="str">
        <f>"1800"</f>
        <v>1800</v>
      </c>
      <c r="D1186" s="14" t="str">
        <f>""</f>
        <v/>
      </c>
      <c r="E1186" s="14" t="s">
        <v>1175</v>
      </c>
      <c r="F1186" s="14" t="s">
        <v>1002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228</v>
      </c>
      <c r="P1186" s="14" t="s">
        <v>260</v>
      </c>
      <c r="Q1186" s="14" t="s">
        <v>260</v>
      </c>
      <c r="R1186" s="14" t="s">
        <v>229</v>
      </c>
    </row>
    <row r="1187" spans="1:18" s="14" customFormat="1" x14ac:dyDescent="0.25">
      <c r="A1187" s="14" t="str">
        <f>"83351"</f>
        <v>83351</v>
      </c>
      <c r="B1187" s="14" t="str">
        <f>"07010"</f>
        <v>07010</v>
      </c>
      <c r="C1187" s="14" t="str">
        <f>"1800"</f>
        <v>1800</v>
      </c>
      <c r="D1187" s="14" t="str">
        <f>""</f>
        <v/>
      </c>
      <c r="E1187" s="14" t="s">
        <v>1176</v>
      </c>
      <c r="F1187" s="14" t="s">
        <v>1002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228</v>
      </c>
      <c r="P1187" s="14" t="s">
        <v>260</v>
      </c>
      <c r="Q1187" s="14" t="s">
        <v>260</v>
      </c>
      <c r="R1187" s="14" t="s">
        <v>229</v>
      </c>
    </row>
    <row r="1188" spans="1:18" s="14" customFormat="1" x14ac:dyDescent="0.25">
      <c r="A1188" s="14" t="str">
        <f>"83352"</f>
        <v>83352</v>
      </c>
      <c r="B1188" s="14" t="str">
        <f>"07010"</f>
        <v>07010</v>
      </c>
      <c r="C1188" s="14" t="str">
        <f>"1800"</f>
        <v>1800</v>
      </c>
      <c r="D1188" s="14" t="str">
        <f>""</f>
        <v/>
      </c>
      <c r="E1188" s="14" t="s">
        <v>1177</v>
      </c>
      <c r="F1188" s="14" t="s">
        <v>1002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228</v>
      </c>
      <c r="P1188" s="14" t="s">
        <v>260</v>
      </c>
      <c r="Q1188" s="14" t="s">
        <v>260</v>
      </c>
      <c r="R1188" s="14" t="s">
        <v>229</v>
      </c>
    </row>
    <row r="1189" spans="1:18" s="14" customFormat="1" x14ac:dyDescent="0.25">
      <c r="A1189" s="14" t="str">
        <f>"83353"</f>
        <v>83353</v>
      </c>
      <c r="B1189" s="14" t="str">
        <f>"07010"</f>
        <v>07010</v>
      </c>
      <c r="C1189" s="14" t="str">
        <f>"1800"</f>
        <v>1800</v>
      </c>
      <c r="D1189" s="14" t="str">
        <f>""</f>
        <v/>
      </c>
      <c r="E1189" s="14" t="s">
        <v>1178</v>
      </c>
      <c r="F1189" s="14" t="s">
        <v>1002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228</v>
      </c>
      <c r="P1189" s="14" t="s">
        <v>260</v>
      </c>
      <c r="Q1189" s="14" t="s">
        <v>260</v>
      </c>
      <c r="R1189" s="14" t="s">
        <v>229</v>
      </c>
    </row>
    <row r="1190" spans="1:18" s="14" customFormat="1" x14ac:dyDescent="0.25">
      <c r="A1190" s="14" t="str">
        <f>"83354"</f>
        <v>83354</v>
      </c>
      <c r="B1190" s="14" t="str">
        <f>"07010"</f>
        <v>07010</v>
      </c>
      <c r="C1190" s="14" t="str">
        <f>"1800"</f>
        <v>1800</v>
      </c>
      <c r="D1190" s="14" t="str">
        <f>""</f>
        <v/>
      </c>
      <c r="E1190" s="14" t="s">
        <v>1179</v>
      </c>
      <c r="F1190" s="14" t="s">
        <v>1002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228</v>
      </c>
      <c r="P1190" s="14" t="s">
        <v>260</v>
      </c>
      <c r="Q1190" s="14" t="s">
        <v>260</v>
      </c>
      <c r="R1190" s="14" t="s">
        <v>229</v>
      </c>
    </row>
    <row r="1191" spans="1:18" s="14" customFormat="1" x14ac:dyDescent="0.25">
      <c r="A1191" s="14" t="str">
        <f>"83355"</f>
        <v>83355</v>
      </c>
      <c r="B1191" s="14" t="str">
        <f>"07010"</f>
        <v>07010</v>
      </c>
      <c r="C1191" s="14" t="str">
        <f>"1800"</f>
        <v>1800</v>
      </c>
      <c r="D1191" s="14" t="str">
        <f>""</f>
        <v/>
      </c>
      <c r="E1191" s="14" t="s">
        <v>1180</v>
      </c>
      <c r="F1191" s="14" t="s">
        <v>1002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228</v>
      </c>
      <c r="P1191" s="14" t="s">
        <v>260</v>
      </c>
      <c r="Q1191" s="14" t="s">
        <v>260</v>
      </c>
      <c r="R1191" s="14" t="s">
        <v>229</v>
      </c>
    </row>
    <row r="1192" spans="1:18" s="14" customFormat="1" x14ac:dyDescent="0.25">
      <c r="A1192" s="14" t="str">
        <f>"83356"</f>
        <v>83356</v>
      </c>
      <c r="B1192" s="14" t="str">
        <f>"07010"</f>
        <v>07010</v>
      </c>
      <c r="C1192" s="14" t="str">
        <f>"1800"</f>
        <v>1800</v>
      </c>
      <c r="D1192" s="14" t="str">
        <f>""</f>
        <v/>
      </c>
      <c r="E1192" s="14" t="s">
        <v>1181</v>
      </c>
      <c r="F1192" s="14" t="s">
        <v>1002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228</v>
      </c>
      <c r="P1192" s="14" t="s">
        <v>260</v>
      </c>
      <c r="Q1192" s="14" t="s">
        <v>260</v>
      </c>
      <c r="R1192" s="14" t="s">
        <v>229</v>
      </c>
    </row>
    <row r="1193" spans="1:18" s="14" customFormat="1" x14ac:dyDescent="0.25">
      <c r="A1193" s="14" t="str">
        <f>"83357"</f>
        <v>83357</v>
      </c>
      <c r="B1193" s="14" t="str">
        <f>"07010"</f>
        <v>07010</v>
      </c>
      <c r="C1193" s="14" t="str">
        <f>"1800"</f>
        <v>1800</v>
      </c>
      <c r="D1193" s="14" t="str">
        <f>""</f>
        <v/>
      </c>
      <c r="E1193" s="14" t="s">
        <v>1182</v>
      </c>
      <c r="F1193" s="14" t="s">
        <v>1002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228</v>
      </c>
      <c r="P1193" s="14" t="s">
        <v>260</v>
      </c>
      <c r="Q1193" s="14" t="s">
        <v>260</v>
      </c>
      <c r="R1193" s="14" t="s">
        <v>229</v>
      </c>
    </row>
    <row r="1194" spans="1:18" s="14" customFormat="1" x14ac:dyDescent="0.25">
      <c r="A1194" s="14" t="str">
        <f>"83359"</f>
        <v>83359</v>
      </c>
      <c r="B1194" s="14" t="str">
        <f>"07010"</f>
        <v>07010</v>
      </c>
      <c r="C1194" s="14" t="str">
        <f>"1800"</f>
        <v>1800</v>
      </c>
      <c r="D1194" s="14" t="str">
        <f>""</f>
        <v/>
      </c>
      <c r="E1194" s="14" t="s">
        <v>1183</v>
      </c>
      <c r="F1194" s="14" t="s">
        <v>1002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228</v>
      </c>
      <c r="P1194" s="14" t="s">
        <v>260</v>
      </c>
      <c r="Q1194" s="14" t="s">
        <v>260</v>
      </c>
      <c r="R1194" s="14" t="s">
        <v>229</v>
      </c>
    </row>
    <row r="1195" spans="1:18" s="14" customFormat="1" x14ac:dyDescent="0.25">
      <c r="A1195" s="14" t="str">
        <f>"83360"</f>
        <v>83360</v>
      </c>
      <c r="B1195" s="14" t="str">
        <f>"07010"</f>
        <v>07010</v>
      </c>
      <c r="C1195" s="14" t="str">
        <f>"1800"</f>
        <v>1800</v>
      </c>
      <c r="D1195" s="14" t="str">
        <f>""</f>
        <v/>
      </c>
      <c r="E1195" s="14" t="s">
        <v>1184</v>
      </c>
      <c r="F1195" s="14" t="s">
        <v>1002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228</v>
      </c>
      <c r="P1195" s="14" t="s">
        <v>260</v>
      </c>
      <c r="Q1195" s="14" t="s">
        <v>260</v>
      </c>
      <c r="R1195" s="14" t="s">
        <v>229</v>
      </c>
    </row>
    <row r="1196" spans="1:18" s="14" customFormat="1" x14ac:dyDescent="0.25">
      <c r="A1196" s="14" t="str">
        <f>"83363"</f>
        <v>83363</v>
      </c>
      <c r="B1196" s="14" t="str">
        <f>"07010"</f>
        <v>07010</v>
      </c>
      <c r="C1196" s="14" t="str">
        <f>"1800"</f>
        <v>1800</v>
      </c>
      <c r="D1196" s="14" t="str">
        <f>""</f>
        <v/>
      </c>
      <c r="E1196" s="14" t="s">
        <v>1185</v>
      </c>
      <c r="F1196" s="14" t="s">
        <v>1002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228</v>
      </c>
      <c r="P1196" s="14" t="s">
        <v>260</v>
      </c>
      <c r="Q1196" s="14" t="s">
        <v>260</v>
      </c>
      <c r="R1196" s="14" t="s">
        <v>229</v>
      </c>
    </row>
    <row r="1197" spans="1:18" s="14" customFormat="1" x14ac:dyDescent="0.25">
      <c r="A1197" s="14" t="str">
        <f>"83364"</f>
        <v>83364</v>
      </c>
      <c r="B1197" s="14" t="str">
        <f>"07010"</f>
        <v>07010</v>
      </c>
      <c r="C1197" s="14" t="str">
        <f>"1800"</f>
        <v>1800</v>
      </c>
      <c r="D1197" s="14" t="str">
        <f>""</f>
        <v/>
      </c>
      <c r="E1197" s="14" t="s">
        <v>1186</v>
      </c>
      <c r="F1197" s="14" t="s">
        <v>1002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228</v>
      </c>
      <c r="P1197" s="14" t="s">
        <v>260</v>
      </c>
      <c r="Q1197" s="14" t="s">
        <v>260</v>
      </c>
      <c r="R1197" s="14" t="s">
        <v>229</v>
      </c>
    </row>
    <row r="1198" spans="1:18" s="14" customFormat="1" x14ac:dyDescent="0.25">
      <c r="A1198" s="14" t="str">
        <f>"83365"</f>
        <v>83365</v>
      </c>
      <c r="B1198" s="14" t="str">
        <f>"07010"</f>
        <v>07010</v>
      </c>
      <c r="C1198" s="14" t="str">
        <f>"1800"</f>
        <v>1800</v>
      </c>
      <c r="D1198" s="14" t="str">
        <f>""</f>
        <v/>
      </c>
      <c r="E1198" s="14" t="s">
        <v>1187</v>
      </c>
      <c r="F1198" s="14" t="s">
        <v>1002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228</v>
      </c>
      <c r="P1198" s="14" t="s">
        <v>260</v>
      </c>
      <c r="Q1198" s="14" t="s">
        <v>260</v>
      </c>
      <c r="R1198" s="14" t="s">
        <v>229</v>
      </c>
    </row>
    <row r="1199" spans="1:18" s="14" customFormat="1" x14ac:dyDescent="0.25">
      <c r="A1199" s="14" t="str">
        <f>"83367"</f>
        <v>83367</v>
      </c>
      <c r="B1199" s="14" t="str">
        <f>"07010"</f>
        <v>07010</v>
      </c>
      <c r="C1199" s="14" t="str">
        <f>"1800"</f>
        <v>1800</v>
      </c>
      <c r="D1199" s="14" t="str">
        <f>""</f>
        <v/>
      </c>
      <c r="E1199" s="14" t="s">
        <v>1188</v>
      </c>
      <c r="F1199" s="14" t="s">
        <v>1002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228</v>
      </c>
      <c r="P1199" s="14" t="s">
        <v>260</v>
      </c>
      <c r="Q1199" s="14" t="s">
        <v>260</v>
      </c>
      <c r="R1199" s="14" t="s">
        <v>229</v>
      </c>
    </row>
    <row r="1200" spans="1:18" s="14" customFormat="1" x14ac:dyDescent="0.25">
      <c r="A1200" s="14" t="str">
        <f>"83368"</f>
        <v>83368</v>
      </c>
      <c r="B1200" s="14" t="str">
        <f>"07010"</f>
        <v>07010</v>
      </c>
      <c r="C1200" s="14" t="str">
        <f>"1800"</f>
        <v>1800</v>
      </c>
      <c r="D1200" s="14" t="str">
        <f>""</f>
        <v/>
      </c>
      <c r="E1200" s="14" t="s">
        <v>1189</v>
      </c>
      <c r="F1200" s="14" t="s">
        <v>1002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228</v>
      </c>
      <c r="P1200" s="14" t="s">
        <v>260</v>
      </c>
      <c r="Q1200" s="14" t="s">
        <v>260</v>
      </c>
      <c r="R1200" s="14" t="s">
        <v>229</v>
      </c>
    </row>
    <row r="1201" spans="1:18" s="14" customFormat="1" x14ac:dyDescent="0.25">
      <c r="A1201" s="14" t="str">
        <f>"83369"</f>
        <v>83369</v>
      </c>
      <c r="B1201" s="14" t="str">
        <f>"07010"</f>
        <v>07010</v>
      </c>
      <c r="C1201" s="14" t="str">
        <f>"1800"</f>
        <v>1800</v>
      </c>
      <c r="D1201" s="14" t="str">
        <f>""</f>
        <v/>
      </c>
      <c r="E1201" s="14" t="s">
        <v>1190</v>
      </c>
      <c r="F1201" s="14" t="s">
        <v>1002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228</v>
      </c>
      <c r="P1201" s="14" t="s">
        <v>260</v>
      </c>
      <c r="Q1201" s="14" t="s">
        <v>260</v>
      </c>
      <c r="R1201" s="14" t="s">
        <v>229</v>
      </c>
    </row>
    <row r="1202" spans="1:18" s="14" customFormat="1" x14ac:dyDescent="0.25">
      <c r="A1202" s="14" t="str">
        <f>"83370"</f>
        <v>83370</v>
      </c>
      <c r="B1202" s="14" t="str">
        <f>"07010"</f>
        <v>07010</v>
      </c>
      <c r="C1202" s="14" t="str">
        <f>"1800"</f>
        <v>1800</v>
      </c>
      <c r="D1202" s="14" t="str">
        <f>""</f>
        <v/>
      </c>
      <c r="E1202" s="14" t="s">
        <v>1191</v>
      </c>
      <c r="F1202" s="14" t="s">
        <v>1002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228</v>
      </c>
      <c r="P1202" s="14" t="s">
        <v>260</v>
      </c>
      <c r="Q1202" s="14" t="s">
        <v>260</v>
      </c>
      <c r="R1202" s="14" t="s">
        <v>229</v>
      </c>
    </row>
    <row r="1203" spans="1:18" s="14" customFormat="1" x14ac:dyDescent="0.25">
      <c r="A1203" s="14" t="str">
        <f>"83371"</f>
        <v>83371</v>
      </c>
      <c r="B1203" s="14" t="str">
        <f>"07010"</f>
        <v>07010</v>
      </c>
      <c r="C1203" s="14" t="str">
        <f>"1800"</f>
        <v>1800</v>
      </c>
      <c r="D1203" s="14" t="str">
        <f>""</f>
        <v/>
      </c>
      <c r="E1203" s="14" t="s">
        <v>1192</v>
      </c>
      <c r="F1203" s="14" t="s">
        <v>1002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228</v>
      </c>
      <c r="P1203" s="14" t="s">
        <v>260</v>
      </c>
      <c r="Q1203" s="14" t="s">
        <v>260</v>
      </c>
      <c r="R1203" s="14" t="s">
        <v>229</v>
      </c>
    </row>
    <row r="1204" spans="1:18" s="14" customFormat="1" x14ac:dyDescent="0.25">
      <c r="A1204" s="14" t="str">
        <f>"83372"</f>
        <v>83372</v>
      </c>
      <c r="B1204" s="14" t="str">
        <f>"07010"</f>
        <v>07010</v>
      </c>
      <c r="C1204" s="14" t="str">
        <f>"1800"</f>
        <v>1800</v>
      </c>
      <c r="D1204" s="14" t="str">
        <f>""</f>
        <v/>
      </c>
      <c r="E1204" s="14" t="s">
        <v>1193</v>
      </c>
      <c r="F1204" s="14" t="s">
        <v>1002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228</v>
      </c>
      <c r="P1204" s="14" t="s">
        <v>260</v>
      </c>
      <c r="Q1204" s="14" t="s">
        <v>260</v>
      </c>
      <c r="R1204" s="14" t="s">
        <v>229</v>
      </c>
    </row>
    <row r="1205" spans="1:18" s="14" customFormat="1" x14ac:dyDescent="0.25">
      <c r="A1205" s="14" t="str">
        <f>"83373"</f>
        <v>83373</v>
      </c>
      <c r="B1205" s="14" t="str">
        <f>"07010"</f>
        <v>07010</v>
      </c>
      <c r="C1205" s="14" t="str">
        <f>"1800"</f>
        <v>1800</v>
      </c>
      <c r="D1205" s="14" t="str">
        <f>""</f>
        <v/>
      </c>
      <c r="E1205" s="14" t="s">
        <v>1194</v>
      </c>
      <c r="F1205" s="14" t="s">
        <v>1002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228</v>
      </c>
      <c r="P1205" s="14" t="s">
        <v>260</v>
      </c>
      <c r="Q1205" s="14" t="s">
        <v>260</v>
      </c>
      <c r="R1205" s="14" t="s">
        <v>229</v>
      </c>
    </row>
    <row r="1206" spans="1:18" s="14" customFormat="1" x14ac:dyDescent="0.25">
      <c r="A1206" s="14" t="str">
        <f>"83374"</f>
        <v>83374</v>
      </c>
      <c r="B1206" s="14" t="str">
        <f>"07010"</f>
        <v>07010</v>
      </c>
      <c r="C1206" s="14" t="str">
        <f>"1800"</f>
        <v>1800</v>
      </c>
      <c r="D1206" s="14" t="str">
        <f>""</f>
        <v/>
      </c>
      <c r="E1206" s="14" t="s">
        <v>1195</v>
      </c>
      <c r="F1206" s="14" t="s">
        <v>1002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228</v>
      </c>
      <c r="P1206" s="14" t="s">
        <v>260</v>
      </c>
      <c r="Q1206" s="14" t="s">
        <v>260</v>
      </c>
      <c r="R1206" s="14" t="s">
        <v>229</v>
      </c>
    </row>
    <row r="1207" spans="1:18" s="14" customFormat="1" x14ac:dyDescent="0.25">
      <c r="A1207" s="14" t="str">
        <f>"83375"</f>
        <v>83375</v>
      </c>
      <c r="B1207" s="14" t="str">
        <f>"07010"</f>
        <v>07010</v>
      </c>
      <c r="C1207" s="14" t="str">
        <f>"1800"</f>
        <v>1800</v>
      </c>
      <c r="D1207" s="14" t="str">
        <f>""</f>
        <v/>
      </c>
      <c r="E1207" s="14" t="s">
        <v>1196</v>
      </c>
      <c r="F1207" s="14" t="s">
        <v>1002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228</v>
      </c>
      <c r="P1207" s="14" t="s">
        <v>260</v>
      </c>
      <c r="Q1207" s="14" t="s">
        <v>260</v>
      </c>
      <c r="R1207" s="14" t="s">
        <v>229</v>
      </c>
    </row>
    <row r="1208" spans="1:18" s="14" customFormat="1" x14ac:dyDescent="0.25">
      <c r="A1208" s="14" t="str">
        <f>"83376"</f>
        <v>83376</v>
      </c>
      <c r="B1208" s="14" t="str">
        <f>"07010"</f>
        <v>07010</v>
      </c>
      <c r="C1208" s="14" t="str">
        <f>"1800"</f>
        <v>1800</v>
      </c>
      <c r="D1208" s="14" t="str">
        <f>""</f>
        <v/>
      </c>
      <c r="E1208" s="14" t="s">
        <v>1197</v>
      </c>
      <c r="F1208" s="14" t="s">
        <v>1002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228</v>
      </c>
      <c r="P1208" s="14" t="s">
        <v>260</v>
      </c>
      <c r="Q1208" s="14" t="s">
        <v>260</v>
      </c>
      <c r="R1208" s="14" t="s">
        <v>229</v>
      </c>
    </row>
    <row r="1209" spans="1:18" s="14" customFormat="1" x14ac:dyDescent="0.25">
      <c r="A1209" s="14" t="str">
        <f>"83378"</f>
        <v>83378</v>
      </c>
      <c r="B1209" s="14" t="str">
        <f>"07010"</f>
        <v>07010</v>
      </c>
      <c r="C1209" s="14" t="str">
        <f>"1800"</f>
        <v>1800</v>
      </c>
      <c r="D1209" s="14" t="str">
        <f>""</f>
        <v/>
      </c>
      <c r="E1209" s="14" t="s">
        <v>1198</v>
      </c>
      <c r="F1209" s="14" t="s">
        <v>1002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228</v>
      </c>
      <c r="P1209" s="14" t="s">
        <v>260</v>
      </c>
      <c r="Q1209" s="14" t="s">
        <v>260</v>
      </c>
      <c r="R1209" s="14" t="s">
        <v>229</v>
      </c>
    </row>
    <row r="1210" spans="1:18" s="14" customFormat="1" x14ac:dyDescent="0.25">
      <c r="A1210" s="14" t="str">
        <f>"83379"</f>
        <v>83379</v>
      </c>
      <c r="B1210" s="14" t="str">
        <f>"07010"</f>
        <v>07010</v>
      </c>
      <c r="C1210" s="14" t="str">
        <f>"1800"</f>
        <v>1800</v>
      </c>
      <c r="D1210" s="14" t="str">
        <f>""</f>
        <v/>
      </c>
      <c r="E1210" s="14" t="s">
        <v>1199</v>
      </c>
      <c r="F1210" s="14" t="s">
        <v>1002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228</v>
      </c>
      <c r="P1210" s="14" t="s">
        <v>260</v>
      </c>
      <c r="Q1210" s="14" t="s">
        <v>260</v>
      </c>
      <c r="R1210" s="14" t="s">
        <v>229</v>
      </c>
    </row>
    <row r="1211" spans="1:18" s="14" customFormat="1" x14ac:dyDescent="0.25">
      <c r="A1211" s="14" t="str">
        <f>"83380"</f>
        <v>83380</v>
      </c>
      <c r="B1211" s="14" t="str">
        <f>"07010"</f>
        <v>07010</v>
      </c>
      <c r="C1211" s="14" t="str">
        <f>"1800"</f>
        <v>1800</v>
      </c>
      <c r="D1211" s="14" t="str">
        <f>""</f>
        <v/>
      </c>
      <c r="E1211" s="14" t="s">
        <v>1200</v>
      </c>
      <c r="F1211" s="14" t="s">
        <v>1002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228</v>
      </c>
      <c r="P1211" s="14" t="s">
        <v>260</v>
      </c>
      <c r="Q1211" s="14" t="s">
        <v>260</v>
      </c>
      <c r="R1211" s="14" t="s">
        <v>229</v>
      </c>
    </row>
    <row r="1212" spans="1:18" s="14" customFormat="1" x14ac:dyDescent="0.25">
      <c r="A1212" s="14" t="str">
        <f>"83381"</f>
        <v>83381</v>
      </c>
      <c r="B1212" s="14" t="str">
        <f>"07010"</f>
        <v>07010</v>
      </c>
      <c r="C1212" s="14" t="str">
        <f>"1800"</f>
        <v>1800</v>
      </c>
      <c r="D1212" s="14" t="str">
        <f>""</f>
        <v/>
      </c>
      <c r="E1212" s="14" t="s">
        <v>1201</v>
      </c>
      <c r="F1212" s="14" t="s">
        <v>1002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228</v>
      </c>
      <c r="P1212" s="14" t="s">
        <v>260</v>
      </c>
      <c r="Q1212" s="14" t="s">
        <v>260</v>
      </c>
      <c r="R1212" s="14" t="s">
        <v>229</v>
      </c>
    </row>
    <row r="1213" spans="1:18" s="14" customFormat="1" x14ac:dyDescent="0.25">
      <c r="A1213" s="14" t="str">
        <f>"83383"</f>
        <v>83383</v>
      </c>
      <c r="B1213" s="14" t="str">
        <f>"07010"</f>
        <v>07010</v>
      </c>
      <c r="C1213" s="14" t="str">
        <f>"1800"</f>
        <v>1800</v>
      </c>
      <c r="D1213" s="14" t="str">
        <f>""</f>
        <v/>
      </c>
      <c r="E1213" s="14" t="s">
        <v>1202</v>
      </c>
      <c r="F1213" s="14" t="s">
        <v>1002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228</v>
      </c>
      <c r="P1213" s="14" t="s">
        <v>260</v>
      </c>
      <c r="Q1213" s="14" t="s">
        <v>260</v>
      </c>
      <c r="R1213" s="14" t="s">
        <v>229</v>
      </c>
    </row>
    <row r="1214" spans="1:18" s="14" customFormat="1" x14ac:dyDescent="0.25">
      <c r="A1214" s="14" t="str">
        <f>"83384"</f>
        <v>83384</v>
      </c>
      <c r="B1214" s="14" t="str">
        <f>"07010"</f>
        <v>07010</v>
      </c>
      <c r="C1214" s="14" t="str">
        <f>"1800"</f>
        <v>1800</v>
      </c>
      <c r="D1214" s="14" t="str">
        <f>""</f>
        <v/>
      </c>
      <c r="E1214" s="14" t="s">
        <v>1203</v>
      </c>
      <c r="F1214" s="14" t="s">
        <v>1002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228</v>
      </c>
      <c r="P1214" s="14" t="s">
        <v>260</v>
      </c>
      <c r="Q1214" s="14" t="s">
        <v>260</v>
      </c>
      <c r="R1214" s="14" t="s">
        <v>229</v>
      </c>
    </row>
    <row r="1215" spans="1:18" s="14" customFormat="1" x14ac:dyDescent="0.25">
      <c r="A1215" s="14" t="str">
        <f>"83385"</f>
        <v>83385</v>
      </c>
      <c r="B1215" s="14" t="str">
        <f>"07010"</f>
        <v>07010</v>
      </c>
      <c r="C1215" s="14" t="str">
        <f>"1800"</f>
        <v>1800</v>
      </c>
      <c r="D1215" s="14" t="str">
        <f>""</f>
        <v/>
      </c>
      <c r="E1215" s="14" t="s">
        <v>1204</v>
      </c>
      <c r="F1215" s="14" t="s">
        <v>1002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228</v>
      </c>
      <c r="P1215" s="14" t="s">
        <v>260</v>
      </c>
      <c r="Q1215" s="14" t="s">
        <v>260</v>
      </c>
      <c r="R1215" s="14" t="s">
        <v>229</v>
      </c>
    </row>
    <row r="1216" spans="1:18" s="14" customFormat="1" x14ac:dyDescent="0.25">
      <c r="A1216" s="14" t="str">
        <f>"83388"</f>
        <v>83388</v>
      </c>
      <c r="B1216" s="14" t="str">
        <f>"07010"</f>
        <v>07010</v>
      </c>
      <c r="C1216" s="14" t="str">
        <f>"1800"</f>
        <v>1800</v>
      </c>
      <c r="D1216" s="14" t="str">
        <f>""</f>
        <v/>
      </c>
      <c r="E1216" s="14" t="s">
        <v>1205</v>
      </c>
      <c r="F1216" s="14" t="s">
        <v>1002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228</v>
      </c>
      <c r="P1216" s="14" t="s">
        <v>260</v>
      </c>
      <c r="Q1216" s="14" t="s">
        <v>260</v>
      </c>
      <c r="R1216" s="14" t="s">
        <v>229</v>
      </c>
    </row>
    <row r="1217" spans="1:18" s="14" customFormat="1" x14ac:dyDescent="0.25">
      <c r="A1217" s="14" t="str">
        <f>"83391"</f>
        <v>83391</v>
      </c>
      <c r="B1217" s="14" t="str">
        <f>"07010"</f>
        <v>07010</v>
      </c>
      <c r="C1217" s="14" t="str">
        <f>"1800"</f>
        <v>1800</v>
      </c>
      <c r="D1217" s="14" t="str">
        <f>""</f>
        <v/>
      </c>
      <c r="E1217" s="14" t="s">
        <v>1206</v>
      </c>
      <c r="F1217" s="14" t="s">
        <v>1002</v>
      </c>
      <c r="G1217" s="14" t="str">
        <f>""</f>
        <v/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228</v>
      </c>
      <c r="P1217" s="14" t="s">
        <v>260</v>
      </c>
      <c r="Q1217" s="14" t="s">
        <v>260</v>
      </c>
      <c r="R1217" s="14" t="s">
        <v>229</v>
      </c>
    </row>
    <row r="1218" spans="1:18" s="14" customFormat="1" x14ac:dyDescent="0.25">
      <c r="A1218" s="14" t="str">
        <f>"83392"</f>
        <v>83392</v>
      </c>
      <c r="B1218" s="14" t="str">
        <f>"07010"</f>
        <v>07010</v>
      </c>
      <c r="C1218" s="14" t="str">
        <f>"1800"</f>
        <v>1800</v>
      </c>
      <c r="D1218" s="14" t="str">
        <f>""</f>
        <v/>
      </c>
      <c r="E1218" s="14" t="s">
        <v>1207</v>
      </c>
      <c r="F1218" s="14" t="s">
        <v>1002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228</v>
      </c>
      <c r="P1218" s="14" t="s">
        <v>260</v>
      </c>
      <c r="Q1218" s="14" t="s">
        <v>260</v>
      </c>
      <c r="R1218" s="14" t="s">
        <v>229</v>
      </c>
    </row>
    <row r="1219" spans="1:18" s="14" customFormat="1" x14ac:dyDescent="0.25">
      <c r="A1219" s="14" t="str">
        <f>"83393"</f>
        <v>83393</v>
      </c>
      <c r="B1219" s="14" t="str">
        <f>"07010"</f>
        <v>07010</v>
      </c>
      <c r="C1219" s="14" t="str">
        <f>"1800"</f>
        <v>1800</v>
      </c>
      <c r="D1219" s="14" t="str">
        <f>""</f>
        <v/>
      </c>
      <c r="E1219" s="14" t="s">
        <v>1208</v>
      </c>
      <c r="F1219" s="14" t="s">
        <v>1002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228</v>
      </c>
      <c r="P1219" s="14" t="s">
        <v>260</v>
      </c>
      <c r="Q1219" s="14" t="s">
        <v>260</v>
      </c>
      <c r="R1219" s="14" t="s">
        <v>229</v>
      </c>
    </row>
    <row r="1220" spans="1:18" s="14" customFormat="1" x14ac:dyDescent="0.25">
      <c r="A1220" s="14" t="str">
        <f>"83394"</f>
        <v>83394</v>
      </c>
      <c r="B1220" s="14" t="str">
        <f>"07010"</f>
        <v>07010</v>
      </c>
      <c r="C1220" s="14" t="str">
        <f>"1800"</f>
        <v>1800</v>
      </c>
      <c r="D1220" s="14" t="str">
        <f>""</f>
        <v/>
      </c>
      <c r="E1220" s="14" t="s">
        <v>1209</v>
      </c>
      <c r="F1220" s="14" t="s">
        <v>1002</v>
      </c>
      <c r="G1220" s="14" t="str">
        <f>""</f>
        <v/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228</v>
      </c>
      <c r="P1220" s="14" t="s">
        <v>260</v>
      </c>
      <c r="Q1220" s="14" t="s">
        <v>260</v>
      </c>
      <c r="R1220" s="14" t="s">
        <v>229</v>
      </c>
    </row>
    <row r="1221" spans="1:18" s="14" customFormat="1" x14ac:dyDescent="0.25">
      <c r="A1221" s="14" t="str">
        <f>"83395"</f>
        <v>83395</v>
      </c>
      <c r="B1221" s="14" t="str">
        <f>"07010"</f>
        <v>07010</v>
      </c>
      <c r="C1221" s="14" t="str">
        <f>"1800"</f>
        <v>1800</v>
      </c>
      <c r="D1221" s="14" t="str">
        <f>""</f>
        <v/>
      </c>
      <c r="E1221" s="14" t="s">
        <v>1210</v>
      </c>
      <c r="F1221" s="14" t="s">
        <v>1002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228</v>
      </c>
      <c r="P1221" s="14" t="s">
        <v>260</v>
      </c>
      <c r="Q1221" s="14" t="s">
        <v>260</v>
      </c>
      <c r="R1221" s="14" t="s">
        <v>229</v>
      </c>
    </row>
    <row r="1222" spans="1:18" s="14" customFormat="1" x14ac:dyDescent="0.25">
      <c r="A1222" s="14" t="str">
        <f>"83396"</f>
        <v>83396</v>
      </c>
      <c r="B1222" s="14" t="str">
        <f>"07010"</f>
        <v>07010</v>
      </c>
      <c r="C1222" s="14" t="str">
        <f>"1800"</f>
        <v>1800</v>
      </c>
      <c r="D1222" s="14" t="str">
        <f>""</f>
        <v/>
      </c>
      <c r="E1222" s="14" t="s">
        <v>1211</v>
      </c>
      <c r="F1222" s="14" t="s">
        <v>1002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228</v>
      </c>
      <c r="P1222" s="14" t="s">
        <v>260</v>
      </c>
      <c r="Q1222" s="14" t="s">
        <v>260</v>
      </c>
      <c r="R1222" s="14" t="s">
        <v>229</v>
      </c>
    </row>
    <row r="1223" spans="1:18" s="14" customFormat="1" x14ac:dyDescent="0.25">
      <c r="A1223" s="14" t="str">
        <f>"83397"</f>
        <v>83397</v>
      </c>
      <c r="B1223" s="14" t="str">
        <f>"07010"</f>
        <v>07010</v>
      </c>
      <c r="C1223" s="14" t="str">
        <f>"1800"</f>
        <v>1800</v>
      </c>
      <c r="D1223" s="14" t="str">
        <f>""</f>
        <v/>
      </c>
      <c r="E1223" s="14" t="s">
        <v>1212</v>
      </c>
      <c r="F1223" s="14" t="s">
        <v>1002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228</v>
      </c>
      <c r="P1223" s="14" t="s">
        <v>260</v>
      </c>
      <c r="Q1223" s="14" t="s">
        <v>260</v>
      </c>
      <c r="R1223" s="14" t="s">
        <v>229</v>
      </c>
    </row>
    <row r="1224" spans="1:18" s="14" customFormat="1" x14ac:dyDescent="0.25">
      <c r="A1224" s="14" t="str">
        <f>"83398"</f>
        <v>83398</v>
      </c>
      <c r="B1224" s="14" t="str">
        <f>"07010"</f>
        <v>07010</v>
      </c>
      <c r="C1224" s="14" t="str">
        <f>"1800"</f>
        <v>1800</v>
      </c>
      <c r="D1224" s="14" t="str">
        <f>""</f>
        <v/>
      </c>
      <c r="E1224" s="14" t="s">
        <v>1213</v>
      </c>
      <c r="F1224" s="14" t="s">
        <v>1002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228</v>
      </c>
      <c r="P1224" s="14" t="s">
        <v>260</v>
      </c>
      <c r="Q1224" s="14" t="s">
        <v>260</v>
      </c>
      <c r="R1224" s="14" t="s">
        <v>229</v>
      </c>
    </row>
    <row r="1225" spans="1:18" s="14" customFormat="1" x14ac:dyDescent="0.25">
      <c r="A1225" s="14" t="str">
        <f>"83399"</f>
        <v>83399</v>
      </c>
      <c r="B1225" s="14" t="str">
        <f>"07010"</f>
        <v>07010</v>
      </c>
      <c r="C1225" s="14" t="str">
        <f>"1800"</f>
        <v>1800</v>
      </c>
      <c r="D1225" s="14" t="str">
        <f>""</f>
        <v/>
      </c>
      <c r="E1225" s="14" t="s">
        <v>1214</v>
      </c>
      <c r="F1225" s="14" t="s">
        <v>1002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228</v>
      </c>
      <c r="P1225" s="14" t="s">
        <v>260</v>
      </c>
      <c r="Q1225" s="14" t="s">
        <v>260</v>
      </c>
      <c r="R1225" s="14" t="s">
        <v>229</v>
      </c>
    </row>
    <row r="1226" spans="1:18" s="14" customFormat="1" x14ac:dyDescent="0.25">
      <c r="A1226" s="14" t="str">
        <f>"83401"</f>
        <v>83401</v>
      </c>
      <c r="B1226" s="14" t="str">
        <f>"07010"</f>
        <v>07010</v>
      </c>
      <c r="C1226" s="14" t="str">
        <f>"1800"</f>
        <v>1800</v>
      </c>
      <c r="D1226" s="14" t="str">
        <f>""</f>
        <v/>
      </c>
      <c r="E1226" s="14" t="s">
        <v>1215</v>
      </c>
      <c r="F1226" s="14" t="s">
        <v>1002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228</v>
      </c>
      <c r="P1226" s="14" t="s">
        <v>260</v>
      </c>
      <c r="Q1226" s="14" t="s">
        <v>260</v>
      </c>
      <c r="R1226" s="14" t="s">
        <v>229</v>
      </c>
    </row>
    <row r="1227" spans="1:18" s="14" customFormat="1" x14ac:dyDescent="0.25">
      <c r="A1227" s="14" t="str">
        <f>"83402"</f>
        <v>83402</v>
      </c>
      <c r="B1227" s="14" t="str">
        <f>"07010"</f>
        <v>07010</v>
      </c>
      <c r="C1227" s="14" t="str">
        <f>"1800"</f>
        <v>1800</v>
      </c>
      <c r="D1227" s="14" t="str">
        <f>""</f>
        <v/>
      </c>
      <c r="E1227" s="14" t="s">
        <v>1216</v>
      </c>
      <c r="F1227" s="14" t="s">
        <v>1002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228</v>
      </c>
      <c r="P1227" s="14" t="s">
        <v>260</v>
      </c>
      <c r="Q1227" s="14" t="s">
        <v>260</v>
      </c>
      <c r="R1227" s="14" t="s">
        <v>229</v>
      </c>
    </row>
    <row r="1228" spans="1:18" s="14" customFormat="1" x14ac:dyDescent="0.25">
      <c r="A1228" s="14" t="str">
        <f>"83403"</f>
        <v>83403</v>
      </c>
      <c r="B1228" s="14" t="str">
        <f>"07010"</f>
        <v>07010</v>
      </c>
      <c r="C1228" s="14" t="str">
        <f>"1800"</f>
        <v>1800</v>
      </c>
      <c r="D1228" s="14" t="str">
        <f>""</f>
        <v/>
      </c>
      <c r="E1228" s="14" t="s">
        <v>1217</v>
      </c>
      <c r="F1228" s="14" t="s">
        <v>1002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228</v>
      </c>
      <c r="P1228" s="14" t="s">
        <v>260</v>
      </c>
      <c r="Q1228" s="14" t="s">
        <v>260</v>
      </c>
      <c r="R1228" s="14" t="s">
        <v>229</v>
      </c>
    </row>
    <row r="1229" spans="1:18" s="14" customFormat="1" x14ac:dyDescent="0.25">
      <c r="A1229" s="14" t="str">
        <f>"83404"</f>
        <v>83404</v>
      </c>
      <c r="B1229" s="14" t="str">
        <f>"07010"</f>
        <v>07010</v>
      </c>
      <c r="C1229" s="14" t="str">
        <f>"1800"</f>
        <v>1800</v>
      </c>
      <c r="D1229" s="14" t="str">
        <f>""</f>
        <v/>
      </c>
      <c r="E1229" s="14" t="s">
        <v>1218</v>
      </c>
      <c r="F1229" s="14" t="s">
        <v>1002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228</v>
      </c>
      <c r="P1229" s="14" t="s">
        <v>260</v>
      </c>
      <c r="Q1229" s="14" t="s">
        <v>260</v>
      </c>
      <c r="R1229" s="14" t="s">
        <v>229</v>
      </c>
    </row>
    <row r="1230" spans="1:18" s="14" customFormat="1" x14ac:dyDescent="0.25">
      <c r="A1230" s="14" t="str">
        <f>"83405"</f>
        <v>83405</v>
      </c>
      <c r="B1230" s="14" t="str">
        <f>"07010"</f>
        <v>07010</v>
      </c>
      <c r="C1230" s="14" t="str">
        <f>"1800"</f>
        <v>1800</v>
      </c>
      <c r="D1230" s="14" t="str">
        <f>""</f>
        <v/>
      </c>
      <c r="E1230" s="14" t="s">
        <v>1219</v>
      </c>
      <c r="F1230" s="14" t="s">
        <v>1002</v>
      </c>
      <c r="G1230" s="14" t="str">
        <f>""</f>
        <v/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228</v>
      </c>
      <c r="P1230" s="14" t="s">
        <v>260</v>
      </c>
      <c r="Q1230" s="14" t="s">
        <v>260</v>
      </c>
      <c r="R1230" s="14" t="s">
        <v>229</v>
      </c>
    </row>
    <row r="1231" spans="1:18" s="14" customFormat="1" x14ac:dyDescent="0.25">
      <c r="A1231" s="14" t="str">
        <f>"83406"</f>
        <v>83406</v>
      </c>
      <c r="B1231" s="14" t="str">
        <f>"07010"</f>
        <v>07010</v>
      </c>
      <c r="C1231" s="14" t="str">
        <f>"1800"</f>
        <v>1800</v>
      </c>
      <c r="D1231" s="14" t="str">
        <f>""</f>
        <v/>
      </c>
      <c r="E1231" s="14" t="s">
        <v>1220</v>
      </c>
      <c r="F1231" s="14" t="s">
        <v>1002</v>
      </c>
      <c r="G1231" s="14" t="str">
        <f>""</f>
        <v/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228</v>
      </c>
      <c r="P1231" s="14" t="s">
        <v>260</v>
      </c>
      <c r="Q1231" s="14" t="s">
        <v>260</v>
      </c>
      <c r="R1231" s="14" t="s">
        <v>229</v>
      </c>
    </row>
    <row r="1232" spans="1:18" s="14" customFormat="1" x14ac:dyDescent="0.25">
      <c r="A1232" s="14" t="str">
        <f>"83407"</f>
        <v>83407</v>
      </c>
      <c r="B1232" s="14" t="str">
        <f>"07010"</f>
        <v>07010</v>
      </c>
      <c r="C1232" s="14" t="str">
        <f>"1800"</f>
        <v>1800</v>
      </c>
      <c r="D1232" s="14" t="str">
        <f>""</f>
        <v/>
      </c>
      <c r="E1232" s="14" t="s">
        <v>1221</v>
      </c>
      <c r="F1232" s="14" t="s">
        <v>1002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228</v>
      </c>
      <c r="P1232" s="14" t="s">
        <v>260</v>
      </c>
      <c r="Q1232" s="14" t="s">
        <v>260</v>
      </c>
      <c r="R1232" s="14" t="s">
        <v>229</v>
      </c>
    </row>
    <row r="1233" spans="1:18" s="14" customFormat="1" x14ac:dyDescent="0.25">
      <c r="A1233" s="14" t="str">
        <f>"83408"</f>
        <v>83408</v>
      </c>
      <c r="B1233" s="14" t="str">
        <f>"07010"</f>
        <v>07010</v>
      </c>
      <c r="C1233" s="14" t="str">
        <f>"1800"</f>
        <v>1800</v>
      </c>
      <c r="D1233" s="14" t="str">
        <f>""</f>
        <v/>
      </c>
      <c r="E1233" s="14" t="s">
        <v>1222</v>
      </c>
      <c r="F1233" s="14" t="s">
        <v>1002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228</v>
      </c>
      <c r="P1233" s="14" t="s">
        <v>260</v>
      </c>
      <c r="Q1233" s="14" t="s">
        <v>260</v>
      </c>
      <c r="R1233" s="14" t="s">
        <v>229</v>
      </c>
    </row>
    <row r="1234" spans="1:18" s="14" customFormat="1" x14ac:dyDescent="0.25">
      <c r="A1234" s="14" t="str">
        <f>"83409"</f>
        <v>83409</v>
      </c>
      <c r="B1234" s="14" t="str">
        <f>"07010"</f>
        <v>07010</v>
      </c>
      <c r="C1234" s="14" t="str">
        <f>"1800"</f>
        <v>1800</v>
      </c>
      <c r="D1234" s="14" t="str">
        <f>""</f>
        <v/>
      </c>
      <c r="E1234" s="14" t="s">
        <v>1223</v>
      </c>
      <c r="F1234" s="14" t="s">
        <v>1002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228</v>
      </c>
      <c r="P1234" s="14" t="s">
        <v>260</v>
      </c>
      <c r="Q1234" s="14" t="s">
        <v>260</v>
      </c>
      <c r="R1234" s="14" t="s">
        <v>229</v>
      </c>
    </row>
    <row r="1235" spans="1:18" s="14" customFormat="1" x14ac:dyDescent="0.25">
      <c r="A1235" s="14" t="str">
        <f>"83410"</f>
        <v>83410</v>
      </c>
      <c r="B1235" s="14" t="str">
        <f>"07010"</f>
        <v>07010</v>
      </c>
      <c r="C1235" s="14" t="str">
        <f>"1800"</f>
        <v>1800</v>
      </c>
      <c r="D1235" s="14" t="str">
        <f>""</f>
        <v/>
      </c>
      <c r="E1235" s="14" t="s">
        <v>1224</v>
      </c>
      <c r="F1235" s="14" t="s">
        <v>1002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228</v>
      </c>
      <c r="P1235" s="14" t="s">
        <v>260</v>
      </c>
      <c r="Q1235" s="14" t="s">
        <v>260</v>
      </c>
      <c r="R1235" s="14" t="s">
        <v>229</v>
      </c>
    </row>
    <row r="1236" spans="1:18" s="14" customFormat="1" x14ac:dyDescent="0.25">
      <c r="A1236" s="14" t="str">
        <f>"83411"</f>
        <v>83411</v>
      </c>
      <c r="B1236" s="14" t="str">
        <f>"07010"</f>
        <v>07010</v>
      </c>
      <c r="C1236" s="14" t="str">
        <f>"1800"</f>
        <v>1800</v>
      </c>
      <c r="D1236" s="14" t="str">
        <f>""</f>
        <v/>
      </c>
      <c r="E1236" s="14" t="s">
        <v>1225</v>
      </c>
      <c r="F1236" s="14" t="s">
        <v>1002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228</v>
      </c>
      <c r="P1236" s="14" t="s">
        <v>260</v>
      </c>
      <c r="Q1236" s="14" t="s">
        <v>260</v>
      </c>
      <c r="R1236" s="14" t="s">
        <v>229</v>
      </c>
    </row>
    <row r="1237" spans="1:18" s="14" customFormat="1" x14ac:dyDescent="0.25">
      <c r="A1237" s="14" t="str">
        <f>"83414"</f>
        <v>83414</v>
      </c>
      <c r="B1237" s="14" t="str">
        <f>"07010"</f>
        <v>07010</v>
      </c>
      <c r="C1237" s="14" t="str">
        <f>"1800"</f>
        <v>1800</v>
      </c>
      <c r="D1237" s="14" t="str">
        <f>""</f>
        <v/>
      </c>
      <c r="E1237" s="14" t="s">
        <v>1226</v>
      </c>
      <c r="F1237" s="14" t="s">
        <v>1002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228</v>
      </c>
      <c r="P1237" s="14" t="s">
        <v>260</v>
      </c>
      <c r="Q1237" s="14" t="s">
        <v>260</v>
      </c>
      <c r="R1237" s="14" t="s">
        <v>229</v>
      </c>
    </row>
    <row r="1238" spans="1:18" s="14" customFormat="1" x14ac:dyDescent="0.25">
      <c r="A1238" s="14" t="str">
        <f>"83415"</f>
        <v>83415</v>
      </c>
      <c r="B1238" s="14" t="str">
        <f>"07010"</f>
        <v>07010</v>
      </c>
      <c r="C1238" s="14" t="str">
        <f>"1800"</f>
        <v>1800</v>
      </c>
      <c r="D1238" s="14" t="str">
        <f>""</f>
        <v/>
      </c>
      <c r="E1238" s="14" t="s">
        <v>1227</v>
      </c>
      <c r="F1238" s="14" t="s">
        <v>1002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228</v>
      </c>
      <c r="P1238" s="14" t="s">
        <v>260</v>
      </c>
      <c r="Q1238" s="14" t="s">
        <v>260</v>
      </c>
      <c r="R1238" s="14" t="s">
        <v>229</v>
      </c>
    </row>
    <row r="1239" spans="1:18" s="14" customFormat="1" x14ac:dyDescent="0.25">
      <c r="A1239" s="14" t="str">
        <f>"83416"</f>
        <v>83416</v>
      </c>
      <c r="B1239" s="14" t="str">
        <f>"07010"</f>
        <v>07010</v>
      </c>
      <c r="C1239" s="14" t="str">
        <f>"1800"</f>
        <v>1800</v>
      </c>
      <c r="D1239" s="14" t="str">
        <f>""</f>
        <v/>
      </c>
      <c r="E1239" s="14" t="s">
        <v>1228</v>
      </c>
      <c r="F1239" s="14" t="s">
        <v>1002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228</v>
      </c>
      <c r="P1239" s="14" t="s">
        <v>260</v>
      </c>
      <c r="Q1239" s="14" t="s">
        <v>260</v>
      </c>
      <c r="R1239" s="14" t="s">
        <v>229</v>
      </c>
    </row>
    <row r="1240" spans="1:18" s="14" customFormat="1" x14ac:dyDescent="0.25">
      <c r="A1240" s="14" t="str">
        <f>"83417"</f>
        <v>83417</v>
      </c>
      <c r="B1240" s="14" t="str">
        <f>"07010"</f>
        <v>07010</v>
      </c>
      <c r="C1240" s="14" t="str">
        <f>"1800"</f>
        <v>1800</v>
      </c>
      <c r="D1240" s="14" t="str">
        <f>""</f>
        <v/>
      </c>
      <c r="E1240" s="14" t="s">
        <v>1229</v>
      </c>
      <c r="F1240" s="14" t="s">
        <v>1002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228</v>
      </c>
      <c r="P1240" s="14" t="s">
        <v>260</v>
      </c>
      <c r="Q1240" s="14" t="s">
        <v>260</v>
      </c>
      <c r="R1240" s="14" t="s">
        <v>229</v>
      </c>
    </row>
    <row r="1241" spans="1:18" s="14" customFormat="1" x14ac:dyDescent="0.25">
      <c r="A1241" s="14" t="str">
        <f>"83418"</f>
        <v>83418</v>
      </c>
      <c r="B1241" s="14" t="str">
        <f>"07010"</f>
        <v>07010</v>
      </c>
      <c r="C1241" s="14" t="str">
        <f>"1800"</f>
        <v>1800</v>
      </c>
      <c r="D1241" s="14" t="str">
        <f>""</f>
        <v/>
      </c>
      <c r="E1241" s="14" t="s">
        <v>1230</v>
      </c>
      <c r="F1241" s="14" t="s">
        <v>1002</v>
      </c>
      <c r="G1241" s="14" t="str">
        <f>""</f>
        <v/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228</v>
      </c>
      <c r="P1241" s="14" t="s">
        <v>260</v>
      </c>
      <c r="Q1241" s="14" t="s">
        <v>260</v>
      </c>
      <c r="R1241" s="14" t="s">
        <v>229</v>
      </c>
    </row>
    <row r="1242" spans="1:18" s="14" customFormat="1" x14ac:dyDescent="0.25">
      <c r="A1242" s="14" t="str">
        <f>"83420"</f>
        <v>83420</v>
      </c>
      <c r="B1242" s="14" t="str">
        <f>"07010"</f>
        <v>07010</v>
      </c>
      <c r="C1242" s="14" t="str">
        <f>"1800"</f>
        <v>1800</v>
      </c>
      <c r="D1242" s="14" t="str">
        <f>""</f>
        <v/>
      </c>
      <c r="E1242" s="14" t="s">
        <v>1231</v>
      </c>
      <c r="F1242" s="14" t="s">
        <v>1002</v>
      </c>
      <c r="G1242" s="14" t="str">
        <f>""</f>
        <v/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228</v>
      </c>
      <c r="P1242" s="14" t="s">
        <v>260</v>
      </c>
      <c r="Q1242" s="14" t="s">
        <v>260</v>
      </c>
      <c r="R1242" s="14" t="s">
        <v>229</v>
      </c>
    </row>
    <row r="1243" spans="1:18" s="14" customFormat="1" x14ac:dyDescent="0.25">
      <c r="A1243" s="14" t="str">
        <f>"83423"</f>
        <v>83423</v>
      </c>
      <c r="B1243" s="14" t="str">
        <f>"07010"</f>
        <v>07010</v>
      </c>
      <c r="C1243" s="14" t="str">
        <f>"1800"</f>
        <v>1800</v>
      </c>
      <c r="D1243" s="14" t="str">
        <f>""</f>
        <v/>
      </c>
      <c r="E1243" s="14" t="s">
        <v>1232</v>
      </c>
      <c r="F1243" s="14" t="s">
        <v>1002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228</v>
      </c>
      <c r="P1243" s="14" t="s">
        <v>260</v>
      </c>
      <c r="Q1243" s="14" t="s">
        <v>260</v>
      </c>
      <c r="R1243" s="14" t="s">
        <v>229</v>
      </c>
    </row>
    <row r="1244" spans="1:18" s="14" customFormat="1" x14ac:dyDescent="0.25">
      <c r="A1244" s="14" t="str">
        <f>"83424"</f>
        <v>83424</v>
      </c>
      <c r="B1244" s="14" t="str">
        <f>"07010"</f>
        <v>07010</v>
      </c>
      <c r="C1244" s="14" t="str">
        <f>"1800"</f>
        <v>1800</v>
      </c>
      <c r="D1244" s="14" t="str">
        <f>""</f>
        <v/>
      </c>
      <c r="E1244" s="14" t="s">
        <v>1233</v>
      </c>
      <c r="F1244" s="14" t="s">
        <v>1002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228</v>
      </c>
      <c r="P1244" s="14" t="s">
        <v>260</v>
      </c>
      <c r="Q1244" s="14" t="s">
        <v>260</v>
      </c>
      <c r="R1244" s="14" t="s">
        <v>229</v>
      </c>
    </row>
    <row r="1245" spans="1:18" s="14" customFormat="1" x14ac:dyDescent="0.25">
      <c r="A1245" s="14" t="str">
        <f>"83425"</f>
        <v>83425</v>
      </c>
      <c r="B1245" s="14" t="str">
        <f>"07010"</f>
        <v>07010</v>
      </c>
      <c r="C1245" s="14" t="str">
        <f>"1800"</f>
        <v>1800</v>
      </c>
      <c r="D1245" s="14" t="str">
        <f>""</f>
        <v/>
      </c>
      <c r="E1245" s="14" t="s">
        <v>1234</v>
      </c>
      <c r="F1245" s="14" t="s">
        <v>1002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228</v>
      </c>
      <c r="P1245" s="14" t="s">
        <v>260</v>
      </c>
      <c r="Q1245" s="14" t="s">
        <v>260</v>
      </c>
      <c r="R1245" s="14" t="s">
        <v>229</v>
      </c>
    </row>
    <row r="1246" spans="1:18" s="14" customFormat="1" x14ac:dyDescent="0.25">
      <c r="A1246" s="14" t="str">
        <f>"83426"</f>
        <v>83426</v>
      </c>
      <c r="B1246" s="14" t="str">
        <f>"07010"</f>
        <v>07010</v>
      </c>
      <c r="C1246" s="14" t="str">
        <f>"1800"</f>
        <v>1800</v>
      </c>
      <c r="D1246" s="14" t="str">
        <f>""</f>
        <v/>
      </c>
      <c r="E1246" s="14" t="s">
        <v>1235</v>
      </c>
      <c r="F1246" s="14" t="s">
        <v>1002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228</v>
      </c>
      <c r="P1246" s="14" t="s">
        <v>260</v>
      </c>
      <c r="Q1246" s="14" t="s">
        <v>260</v>
      </c>
      <c r="R1246" s="14" t="s">
        <v>229</v>
      </c>
    </row>
    <row r="1247" spans="1:18" s="14" customFormat="1" x14ac:dyDescent="0.25">
      <c r="A1247" s="14" t="str">
        <f>"83429"</f>
        <v>83429</v>
      </c>
      <c r="B1247" s="14" t="str">
        <f>"07010"</f>
        <v>07010</v>
      </c>
      <c r="C1247" s="14" t="str">
        <f>"1800"</f>
        <v>1800</v>
      </c>
      <c r="D1247" s="14" t="str">
        <f>""</f>
        <v/>
      </c>
      <c r="E1247" s="14" t="s">
        <v>1236</v>
      </c>
      <c r="F1247" s="14" t="s">
        <v>1002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228</v>
      </c>
      <c r="P1247" s="14" t="s">
        <v>260</v>
      </c>
      <c r="Q1247" s="14" t="s">
        <v>260</v>
      </c>
      <c r="R1247" s="14" t="s">
        <v>229</v>
      </c>
    </row>
    <row r="1248" spans="1:18" s="14" customFormat="1" x14ac:dyDescent="0.25">
      <c r="A1248" s="14" t="str">
        <f>"83431"</f>
        <v>83431</v>
      </c>
      <c r="B1248" s="14" t="str">
        <f>"07010"</f>
        <v>07010</v>
      </c>
      <c r="C1248" s="14" t="str">
        <f>"1800"</f>
        <v>1800</v>
      </c>
      <c r="D1248" s="14" t="str">
        <f>""</f>
        <v/>
      </c>
      <c r="E1248" s="14" t="s">
        <v>1237</v>
      </c>
      <c r="F1248" s="14" t="s">
        <v>1002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228</v>
      </c>
      <c r="P1248" s="14" t="s">
        <v>260</v>
      </c>
      <c r="Q1248" s="14" t="s">
        <v>260</v>
      </c>
      <c r="R1248" s="14" t="s">
        <v>229</v>
      </c>
    </row>
    <row r="1249" spans="1:18" s="14" customFormat="1" x14ac:dyDescent="0.25">
      <c r="A1249" s="14" t="str">
        <f>"83434"</f>
        <v>83434</v>
      </c>
      <c r="B1249" s="14" t="str">
        <f>"07010"</f>
        <v>07010</v>
      </c>
      <c r="C1249" s="14" t="str">
        <f>"1800"</f>
        <v>1800</v>
      </c>
      <c r="D1249" s="14" t="str">
        <f>""</f>
        <v/>
      </c>
      <c r="E1249" s="14" t="s">
        <v>1238</v>
      </c>
      <c r="F1249" s="14" t="s">
        <v>1002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228</v>
      </c>
      <c r="P1249" s="14" t="s">
        <v>260</v>
      </c>
      <c r="Q1249" s="14" t="s">
        <v>260</v>
      </c>
      <c r="R1249" s="14" t="s">
        <v>229</v>
      </c>
    </row>
    <row r="1250" spans="1:18" s="14" customFormat="1" x14ac:dyDescent="0.25">
      <c r="A1250" s="14" t="str">
        <f>"83437"</f>
        <v>83437</v>
      </c>
      <c r="B1250" s="14" t="str">
        <f>"07010"</f>
        <v>07010</v>
      </c>
      <c r="C1250" s="14" t="str">
        <f>"1800"</f>
        <v>1800</v>
      </c>
      <c r="D1250" s="14" t="str">
        <f>""</f>
        <v/>
      </c>
      <c r="E1250" s="14" t="s">
        <v>1239</v>
      </c>
      <c r="F1250" s="14" t="s">
        <v>1002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228</v>
      </c>
      <c r="P1250" s="14" t="s">
        <v>260</v>
      </c>
      <c r="Q1250" s="14" t="s">
        <v>260</v>
      </c>
      <c r="R1250" s="14" t="s">
        <v>229</v>
      </c>
    </row>
    <row r="1251" spans="1:18" s="14" customFormat="1" x14ac:dyDescent="0.25">
      <c r="A1251" s="14" t="str">
        <f>"83438"</f>
        <v>83438</v>
      </c>
      <c r="B1251" s="14" t="str">
        <f>"07010"</f>
        <v>07010</v>
      </c>
      <c r="C1251" s="14" t="str">
        <f>"1800"</f>
        <v>1800</v>
      </c>
      <c r="D1251" s="14" t="str">
        <f>""</f>
        <v/>
      </c>
      <c r="E1251" s="14" t="s">
        <v>1240</v>
      </c>
      <c r="F1251" s="14" t="s">
        <v>1002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228</v>
      </c>
      <c r="P1251" s="14" t="s">
        <v>260</v>
      </c>
      <c r="Q1251" s="14" t="s">
        <v>260</v>
      </c>
      <c r="R1251" s="14" t="s">
        <v>229</v>
      </c>
    </row>
    <row r="1252" spans="1:18" s="14" customFormat="1" x14ac:dyDescent="0.25">
      <c r="A1252" s="14" t="str">
        <f>"83441"</f>
        <v>83441</v>
      </c>
      <c r="B1252" s="14" t="str">
        <f>"07010"</f>
        <v>07010</v>
      </c>
      <c r="C1252" s="14" t="str">
        <f>"1800"</f>
        <v>1800</v>
      </c>
      <c r="D1252" s="14" t="str">
        <f>""</f>
        <v/>
      </c>
      <c r="E1252" s="14" t="s">
        <v>1241</v>
      </c>
      <c r="F1252" s="14" t="s">
        <v>1002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228</v>
      </c>
      <c r="P1252" s="14" t="s">
        <v>260</v>
      </c>
      <c r="Q1252" s="14" t="s">
        <v>260</v>
      </c>
      <c r="R1252" s="14" t="s">
        <v>229</v>
      </c>
    </row>
    <row r="1253" spans="1:18" s="14" customFormat="1" x14ac:dyDescent="0.25">
      <c r="A1253" s="14" t="str">
        <f>"83442"</f>
        <v>83442</v>
      </c>
      <c r="B1253" s="14" t="str">
        <f>"07010"</f>
        <v>07010</v>
      </c>
      <c r="C1253" s="14" t="str">
        <f>"1800"</f>
        <v>1800</v>
      </c>
      <c r="D1253" s="14" t="str">
        <f>""</f>
        <v/>
      </c>
      <c r="E1253" s="14" t="s">
        <v>1242</v>
      </c>
      <c r="F1253" s="14" t="s">
        <v>1002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228</v>
      </c>
      <c r="P1253" s="14" t="s">
        <v>260</v>
      </c>
      <c r="Q1253" s="14" t="s">
        <v>260</v>
      </c>
      <c r="R1253" s="14" t="s">
        <v>229</v>
      </c>
    </row>
    <row r="1254" spans="1:18" s="14" customFormat="1" x14ac:dyDescent="0.25">
      <c r="A1254" s="14" t="str">
        <f>"83443"</f>
        <v>83443</v>
      </c>
      <c r="B1254" s="14" t="str">
        <f>"07010"</f>
        <v>07010</v>
      </c>
      <c r="C1254" s="14" t="str">
        <f>"1800"</f>
        <v>1800</v>
      </c>
      <c r="D1254" s="14" t="str">
        <f>""</f>
        <v/>
      </c>
      <c r="E1254" s="14" t="s">
        <v>1243</v>
      </c>
      <c r="F1254" s="14" t="s">
        <v>1002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228</v>
      </c>
      <c r="P1254" s="14" t="s">
        <v>260</v>
      </c>
      <c r="Q1254" s="14" t="s">
        <v>260</v>
      </c>
      <c r="R1254" s="14" t="s">
        <v>229</v>
      </c>
    </row>
    <row r="1255" spans="1:18" s="14" customFormat="1" x14ac:dyDescent="0.25">
      <c r="A1255" s="14" t="str">
        <f>"83444"</f>
        <v>83444</v>
      </c>
      <c r="B1255" s="14" t="str">
        <f>"07010"</f>
        <v>07010</v>
      </c>
      <c r="C1255" s="14" t="str">
        <f>"1800"</f>
        <v>1800</v>
      </c>
      <c r="D1255" s="14" t="str">
        <f>""</f>
        <v/>
      </c>
      <c r="E1255" s="14" t="s">
        <v>1244</v>
      </c>
      <c r="F1255" s="14" t="s">
        <v>1002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228</v>
      </c>
      <c r="P1255" s="14" t="s">
        <v>260</v>
      </c>
      <c r="Q1255" s="14" t="s">
        <v>260</v>
      </c>
      <c r="R1255" s="14" t="s">
        <v>229</v>
      </c>
    </row>
    <row r="1256" spans="1:18" s="14" customFormat="1" x14ac:dyDescent="0.25">
      <c r="A1256" s="14" t="str">
        <f>"83445"</f>
        <v>83445</v>
      </c>
      <c r="B1256" s="14" t="str">
        <f>"07010"</f>
        <v>07010</v>
      </c>
      <c r="C1256" s="14" t="str">
        <f>"1800"</f>
        <v>1800</v>
      </c>
      <c r="D1256" s="14" t="str">
        <f>""</f>
        <v/>
      </c>
      <c r="E1256" s="14" t="s">
        <v>1245</v>
      </c>
      <c r="F1256" s="14" t="s">
        <v>1002</v>
      </c>
      <c r="G1256" s="14" t="str">
        <f>""</f>
        <v/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228</v>
      </c>
      <c r="P1256" s="14" t="s">
        <v>260</v>
      </c>
      <c r="Q1256" s="14" t="s">
        <v>260</v>
      </c>
      <c r="R1256" s="14" t="s">
        <v>229</v>
      </c>
    </row>
    <row r="1257" spans="1:18" s="14" customFormat="1" x14ac:dyDescent="0.25">
      <c r="A1257" s="14" t="str">
        <f>"83446"</f>
        <v>83446</v>
      </c>
      <c r="B1257" s="14" t="str">
        <f>"07010"</f>
        <v>07010</v>
      </c>
      <c r="C1257" s="14" t="str">
        <f>"1800"</f>
        <v>1800</v>
      </c>
      <c r="D1257" s="14" t="str">
        <f>""</f>
        <v/>
      </c>
      <c r="E1257" s="14" t="s">
        <v>1246</v>
      </c>
      <c r="F1257" s="14" t="s">
        <v>1002</v>
      </c>
      <c r="G1257" s="14" t="str">
        <f>""</f>
        <v/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228</v>
      </c>
      <c r="P1257" s="14" t="s">
        <v>260</v>
      </c>
      <c r="Q1257" s="14" t="s">
        <v>260</v>
      </c>
      <c r="R1257" s="14" t="s">
        <v>229</v>
      </c>
    </row>
    <row r="1258" spans="1:18" s="14" customFormat="1" x14ac:dyDescent="0.25">
      <c r="A1258" s="14" t="str">
        <f>"83447"</f>
        <v>83447</v>
      </c>
      <c r="B1258" s="14" t="str">
        <f>"07010"</f>
        <v>07010</v>
      </c>
      <c r="C1258" s="14" t="str">
        <f>"1800"</f>
        <v>1800</v>
      </c>
      <c r="D1258" s="14" t="str">
        <f>""</f>
        <v/>
      </c>
      <c r="E1258" s="14" t="s">
        <v>1247</v>
      </c>
      <c r="F1258" s="14" t="s">
        <v>1002</v>
      </c>
      <c r="G1258" s="14" t="str">
        <f>""</f>
        <v/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228</v>
      </c>
      <c r="P1258" s="14" t="s">
        <v>260</v>
      </c>
      <c r="Q1258" s="14" t="s">
        <v>260</v>
      </c>
      <c r="R1258" s="14" t="s">
        <v>229</v>
      </c>
    </row>
    <row r="1259" spans="1:18" s="14" customFormat="1" x14ac:dyDescent="0.25">
      <c r="A1259" s="14" t="str">
        <f>"83449"</f>
        <v>83449</v>
      </c>
      <c r="B1259" s="14" t="str">
        <f>"07010"</f>
        <v>07010</v>
      </c>
      <c r="C1259" s="14" t="str">
        <f>"1800"</f>
        <v>1800</v>
      </c>
      <c r="D1259" s="14" t="str">
        <f>""</f>
        <v/>
      </c>
      <c r="E1259" s="14" t="s">
        <v>1248</v>
      </c>
      <c r="F1259" s="14" t="s">
        <v>1002</v>
      </c>
      <c r="G1259" s="14" t="str">
        <f>""</f>
        <v/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228</v>
      </c>
      <c r="P1259" s="14" t="s">
        <v>260</v>
      </c>
      <c r="Q1259" s="14" t="s">
        <v>260</v>
      </c>
      <c r="R1259" s="14" t="s">
        <v>229</v>
      </c>
    </row>
    <row r="1260" spans="1:18" s="14" customFormat="1" x14ac:dyDescent="0.25">
      <c r="A1260" s="14" t="str">
        <f>"83450"</f>
        <v>83450</v>
      </c>
      <c r="B1260" s="14" t="str">
        <f>"07010"</f>
        <v>07010</v>
      </c>
      <c r="C1260" s="14" t="str">
        <f>"1800"</f>
        <v>1800</v>
      </c>
      <c r="D1260" s="14" t="str">
        <f>""</f>
        <v/>
      </c>
      <c r="E1260" s="14" t="s">
        <v>1249</v>
      </c>
      <c r="F1260" s="14" t="s">
        <v>1002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228</v>
      </c>
      <c r="P1260" s="14" t="s">
        <v>260</v>
      </c>
      <c r="Q1260" s="14" t="s">
        <v>260</v>
      </c>
      <c r="R1260" s="14" t="s">
        <v>229</v>
      </c>
    </row>
    <row r="1261" spans="1:18" s="14" customFormat="1" x14ac:dyDescent="0.25">
      <c r="A1261" s="14" t="str">
        <f>"83451"</f>
        <v>83451</v>
      </c>
      <c r="B1261" s="14" t="str">
        <f>"07010"</f>
        <v>07010</v>
      </c>
      <c r="C1261" s="14" t="str">
        <f>"1800"</f>
        <v>1800</v>
      </c>
      <c r="D1261" s="14" t="str">
        <f>""</f>
        <v/>
      </c>
      <c r="E1261" s="14" t="s">
        <v>1250</v>
      </c>
      <c r="F1261" s="14" t="s">
        <v>1002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228</v>
      </c>
      <c r="P1261" s="14" t="s">
        <v>260</v>
      </c>
      <c r="Q1261" s="14" t="s">
        <v>260</v>
      </c>
      <c r="R1261" s="14" t="s">
        <v>229</v>
      </c>
    </row>
    <row r="1262" spans="1:18" s="14" customFormat="1" x14ac:dyDescent="0.25">
      <c r="A1262" s="14" t="str">
        <f>"83452"</f>
        <v>83452</v>
      </c>
      <c r="B1262" s="14" t="str">
        <f>"07010"</f>
        <v>07010</v>
      </c>
      <c r="C1262" s="14" t="str">
        <f>"1800"</f>
        <v>1800</v>
      </c>
      <c r="D1262" s="14" t="str">
        <f>""</f>
        <v/>
      </c>
      <c r="E1262" s="14" t="s">
        <v>1251</v>
      </c>
      <c r="F1262" s="14" t="s">
        <v>1002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228</v>
      </c>
      <c r="P1262" s="14" t="s">
        <v>260</v>
      </c>
      <c r="Q1262" s="14" t="s">
        <v>260</v>
      </c>
      <c r="R1262" s="14" t="s">
        <v>229</v>
      </c>
    </row>
    <row r="1263" spans="1:18" s="14" customFormat="1" x14ac:dyDescent="0.25">
      <c r="A1263" s="14" t="str">
        <f>"83454"</f>
        <v>83454</v>
      </c>
      <c r="B1263" s="14" t="str">
        <f>"07010"</f>
        <v>07010</v>
      </c>
      <c r="C1263" s="14" t="str">
        <f>"1800"</f>
        <v>1800</v>
      </c>
      <c r="D1263" s="14" t="str">
        <f>""</f>
        <v/>
      </c>
      <c r="E1263" s="14" t="s">
        <v>1252</v>
      </c>
      <c r="F1263" s="14" t="s">
        <v>1002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228</v>
      </c>
      <c r="P1263" s="14" t="s">
        <v>260</v>
      </c>
      <c r="Q1263" s="14" t="s">
        <v>260</v>
      </c>
      <c r="R1263" s="14" t="s">
        <v>229</v>
      </c>
    </row>
    <row r="1264" spans="1:18" s="14" customFormat="1" x14ac:dyDescent="0.25">
      <c r="A1264" s="14" t="str">
        <f>"83456"</f>
        <v>83456</v>
      </c>
      <c r="B1264" s="14" t="str">
        <f>"07010"</f>
        <v>07010</v>
      </c>
      <c r="C1264" s="14" t="str">
        <f>"1800"</f>
        <v>1800</v>
      </c>
      <c r="D1264" s="14" t="str">
        <f>""</f>
        <v/>
      </c>
      <c r="E1264" s="14" t="s">
        <v>1253</v>
      </c>
      <c r="F1264" s="14" t="s">
        <v>1002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228</v>
      </c>
      <c r="P1264" s="14" t="s">
        <v>260</v>
      </c>
      <c r="Q1264" s="14" t="s">
        <v>260</v>
      </c>
      <c r="R1264" s="14" t="s">
        <v>229</v>
      </c>
    </row>
    <row r="1265" spans="1:18" s="14" customFormat="1" x14ac:dyDescent="0.25">
      <c r="A1265" s="14" t="str">
        <f>"83457"</f>
        <v>83457</v>
      </c>
      <c r="B1265" s="14" t="str">
        <f>"07010"</f>
        <v>07010</v>
      </c>
      <c r="C1265" s="14" t="str">
        <f>"1800"</f>
        <v>1800</v>
      </c>
      <c r="D1265" s="14" t="str">
        <f>""</f>
        <v/>
      </c>
      <c r="E1265" s="14" t="s">
        <v>1254</v>
      </c>
      <c r="F1265" s="14" t="s">
        <v>1002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228</v>
      </c>
      <c r="P1265" s="14" t="s">
        <v>260</v>
      </c>
      <c r="Q1265" s="14" t="s">
        <v>260</v>
      </c>
      <c r="R1265" s="14" t="s">
        <v>229</v>
      </c>
    </row>
    <row r="1266" spans="1:18" s="14" customFormat="1" x14ac:dyDescent="0.25">
      <c r="A1266" s="14" t="str">
        <f>"83460"</f>
        <v>83460</v>
      </c>
      <c r="B1266" s="14" t="str">
        <f>"07010"</f>
        <v>07010</v>
      </c>
      <c r="C1266" s="14" t="str">
        <f>"1800"</f>
        <v>1800</v>
      </c>
      <c r="D1266" s="14" t="str">
        <f>""</f>
        <v/>
      </c>
      <c r="E1266" s="14" t="s">
        <v>1255</v>
      </c>
      <c r="F1266" s="14" t="s">
        <v>1002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228</v>
      </c>
      <c r="P1266" s="14" t="s">
        <v>260</v>
      </c>
      <c r="Q1266" s="14" t="s">
        <v>260</v>
      </c>
      <c r="R1266" s="14" t="s">
        <v>229</v>
      </c>
    </row>
    <row r="1267" spans="1:18" s="14" customFormat="1" x14ac:dyDescent="0.25">
      <c r="A1267" s="14" t="str">
        <f>"83461"</f>
        <v>83461</v>
      </c>
      <c r="B1267" s="14" t="str">
        <f>"07010"</f>
        <v>07010</v>
      </c>
      <c r="C1267" s="14" t="str">
        <f>"1800"</f>
        <v>1800</v>
      </c>
      <c r="D1267" s="14" t="str">
        <f>""</f>
        <v/>
      </c>
      <c r="E1267" s="14" t="s">
        <v>1256</v>
      </c>
      <c r="F1267" s="14" t="s">
        <v>1002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228</v>
      </c>
      <c r="P1267" s="14" t="s">
        <v>260</v>
      </c>
      <c r="Q1267" s="14" t="s">
        <v>260</v>
      </c>
      <c r="R1267" s="14" t="s">
        <v>229</v>
      </c>
    </row>
    <row r="1268" spans="1:18" s="14" customFormat="1" x14ac:dyDescent="0.25">
      <c r="A1268" s="14" t="str">
        <f>"83462"</f>
        <v>83462</v>
      </c>
      <c r="B1268" s="14" t="str">
        <f>"07010"</f>
        <v>07010</v>
      </c>
      <c r="C1268" s="14" t="str">
        <f>"1800"</f>
        <v>1800</v>
      </c>
      <c r="D1268" s="14" t="str">
        <f>""</f>
        <v/>
      </c>
      <c r="E1268" s="14" t="s">
        <v>1257</v>
      </c>
      <c r="F1268" s="14" t="s">
        <v>1002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228</v>
      </c>
      <c r="P1268" s="14" t="s">
        <v>260</v>
      </c>
      <c r="Q1268" s="14" t="s">
        <v>260</v>
      </c>
      <c r="R1268" s="14" t="s">
        <v>229</v>
      </c>
    </row>
    <row r="1269" spans="1:18" s="14" customFormat="1" x14ac:dyDescent="0.25">
      <c r="A1269" s="14" t="str">
        <f>"83463"</f>
        <v>83463</v>
      </c>
      <c r="B1269" s="14" t="str">
        <f>"07010"</f>
        <v>07010</v>
      </c>
      <c r="C1269" s="14" t="str">
        <f>"1800"</f>
        <v>1800</v>
      </c>
      <c r="D1269" s="14" t="str">
        <f>""</f>
        <v/>
      </c>
      <c r="E1269" s="14" t="s">
        <v>1258</v>
      </c>
      <c r="F1269" s="14" t="s">
        <v>1002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228</v>
      </c>
      <c r="P1269" s="14" t="s">
        <v>260</v>
      </c>
      <c r="Q1269" s="14" t="s">
        <v>260</v>
      </c>
      <c r="R1269" s="14" t="s">
        <v>229</v>
      </c>
    </row>
    <row r="1270" spans="1:18" s="14" customFormat="1" x14ac:dyDescent="0.25">
      <c r="A1270" s="14" t="str">
        <f>"83464"</f>
        <v>83464</v>
      </c>
      <c r="B1270" s="14" t="str">
        <f>"07010"</f>
        <v>07010</v>
      </c>
      <c r="C1270" s="14" t="str">
        <f>"1800"</f>
        <v>1800</v>
      </c>
      <c r="D1270" s="14" t="str">
        <f>""</f>
        <v/>
      </c>
      <c r="E1270" s="14" t="s">
        <v>1259</v>
      </c>
      <c r="F1270" s="14" t="s">
        <v>1002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228</v>
      </c>
      <c r="P1270" s="14" t="s">
        <v>260</v>
      </c>
      <c r="Q1270" s="14" t="s">
        <v>260</v>
      </c>
      <c r="R1270" s="14" t="s">
        <v>229</v>
      </c>
    </row>
    <row r="1271" spans="1:18" s="14" customFormat="1" x14ac:dyDescent="0.25">
      <c r="A1271" s="14" t="str">
        <f>"83467"</f>
        <v>83467</v>
      </c>
      <c r="B1271" s="14" t="str">
        <f>"07010"</f>
        <v>07010</v>
      </c>
      <c r="C1271" s="14" t="str">
        <f>"1800"</f>
        <v>1800</v>
      </c>
      <c r="D1271" s="14" t="str">
        <f>""</f>
        <v/>
      </c>
      <c r="E1271" s="14" t="s">
        <v>1260</v>
      </c>
      <c r="F1271" s="14" t="s">
        <v>1002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228</v>
      </c>
      <c r="P1271" s="14" t="s">
        <v>260</v>
      </c>
      <c r="Q1271" s="14" t="s">
        <v>260</v>
      </c>
      <c r="R1271" s="14" t="s">
        <v>229</v>
      </c>
    </row>
    <row r="1272" spans="1:18" s="14" customFormat="1" x14ac:dyDescent="0.25">
      <c r="A1272" s="14" t="str">
        <f>"83469"</f>
        <v>83469</v>
      </c>
      <c r="B1272" s="14" t="str">
        <f>"07010"</f>
        <v>07010</v>
      </c>
      <c r="C1272" s="14" t="str">
        <f>"1800"</f>
        <v>1800</v>
      </c>
      <c r="D1272" s="14" t="str">
        <f>""</f>
        <v/>
      </c>
      <c r="E1272" s="14" t="s">
        <v>1261</v>
      </c>
      <c r="F1272" s="14" t="s">
        <v>1002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228</v>
      </c>
      <c r="P1272" s="14" t="s">
        <v>260</v>
      </c>
      <c r="Q1272" s="14" t="s">
        <v>260</v>
      </c>
      <c r="R1272" s="14" t="s">
        <v>229</v>
      </c>
    </row>
    <row r="1273" spans="1:18" s="14" customFormat="1" x14ac:dyDescent="0.25">
      <c r="A1273" s="14" t="str">
        <f>"83470"</f>
        <v>83470</v>
      </c>
      <c r="B1273" s="14" t="str">
        <f>"07010"</f>
        <v>07010</v>
      </c>
      <c r="C1273" s="14" t="str">
        <f>"1800"</f>
        <v>1800</v>
      </c>
      <c r="D1273" s="14" t="str">
        <f>""</f>
        <v/>
      </c>
      <c r="E1273" s="14" t="s">
        <v>1262</v>
      </c>
      <c r="F1273" s="14" t="s">
        <v>1002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228</v>
      </c>
      <c r="P1273" s="14" t="s">
        <v>260</v>
      </c>
      <c r="Q1273" s="14" t="s">
        <v>260</v>
      </c>
      <c r="R1273" s="14" t="s">
        <v>229</v>
      </c>
    </row>
    <row r="1274" spans="1:18" s="14" customFormat="1" x14ac:dyDescent="0.25">
      <c r="A1274" s="14" t="str">
        <f>"83471"</f>
        <v>83471</v>
      </c>
      <c r="B1274" s="14" t="str">
        <f>"07010"</f>
        <v>07010</v>
      </c>
      <c r="C1274" s="14" t="str">
        <f>"1800"</f>
        <v>1800</v>
      </c>
      <c r="D1274" s="14" t="str">
        <f>""</f>
        <v/>
      </c>
      <c r="E1274" s="14" t="s">
        <v>1263</v>
      </c>
      <c r="F1274" s="14" t="s">
        <v>1002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228</v>
      </c>
      <c r="P1274" s="14" t="s">
        <v>260</v>
      </c>
      <c r="Q1274" s="14" t="s">
        <v>260</v>
      </c>
      <c r="R1274" s="14" t="s">
        <v>229</v>
      </c>
    </row>
    <row r="1275" spans="1:18" s="14" customFormat="1" x14ac:dyDescent="0.25">
      <c r="A1275" s="14" t="str">
        <f>"83476"</f>
        <v>83476</v>
      </c>
      <c r="B1275" s="14" t="str">
        <f>"07010"</f>
        <v>07010</v>
      </c>
      <c r="C1275" s="14" t="str">
        <f>"1800"</f>
        <v>1800</v>
      </c>
      <c r="D1275" s="14" t="str">
        <f>""</f>
        <v/>
      </c>
      <c r="E1275" s="14" t="s">
        <v>1264</v>
      </c>
      <c r="F1275" s="14" t="s">
        <v>1002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228</v>
      </c>
      <c r="P1275" s="14" t="s">
        <v>260</v>
      </c>
      <c r="Q1275" s="14" t="s">
        <v>260</v>
      </c>
      <c r="R1275" s="14" t="s">
        <v>229</v>
      </c>
    </row>
    <row r="1276" spans="1:18" s="14" customFormat="1" x14ac:dyDescent="0.25">
      <c r="A1276" s="14" t="str">
        <f>"83477"</f>
        <v>83477</v>
      </c>
      <c r="B1276" s="14" t="str">
        <f>"07010"</f>
        <v>07010</v>
      </c>
      <c r="C1276" s="14" t="str">
        <f>"1800"</f>
        <v>1800</v>
      </c>
      <c r="D1276" s="14" t="str">
        <f>""</f>
        <v/>
      </c>
      <c r="E1276" s="14" t="s">
        <v>1265</v>
      </c>
      <c r="F1276" s="14" t="s">
        <v>1002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228</v>
      </c>
      <c r="P1276" s="14" t="s">
        <v>260</v>
      </c>
      <c r="Q1276" s="14" t="s">
        <v>260</v>
      </c>
      <c r="R1276" s="14" t="s">
        <v>229</v>
      </c>
    </row>
    <row r="1277" spans="1:18" s="14" customFormat="1" x14ac:dyDescent="0.25">
      <c r="A1277" s="14" t="str">
        <f>"83479"</f>
        <v>83479</v>
      </c>
      <c r="B1277" s="14" t="str">
        <f>"07010"</f>
        <v>07010</v>
      </c>
      <c r="C1277" s="14" t="str">
        <f>"1800"</f>
        <v>1800</v>
      </c>
      <c r="D1277" s="14" t="str">
        <f>""</f>
        <v/>
      </c>
      <c r="E1277" s="14" t="s">
        <v>1266</v>
      </c>
      <c r="F1277" s="14" t="s">
        <v>1002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228</v>
      </c>
      <c r="P1277" s="14" t="s">
        <v>260</v>
      </c>
      <c r="Q1277" s="14" t="s">
        <v>260</v>
      </c>
      <c r="R1277" s="14" t="s">
        <v>229</v>
      </c>
    </row>
    <row r="1278" spans="1:18" s="14" customFormat="1" x14ac:dyDescent="0.25">
      <c r="A1278" s="14" t="str">
        <f>"83481"</f>
        <v>83481</v>
      </c>
      <c r="B1278" s="14" t="str">
        <f>"07010"</f>
        <v>07010</v>
      </c>
      <c r="C1278" s="14" t="str">
        <f>"1800"</f>
        <v>1800</v>
      </c>
      <c r="D1278" s="14" t="str">
        <f>""</f>
        <v/>
      </c>
      <c r="E1278" s="14" t="s">
        <v>1267</v>
      </c>
      <c r="F1278" s="14" t="s">
        <v>1002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228</v>
      </c>
      <c r="P1278" s="14" t="s">
        <v>260</v>
      </c>
      <c r="Q1278" s="14" t="s">
        <v>260</v>
      </c>
      <c r="R1278" s="14" t="s">
        <v>229</v>
      </c>
    </row>
    <row r="1279" spans="1:18" s="14" customFormat="1" x14ac:dyDescent="0.25">
      <c r="A1279" s="14" t="str">
        <f>"83483"</f>
        <v>83483</v>
      </c>
      <c r="B1279" s="14" t="str">
        <f>"07010"</f>
        <v>07010</v>
      </c>
      <c r="C1279" s="14" t="str">
        <f>"1800"</f>
        <v>1800</v>
      </c>
      <c r="D1279" s="14" t="str">
        <f>""</f>
        <v/>
      </c>
      <c r="E1279" s="14" t="s">
        <v>1268</v>
      </c>
      <c r="F1279" s="14" t="s">
        <v>1002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228</v>
      </c>
      <c r="P1279" s="14" t="s">
        <v>260</v>
      </c>
      <c r="Q1279" s="14" t="s">
        <v>260</v>
      </c>
      <c r="R1279" s="14" t="s">
        <v>229</v>
      </c>
    </row>
    <row r="1280" spans="1:18" s="14" customFormat="1" x14ac:dyDescent="0.25">
      <c r="A1280" s="14" t="str">
        <f>"83484"</f>
        <v>83484</v>
      </c>
      <c r="B1280" s="14" t="str">
        <f>"07010"</f>
        <v>07010</v>
      </c>
      <c r="C1280" s="14" t="str">
        <f>"1800"</f>
        <v>1800</v>
      </c>
      <c r="D1280" s="14" t="str">
        <f>""</f>
        <v/>
      </c>
      <c r="E1280" s="14" t="s">
        <v>1269</v>
      </c>
      <c r="F1280" s="14" t="s">
        <v>1002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228</v>
      </c>
      <c r="P1280" s="14" t="s">
        <v>260</v>
      </c>
      <c r="Q1280" s="14" t="s">
        <v>260</v>
      </c>
      <c r="R1280" s="14" t="s">
        <v>229</v>
      </c>
    </row>
    <row r="1281" spans="1:18" s="14" customFormat="1" x14ac:dyDescent="0.25">
      <c r="A1281" s="14" t="str">
        <f>"83487"</f>
        <v>83487</v>
      </c>
      <c r="B1281" s="14" t="str">
        <f>"07010"</f>
        <v>07010</v>
      </c>
      <c r="C1281" s="14" t="str">
        <f>"1800"</f>
        <v>1800</v>
      </c>
      <c r="D1281" s="14" t="str">
        <f>""</f>
        <v/>
      </c>
      <c r="E1281" s="14" t="s">
        <v>1270</v>
      </c>
      <c r="F1281" s="14" t="s">
        <v>1002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228</v>
      </c>
      <c r="P1281" s="14" t="s">
        <v>260</v>
      </c>
      <c r="Q1281" s="14" t="s">
        <v>260</v>
      </c>
      <c r="R1281" s="14" t="s">
        <v>229</v>
      </c>
    </row>
    <row r="1282" spans="1:18" s="14" customFormat="1" x14ac:dyDescent="0.25">
      <c r="A1282" s="14" t="str">
        <f>"83488"</f>
        <v>83488</v>
      </c>
      <c r="B1282" s="14" t="str">
        <f>"07010"</f>
        <v>07010</v>
      </c>
      <c r="C1282" s="14" t="str">
        <f>"1800"</f>
        <v>1800</v>
      </c>
      <c r="D1282" s="14" t="str">
        <f>""</f>
        <v/>
      </c>
      <c r="E1282" s="14" t="s">
        <v>1271</v>
      </c>
      <c r="F1282" s="14" t="s">
        <v>1002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228</v>
      </c>
      <c r="P1282" s="14" t="s">
        <v>260</v>
      </c>
      <c r="Q1282" s="14" t="s">
        <v>260</v>
      </c>
      <c r="R1282" s="14" t="s">
        <v>229</v>
      </c>
    </row>
    <row r="1283" spans="1:18" s="14" customFormat="1" x14ac:dyDescent="0.25">
      <c r="A1283" s="14" t="str">
        <f>"83489"</f>
        <v>83489</v>
      </c>
      <c r="B1283" s="14" t="str">
        <f>"07010"</f>
        <v>07010</v>
      </c>
      <c r="C1283" s="14" t="str">
        <f>"1800"</f>
        <v>1800</v>
      </c>
      <c r="D1283" s="14" t="str">
        <f>""</f>
        <v/>
      </c>
      <c r="E1283" s="14" t="s">
        <v>1272</v>
      </c>
      <c r="F1283" s="14" t="s">
        <v>1002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228</v>
      </c>
      <c r="P1283" s="14" t="s">
        <v>260</v>
      </c>
      <c r="Q1283" s="14" t="s">
        <v>260</v>
      </c>
      <c r="R1283" s="14" t="s">
        <v>229</v>
      </c>
    </row>
    <row r="1284" spans="1:18" s="14" customFormat="1" x14ac:dyDescent="0.25">
      <c r="A1284" s="14" t="str">
        <f>"83490"</f>
        <v>83490</v>
      </c>
      <c r="B1284" s="14" t="str">
        <f>"07010"</f>
        <v>07010</v>
      </c>
      <c r="C1284" s="14" t="str">
        <f>"1800"</f>
        <v>1800</v>
      </c>
      <c r="D1284" s="14" t="str">
        <f>""</f>
        <v/>
      </c>
      <c r="E1284" s="14" t="s">
        <v>1273</v>
      </c>
      <c r="F1284" s="14" t="s">
        <v>1002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228</v>
      </c>
      <c r="P1284" s="14" t="s">
        <v>260</v>
      </c>
      <c r="Q1284" s="14" t="s">
        <v>260</v>
      </c>
      <c r="R1284" s="14" t="s">
        <v>229</v>
      </c>
    </row>
    <row r="1285" spans="1:18" s="14" customFormat="1" x14ac:dyDescent="0.25">
      <c r="A1285" s="14" t="str">
        <f>"83491"</f>
        <v>83491</v>
      </c>
      <c r="B1285" s="14" t="str">
        <f>"07010"</f>
        <v>07010</v>
      </c>
      <c r="C1285" s="14" t="str">
        <f>"1800"</f>
        <v>1800</v>
      </c>
      <c r="D1285" s="14" t="str">
        <f>""</f>
        <v/>
      </c>
      <c r="E1285" s="14" t="s">
        <v>1274</v>
      </c>
      <c r="F1285" s="14" t="s">
        <v>1002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228</v>
      </c>
      <c r="P1285" s="14" t="s">
        <v>260</v>
      </c>
      <c r="Q1285" s="14" t="s">
        <v>260</v>
      </c>
      <c r="R1285" s="14" t="s">
        <v>229</v>
      </c>
    </row>
    <row r="1286" spans="1:18" s="14" customFormat="1" x14ac:dyDescent="0.25">
      <c r="A1286" s="14" t="str">
        <f>"83492"</f>
        <v>83492</v>
      </c>
      <c r="B1286" s="14" t="str">
        <f>"07010"</f>
        <v>07010</v>
      </c>
      <c r="C1286" s="14" t="str">
        <f>"1800"</f>
        <v>1800</v>
      </c>
      <c r="D1286" s="14" t="str">
        <f>""</f>
        <v/>
      </c>
      <c r="E1286" s="14" t="s">
        <v>1275</v>
      </c>
      <c r="F1286" s="14" t="s">
        <v>1002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228</v>
      </c>
      <c r="P1286" s="14" t="s">
        <v>260</v>
      </c>
      <c r="Q1286" s="14" t="s">
        <v>260</v>
      </c>
      <c r="R1286" s="14" t="s">
        <v>229</v>
      </c>
    </row>
    <row r="1287" spans="1:18" s="14" customFormat="1" x14ac:dyDescent="0.25">
      <c r="A1287" s="14" t="str">
        <f>"83493"</f>
        <v>83493</v>
      </c>
      <c r="B1287" s="14" t="str">
        <f>"07010"</f>
        <v>07010</v>
      </c>
      <c r="C1287" s="14" t="str">
        <f>"1800"</f>
        <v>1800</v>
      </c>
      <c r="D1287" s="14" t="str">
        <f>""</f>
        <v/>
      </c>
      <c r="E1287" s="14" t="s">
        <v>1276</v>
      </c>
      <c r="F1287" s="14" t="s">
        <v>1002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228</v>
      </c>
      <c r="P1287" s="14" t="s">
        <v>260</v>
      </c>
      <c r="Q1287" s="14" t="s">
        <v>260</v>
      </c>
      <c r="R1287" s="14" t="s">
        <v>229</v>
      </c>
    </row>
    <row r="1288" spans="1:18" s="14" customFormat="1" x14ac:dyDescent="0.25">
      <c r="A1288" s="14" t="str">
        <f>"83495"</f>
        <v>83495</v>
      </c>
      <c r="B1288" s="14" t="str">
        <f>"07010"</f>
        <v>07010</v>
      </c>
      <c r="C1288" s="14" t="str">
        <f>"1800"</f>
        <v>1800</v>
      </c>
      <c r="D1288" s="14" t="str">
        <f>""</f>
        <v/>
      </c>
      <c r="E1288" s="14" t="s">
        <v>1277</v>
      </c>
      <c r="F1288" s="14" t="s">
        <v>1002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228</v>
      </c>
      <c r="P1288" s="14" t="s">
        <v>260</v>
      </c>
      <c r="Q1288" s="14" t="s">
        <v>260</v>
      </c>
      <c r="R1288" s="14" t="s">
        <v>229</v>
      </c>
    </row>
    <row r="1289" spans="1:18" s="14" customFormat="1" x14ac:dyDescent="0.25">
      <c r="A1289" s="14" t="str">
        <f>"83497"</f>
        <v>83497</v>
      </c>
      <c r="B1289" s="14" t="str">
        <f>"07010"</f>
        <v>07010</v>
      </c>
      <c r="C1289" s="14" t="str">
        <f>"1800"</f>
        <v>1800</v>
      </c>
      <c r="D1289" s="14" t="str">
        <f>""</f>
        <v/>
      </c>
      <c r="E1289" s="14" t="s">
        <v>1278</v>
      </c>
      <c r="F1289" s="14" t="s">
        <v>1002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228</v>
      </c>
      <c r="P1289" s="14" t="s">
        <v>260</v>
      </c>
      <c r="Q1289" s="14" t="s">
        <v>260</v>
      </c>
      <c r="R1289" s="14" t="s">
        <v>229</v>
      </c>
    </row>
    <row r="1290" spans="1:18" s="14" customFormat="1" x14ac:dyDescent="0.25">
      <c r="A1290" s="14" t="str">
        <f>"83499"</f>
        <v>83499</v>
      </c>
      <c r="B1290" s="14" t="str">
        <f>"07010"</f>
        <v>07010</v>
      </c>
      <c r="C1290" s="14" t="str">
        <f>"1800"</f>
        <v>1800</v>
      </c>
      <c r="D1290" s="14" t="str">
        <f>""</f>
        <v/>
      </c>
      <c r="E1290" s="14" t="s">
        <v>1279</v>
      </c>
      <c r="F1290" s="14" t="s">
        <v>1002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228</v>
      </c>
      <c r="P1290" s="14" t="s">
        <v>260</v>
      </c>
      <c r="Q1290" s="14" t="s">
        <v>260</v>
      </c>
      <c r="R1290" s="14" t="s">
        <v>229</v>
      </c>
    </row>
    <row r="1291" spans="1:18" s="14" customFormat="1" x14ac:dyDescent="0.25">
      <c r="A1291" s="14" t="str">
        <f>"83501"</f>
        <v>83501</v>
      </c>
      <c r="B1291" s="14" t="str">
        <f>"07010"</f>
        <v>07010</v>
      </c>
      <c r="C1291" s="14" t="str">
        <f>"1800"</f>
        <v>1800</v>
      </c>
      <c r="D1291" s="14" t="str">
        <f>""</f>
        <v/>
      </c>
      <c r="E1291" s="14" t="s">
        <v>1280</v>
      </c>
      <c r="F1291" s="14" t="s">
        <v>1002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228</v>
      </c>
      <c r="P1291" s="14" t="s">
        <v>260</v>
      </c>
      <c r="Q1291" s="14" t="s">
        <v>260</v>
      </c>
      <c r="R1291" s="14" t="s">
        <v>229</v>
      </c>
    </row>
    <row r="1292" spans="1:18" s="14" customFormat="1" x14ac:dyDescent="0.25">
      <c r="A1292" s="14" t="str">
        <f>"83502"</f>
        <v>83502</v>
      </c>
      <c r="B1292" s="14" t="str">
        <f>"07010"</f>
        <v>07010</v>
      </c>
      <c r="C1292" s="14" t="str">
        <f>"1800"</f>
        <v>1800</v>
      </c>
      <c r="D1292" s="14" t="str">
        <f>""</f>
        <v/>
      </c>
      <c r="E1292" s="14" t="s">
        <v>1281</v>
      </c>
      <c r="F1292" s="14" t="s">
        <v>1002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228</v>
      </c>
      <c r="P1292" s="14" t="s">
        <v>260</v>
      </c>
      <c r="Q1292" s="14" t="s">
        <v>260</v>
      </c>
      <c r="R1292" s="14" t="s">
        <v>229</v>
      </c>
    </row>
    <row r="1293" spans="1:18" s="14" customFormat="1" x14ac:dyDescent="0.25">
      <c r="A1293" s="14" t="str">
        <f>"83503"</f>
        <v>83503</v>
      </c>
      <c r="B1293" s="14" t="str">
        <f>"07010"</f>
        <v>07010</v>
      </c>
      <c r="C1293" s="14" t="str">
        <f>"1800"</f>
        <v>1800</v>
      </c>
      <c r="D1293" s="14" t="str">
        <f>""</f>
        <v/>
      </c>
      <c r="E1293" s="14" t="s">
        <v>1282</v>
      </c>
      <c r="F1293" s="14" t="s">
        <v>1002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228</v>
      </c>
      <c r="P1293" s="14" t="s">
        <v>260</v>
      </c>
      <c r="Q1293" s="14" t="s">
        <v>260</v>
      </c>
      <c r="R1293" s="14" t="s">
        <v>229</v>
      </c>
    </row>
    <row r="1294" spans="1:18" s="14" customFormat="1" x14ac:dyDescent="0.25">
      <c r="A1294" s="14" t="str">
        <f>"83504"</f>
        <v>83504</v>
      </c>
      <c r="B1294" s="14" t="str">
        <f>"07010"</f>
        <v>07010</v>
      </c>
      <c r="C1294" s="14" t="str">
        <f>"1800"</f>
        <v>1800</v>
      </c>
      <c r="D1294" s="14" t="str">
        <f>""</f>
        <v/>
      </c>
      <c r="E1294" s="14" t="s">
        <v>1283</v>
      </c>
      <c r="F1294" s="14" t="s">
        <v>1002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228</v>
      </c>
      <c r="P1294" s="14" t="s">
        <v>260</v>
      </c>
      <c r="Q1294" s="14" t="s">
        <v>260</v>
      </c>
      <c r="R1294" s="14" t="s">
        <v>229</v>
      </c>
    </row>
    <row r="1295" spans="1:18" s="14" customFormat="1" x14ac:dyDescent="0.25">
      <c r="A1295" s="14" t="str">
        <f>"83505"</f>
        <v>83505</v>
      </c>
      <c r="B1295" s="14" t="str">
        <f>"07010"</f>
        <v>07010</v>
      </c>
      <c r="C1295" s="14" t="str">
        <f>"1800"</f>
        <v>1800</v>
      </c>
      <c r="D1295" s="14" t="str">
        <f>""</f>
        <v/>
      </c>
      <c r="E1295" s="14" t="s">
        <v>1284</v>
      </c>
      <c r="F1295" s="14" t="s">
        <v>1002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228</v>
      </c>
      <c r="P1295" s="14" t="s">
        <v>260</v>
      </c>
      <c r="Q1295" s="14" t="s">
        <v>260</v>
      </c>
      <c r="R1295" s="14" t="s">
        <v>229</v>
      </c>
    </row>
    <row r="1296" spans="1:18" s="14" customFormat="1" x14ac:dyDescent="0.25">
      <c r="A1296" s="14" t="str">
        <f>"83506"</f>
        <v>83506</v>
      </c>
      <c r="B1296" s="14" t="str">
        <f>"07010"</f>
        <v>07010</v>
      </c>
      <c r="C1296" s="14" t="str">
        <f>"1800"</f>
        <v>1800</v>
      </c>
      <c r="D1296" s="14" t="str">
        <f>""</f>
        <v/>
      </c>
      <c r="E1296" s="14" t="s">
        <v>1285</v>
      </c>
      <c r="F1296" s="14" t="s">
        <v>1002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228</v>
      </c>
      <c r="P1296" s="14" t="s">
        <v>260</v>
      </c>
      <c r="Q1296" s="14" t="s">
        <v>260</v>
      </c>
      <c r="R1296" s="14" t="s">
        <v>229</v>
      </c>
    </row>
    <row r="1297" spans="1:18" s="14" customFormat="1" x14ac:dyDescent="0.25">
      <c r="A1297" s="14" t="str">
        <f>"83509"</f>
        <v>83509</v>
      </c>
      <c r="B1297" s="14" t="str">
        <f>"07010"</f>
        <v>07010</v>
      </c>
      <c r="C1297" s="14" t="str">
        <f>"1800"</f>
        <v>1800</v>
      </c>
      <c r="D1297" s="14" t="str">
        <f>""</f>
        <v/>
      </c>
      <c r="E1297" s="14" t="s">
        <v>1286</v>
      </c>
      <c r="F1297" s="14" t="s">
        <v>1002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228</v>
      </c>
      <c r="P1297" s="14" t="s">
        <v>260</v>
      </c>
      <c r="Q1297" s="14" t="s">
        <v>260</v>
      </c>
      <c r="R1297" s="14" t="s">
        <v>229</v>
      </c>
    </row>
    <row r="1298" spans="1:18" s="14" customFormat="1" x14ac:dyDescent="0.25">
      <c r="A1298" s="14" t="str">
        <f>"83510"</f>
        <v>83510</v>
      </c>
      <c r="B1298" s="14" t="str">
        <f>"07010"</f>
        <v>07010</v>
      </c>
      <c r="C1298" s="14" t="str">
        <f>"1800"</f>
        <v>1800</v>
      </c>
      <c r="D1298" s="14" t="str">
        <f>""</f>
        <v/>
      </c>
      <c r="E1298" s="14" t="s">
        <v>1287</v>
      </c>
      <c r="F1298" s="14" t="s">
        <v>1002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228</v>
      </c>
      <c r="P1298" s="14" t="s">
        <v>260</v>
      </c>
      <c r="Q1298" s="14" t="s">
        <v>260</v>
      </c>
      <c r="R1298" s="14" t="s">
        <v>229</v>
      </c>
    </row>
    <row r="1299" spans="1:18" s="14" customFormat="1" x14ac:dyDescent="0.25">
      <c r="A1299" s="14" t="str">
        <f>"83511"</f>
        <v>83511</v>
      </c>
      <c r="B1299" s="14" t="str">
        <f>"07010"</f>
        <v>07010</v>
      </c>
      <c r="C1299" s="14" t="str">
        <f>"1800"</f>
        <v>1800</v>
      </c>
      <c r="D1299" s="14" t="str">
        <f>""</f>
        <v/>
      </c>
      <c r="E1299" s="14" t="s">
        <v>1288</v>
      </c>
      <c r="F1299" s="14" t="s">
        <v>1002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228</v>
      </c>
      <c r="P1299" s="14" t="s">
        <v>260</v>
      </c>
      <c r="Q1299" s="14" t="s">
        <v>260</v>
      </c>
      <c r="R1299" s="14" t="s">
        <v>229</v>
      </c>
    </row>
    <row r="1300" spans="1:18" s="14" customFormat="1" x14ac:dyDescent="0.25">
      <c r="A1300" s="14" t="str">
        <f>"83513"</f>
        <v>83513</v>
      </c>
      <c r="B1300" s="14" t="str">
        <f>"07010"</f>
        <v>07010</v>
      </c>
      <c r="C1300" s="14" t="str">
        <f>"1800"</f>
        <v>1800</v>
      </c>
      <c r="D1300" s="14" t="str">
        <f>""</f>
        <v/>
      </c>
      <c r="E1300" s="14" t="s">
        <v>1289</v>
      </c>
      <c r="F1300" s="14" t="s">
        <v>1002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228</v>
      </c>
      <c r="P1300" s="14" t="s">
        <v>260</v>
      </c>
      <c r="Q1300" s="14" t="s">
        <v>260</v>
      </c>
      <c r="R1300" s="14" t="s">
        <v>229</v>
      </c>
    </row>
    <row r="1301" spans="1:18" s="14" customFormat="1" x14ac:dyDescent="0.25">
      <c r="A1301" s="14" t="str">
        <f>"83514"</f>
        <v>83514</v>
      </c>
      <c r="B1301" s="14" t="str">
        <f>"07010"</f>
        <v>07010</v>
      </c>
      <c r="C1301" s="14" t="str">
        <f>"1800"</f>
        <v>1800</v>
      </c>
      <c r="D1301" s="14" t="str">
        <f>""</f>
        <v/>
      </c>
      <c r="E1301" s="14" t="s">
        <v>1290</v>
      </c>
      <c r="F1301" s="14" t="s">
        <v>1002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228</v>
      </c>
      <c r="P1301" s="14" t="s">
        <v>260</v>
      </c>
      <c r="Q1301" s="14" t="s">
        <v>260</v>
      </c>
      <c r="R1301" s="14" t="s">
        <v>229</v>
      </c>
    </row>
    <row r="1302" spans="1:18" s="14" customFormat="1" x14ac:dyDescent="0.25">
      <c r="A1302" s="14" t="str">
        <f>"83515"</f>
        <v>83515</v>
      </c>
      <c r="B1302" s="14" t="str">
        <f>"07010"</f>
        <v>07010</v>
      </c>
      <c r="C1302" s="14" t="str">
        <f>"1800"</f>
        <v>1800</v>
      </c>
      <c r="D1302" s="14" t="str">
        <f>""</f>
        <v/>
      </c>
      <c r="E1302" s="14" t="s">
        <v>1291</v>
      </c>
      <c r="F1302" s="14" t="s">
        <v>1002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228</v>
      </c>
      <c r="P1302" s="14" t="s">
        <v>260</v>
      </c>
      <c r="Q1302" s="14" t="s">
        <v>260</v>
      </c>
      <c r="R1302" s="14" t="s">
        <v>229</v>
      </c>
    </row>
    <row r="1303" spans="1:18" s="14" customFormat="1" x14ac:dyDescent="0.25">
      <c r="A1303" s="14" t="str">
        <f>"83516"</f>
        <v>83516</v>
      </c>
      <c r="B1303" s="14" t="str">
        <f>"07010"</f>
        <v>07010</v>
      </c>
      <c r="C1303" s="14" t="str">
        <f>"1800"</f>
        <v>1800</v>
      </c>
      <c r="D1303" s="14" t="str">
        <f>""</f>
        <v/>
      </c>
      <c r="E1303" s="14" t="s">
        <v>1292</v>
      </c>
      <c r="F1303" s="14" t="s">
        <v>1002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228</v>
      </c>
      <c r="P1303" s="14" t="s">
        <v>260</v>
      </c>
      <c r="Q1303" s="14" t="s">
        <v>260</v>
      </c>
      <c r="R1303" s="14" t="s">
        <v>229</v>
      </c>
    </row>
    <row r="1304" spans="1:18" s="14" customFormat="1" x14ac:dyDescent="0.25">
      <c r="A1304" s="14" t="str">
        <f>"83518"</f>
        <v>83518</v>
      </c>
      <c r="B1304" s="14" t="str">
        <f>"07010"</f>
        <v>07010</v>
      </c>
      <c r="C1304" s="14" t="str">
        <f>"1800"</f>
        <v>1800</v>
      </c>
      <c r="D1304" s="14" t="str">
        <f>""</f>
        <v/>
      </c>
      <c r="E1304" s="14" t="s">
        <v>1293</v>
      </c>
      <c r="F1304" s="14" t="s">
        <v>1002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228</v>
      </c>
      <c r="P1304" s="14" t="s">
        <v>260</v>
      </c>
      <c r="Q1304" s="14" t="s">
        <v>260</v>
      </c>
      <c r="R1304" s="14" t="s">
        <v>229</v>
      </c>
    </row>
    <row r="1305" spans="1:18" s="14" customFormat="1" x14ac:dyDescent="0.25">
      <c r="A1305" s="14" t="str">
        <f>"83519"</f>
        <v>83519</v>
      </c>
      <c r="B1305" s="14" t="str">
        <f>"07010"</f>
        <v>07010</v>
      </c>
      <c r="C1305" s="14" t="str">
        <f>"1800"</f>
        <v>1800</v>
      </c>
      <c r="D1305" s="14" t="str">
        <f>""</f>
        <v/>
      </c>
      <c r="E1305" s="14" t="s">
        <v>1294</v>
      </c>
      <c r="F1305" s="14" t="s">
        <v>1002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228</v>
      </c>
      <c r="P1305" s="14" t="s">
        <v>260</v>
      </c>
      <c r="Q1305" s="14" t="s">
        <v>260</v>
      </c>
      <c r="R1305" s="14" t="s">
        <v>229</v>
      </c>
    </row>
    <row r="1306" spans="1:18" s="14" customFormat="1" x14ac:dyDescent="0.25">
      <c r="A1306" s="14" t="str">
        <f>"83528"</f>
        <v>83528</v>
      </c>
      <c r="B1306" s="14" t="str">
        <f>"07010"</f>
        <v>07010</v>
      </c>
      <c r="C1306" s="14" t="str">
        <f>"1800"</f>
        <v>1800</v>
      </c>
      <c r="D1306" s="14" t="str">
        <f>""</f>
        <v/>
      </c>
      <c r="E1306" s="14" t="s">
        <v>1295</v>
      </c>
      <c r="F1306" s="14" t="s">
        <v>1002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228</v>
      </c>
      <c r="P1306" s="14" t="s">
        <v>260</v>
      </c>
      <c r="Q1306" s="14" t="s">
        <v>260</v>
      </c>
      <c r="R1306" s="14" t="s">
        <v>229</v>
      </c>
    </row>
    <row r="1307" spans="1:18" s="14" customFormat="1" x14ac:dyDescent="0.25">
      <c r="A1307" s="14" t="str">
        <f>"83529"</f>
        <v>83529</v>
      </c>
      <c r="B1307" s="14" t="str">
        <f>"07010"</f>
        <v>07010</v>
      </c>
      <c r="C1307" s="14" t="str">
        <f>"1800"</f>
        <v>1800</v>
      </c>
      <c r="D1307" s="14" t="str">
        <f>""</f>
        <v/>
      </c>
      <c r="E1307" s="14" t="s">
        <v>1296</v>
      </c>
      <c r="F1307" s="14" t="s">
        <v>1002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228</v>
      </c>
      <c r="P1307" s="14" t="s">
        <v>260</v>
      </c>
      <c r="Q1307" s="14" t="s">
        <v>260</v>
      </c>
      <c r="R1307" s="14" t="s">
        <v>229</v>
      </c>
    </row>
    <row r="1308" spans="1:18" s="14" customFormat="1" x14ac:dyDescent="0.25">
      <c r="A1308" s="14" t="str">
        <f>"83530"</f>
        <v>83530</v>
      </c>
      <c r="B1308" s="14" t="str">
        <f>"07010"</f>
        <v>07010</v>
      </c>
      <c r="C1308" s="14" t="str">
        <f>"1800"</f>
        <v>1800</v>
      </c>
      <c r="D1308" s="14" t="str">
        <f>""</f>
        <v/>
      </c>
      <c r="E1308" s="14" t="s">
        <v>1297</v>
      </c>
      <c r="F1308" s="14" t="s">
        <v>1002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228</v>
      </c>
      <c r="P1308" s="14" t="s">
        <v>260</v>
      </c>
      <c r="Q1308" s="14" t="s">
        <v>260</v>
      </c>
      <c r="R1308" s="14" t="s">
        <v>229</v>
      </c>
    </row>
    <row r="1309" spans="1:18" s="14" customFormat="1" x14ac:dyDescent="0.25">
      <c r="A1309" s="14" t="str">
        <f>"83531"</f>
        <v>83531</v>
      </c>
      <c r="B1309" s="14" t="str">
        <f>"07010"</f>
        <v>07010</v>
      </c>
      <c r="C1309" s="14" t="str">
        <f>"1800"</f>
        <v>1800</v>
      </c>
      <c r="D1309" s="14" t="str">
        <f>""</f>
        <v/>
      </c>
      <c r="E1309" s="14" t="s">
        <v>1298</v>
      </c>
      <c r="F1309" s="14" t="s">
        <v>1002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228</v>
      </c>
      <c r="P1309" s="14" t="s">
        <v>260</v>
      </c>
      <c r="Q1309" s="14" t="s">
        <v>260</v>
      </c>
      <c r="R1309" s="14" t="s">
        <v>229</v>
      </c>
    </row>
    <row r="1310" spans="1:18" s="14" customFormat="1" x14ac:dyDescent="0.25">
      <c r="A1310" s="14" t="str">
        <f>"83533"</f>
        <v>83533</v>
      </c>
      <c r="B1310" s="14" t="str">
        <f>"07010"</f>
        <v>07010</v>
      </c>
      <c r="C1310" s="14" t="str">
        <f>"1800"</f>
        <v>1800</v>
      </c>
      <c r="D1310" s="14" t="str">
        <f>""</f>
        <v/>
      </c>
      <c r="E1310" s="14" t="s">
        <v>1299</v>
      </c>
      <c r="F1310" s="14" t="s">
        <v>1002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228</v>
      </c>
      <c r="P1310" s="14" t="s">
        <v>260</v>
      </c>
      <c r="Q1310" s="14" t="s">
        <v>260</v>
      </c>
      <c r="R1310" s="14" t="s">
        <v>229</v>
      </c>
    </row>
    <row r="1311" spans="1:18" s="14" customFormat="1" x14ac:dyDescent="0.25">
      <c r="A1311" s="14" t="str">
        <f>"83535"</f>
        <v>83535</v>
      </c>
      <c r="B1311" s="14" t="str">
        <f>"07010"</f>
        <v>07010</v>
      </c>
      <c r="C1311" s="14" t="str">
        <f>"1800"</f>
        <v>1800</v>
      </c>
      <c r="D1311" s="14" t="str">
        <f>""</f>
        <v/>
      </c>
      <c r="E1311" s="14" t="s">
        <v>1300</v>
      </c>
      <c r="F1311" s="14" t="s">
        <v>1002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228</v>
      </c>
      <c r="P1311" s="14" t="s">
        <v>260</v>
      </c>
      <c r="Q1311" s="14" t="s">
        <v>260</v>
      </c>
      <c r="R1311" s="14" t="s">
        <v>229</v>
      </c>
    </row>
    <row r="1312" spans="1:18" s="14" customFormat="1" x14ac:dyDescent="0.25">
      <c r="A1312" s="14" t="str">
        <f>"83538"</f>
        <v>83538</v>
      </c>
      <c r="B1312" s="14" t="str">
        <f>"07010"</f>
        <v>07010</v>
      </c>
      <c r="C1312" s="14" t="str">
        <f>"1800"</f>
        <v>1800</v>
      </c>
      <c r="D1312" s="14" t="str">
        <f>""</f>
        <v/>
      </c>
      <c r="E1312" s="14" t="s">
        <v>1301</v>
      </c>
      <c r="F1312" s="14" t="s">
        <v>1002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228</v>
      </c>
      <c r="P1312" s="14" t="s">
        <v>260</v>
      </c>
      <c r="Q1312" s="14" t="s">
        <v>260</v>
      </c>
      <c r="R1312" s="14" t="s">
        <v>229</v>
      </c>
    </row>
    <row r="1313" spans="1:18" s="14" customFormat="1" x14ac:dyDescent="0.25">
      <c r="A1313" s="14" t="str">
        <f>"83539"</f>
        <v>83539</v>
      </c>
      <c r="B1313" s="14" t="str">
        <f>"07010"</f>
        <v>07010</v>
      </c>
      <c r="C1313" s="14" t="str">
        <f>"1800"</f>
        <v>1800</v>
      </c>
      <c r="D1313" s="14" t="str">
        <f>""</f>
        <v/>
      </c>
      <c r="E1313" s="14" t="s">
        <v>1302</v>
      </c>
      <c r="F1313" s="14" t="s">
        <v>1002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228</v>
      </c>
      <c r="P1313" s="14" t="s">
        <v>260</v>
      </c>
      <c r="Q1313" s="14" t="s">
        <v>260</v>
      </c>
      <c r="R1313" s="14" t="s">
        <v>229</v>
      </c>
    </row>
    <row r="1314" spans="1:18" s="14" customFormat="1" x14ac:dyDescent="0.25">
      <c r="A1314" s="14" t="str">
        <f>"83540"</f>
        <v>83540</v>
      </c>
      <c r="B1314" s="14" t="str">
        <f>"07010"</f>
        <v>07010</v>
      </c>
      <c r="C1314" s="14" t="str">
        <f>"1800"</f>
        <v>1800</v>
      </c>
      <c r="D1314" s="14" t="str">
        <f>""</f>
        <v/>
      </c>
      <c r="E1314" s="14" t="s">
        <v>1303</v>
      </c>
      <c r="F1314" s="14" t="s">
        <v>1002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228</v>
      </c>
      <c r="P1314" s="14" t="s">
        <v>260</v>
      </c>
      <c r="Q1314" s="14" t="s">
        <v>260</v>
      </c>
      <c r="R1314" s="14" t="s">
        <v>229</v>
      </c>
    </row>
    <row r="1315" spans="1:18" s="14" customFormat="1" x14ac:dyDescent="0.25">
      <c r="A1315" s="14" t="str">
        <f>"83543"</f>
        <v>83543</v>
      </c>
      <c r="B1315" s="14" t="str">
        <f>"07010"</f>
        <v>07010</v>
      </c>
      <c r="C1315" s="14" t="str">
        <f>"1800"</f>
        <v>1800</v>
      </c>
      <c r="D1315" s="14" t="str">
        <f>""</f>
        <v/>
      </c>
      <c r="E1315" s="14" t="s">
        <v>1304</v>
      </c>
      <c r="F1315" s="14" t="s">
        <v>1002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228</v>
      </c>
      <c r="P1315" s="14" t="s">
        <v>260</v>
      </c>
      <c r="Q1315" s="14" t="s">
        <v>260</v>
      </c>
      <c r="R1315" s="14" t="s">
        <v>229</v>
      </c>
    </row>
    <row r="1316" spans="1:18" s="14" customFormat="1" x14ac:dyDescent="0.25">
      <c r="A1316" s="14" t="str">
        <f>"83545"</f>
        <v>83545</v>
      </c>
      <c r="B1316" s="14" t="str">
        <f>"07010"</f>
        <v>07010</v>
      </c>
      <c r="C1316" s="14" t="str">
        <f>"1800"</f>
        <v>1800</v>
      </c>
      <c r="D1316" s="14" t="str">
        <f>""</f>
        <v/>
      </c>
      <c r="E1316" s="14" t="s">
        <v>1305</v>
      </c>
      <c r="F1316" s="14" t="s">
        <v>1002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228</v>
      </c>
      <c r="P1316" s="14" t="s">
        <v>260</v>
      </c>
      <c r="Q1316" s="14" t="s">
        <v>260</v>
      </c>
      <c r="R1316" s="14" t="s">
        <v>229</v>
      </c>
    </row>
    <row r="1317" spans="1:18" s="14" customFormat="1" x14ac:dyDescent="0.25">
      <c r="A1317" s="14" t="str">
        <f>"83548"</f>
        <v>83548</v>
      </c>
      <c r="B1317" s="14" t="str">
        <f>"07010"</f>
        <v>07010</v>
      </c>
      <c r="C1317" s="14" t="str">
        <f>"1800"</f>
        <v>1800</v>
      </c>
      <c r="D1317" s="14" t="str">
        <f>""</f>
        <v/>
      </c>
      <c r="E1317" s="14" t="s">
        <v>1306</v>
      </c>
      <c r="F1317" s="14" t="s">
        <v>1002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228</v>
      </c>
      <c r="P1317" s="14" t="s">
        <v>260</v>
      </c>
      <c r="Q1317" s="14" t="s">
        <v>260</v>
      </c>
      <c r="R1317" s="14" t="s">
        <v>229</v>
      </c>
    </row>
    <row r="1318" spans="1:18" s="14" customFormat="1" x14ac:dyDescent="0.25">
      <c r="A1318" s="14" t="str">
        <f>"83552"</f>
        <v>83552</v>
      </c>
      <c r="B1318" s="14" t="str">
        <f>"07010"</f>
        <v>07010</v>
      </c>
      <c r="C1318" s="14" t="str">
        <f>"1800"</f>
        <v>1800</v>
      </c>
      <c r="D1318" s="14" t="str">
        <f>""</f>
        <v/>
      </c>
      <c r="E1318" s="14" t="s">
        <v>1307</v>
      </c>
      <c r="F1318" s="14" t="s">
        <v>1002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228</v>
      </c>
      <c r="P1318" s="14" t="s">
        <v>260</v>
      </c>
      <c r="Q1318" s="14" t="s">
        <v>260</v>
      </c>
      <c r="R1318" s="14" t="s">
        <v>229</v>
      </c>
    </row>
    <row r="1319" spans="1:18" s="14" customFormat="1" x14ac:dyDescent="0.25">
      <c r="A1319" s="14" t="str">
        <f>"83553"</f>
        <v>83553</v>
      </c>
      <c r="B1319" s="14" t="str">
        <f>"07010"</f>
        <v>07010</v>
      </c>
      <c r="C1319" s="14" t="str">
        <f>"1800"</f>
        <v>1800</v>
      </c>
      <c r="D1319" s="14" t="str">
        <f>""</f>
        <v/>
      </c>
      <c r="E1319" s="14" t="s">
        <v>1308</v>
      </c>
      <c r="F1319" s="14" t="s">
        <v>1002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228</v>
      </c>
      <c r="P1319" s="14" t="s">
        <v>260</v>
      </c>
      <c r="Q1319" s="14" t="s">
        <v>260</v>
      </c>
      <c r="R1319" s="14" t="s">
        <v>229</v>
      </c>
    </row>
    <row r="1320" spans="1:18" s="14" customFormat="1" x14ac:dyDescent="0.25">
      <c r="A1320" s="14" t="str">
        <f>"83554"</f>
        <v>83554</v>
      </c>
      <c r="B1320" s="14" t="str">
        <f>"07010"</f>
        <v>07010</v>
      </c>
      <c r="C1320" s="14" t="str">
        <f>"1800"</f>
        <v>1800</v>
      </c>
      <c r="D1320" s="14" t="str">
        <f>""</f>
        <v/>
      </c>
      <c r="E1320" s="14" t="s">
        <v>1309</v>
      </c>
      <c r="F1320" s="14" t="s">
        <v>1002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228</v>
      </c>
      <c r="P1320" s="14" t="s">
        <v>260</v>
      </c>
      <c r="Q1320" s="14" t="s">
        <v>260</v>
      </c>
      <c r="R1320" s="14" t="s">
        <v>229</v>
      </c>
    </row>
    <row r="1321" spans="1:18" s="14" customFormat="1" x14ac:dyDescent="0.25">
      <c r="A1321" s="14" t="str">
        <f>"83555"</f>
        <v>83555</v>
      </c>
      <c r="B1321" s="14" t="str">
        <f>"07010"</f>
        <v>07010</v>
      </c>
      <c r="C1321" s="14" t="str">
        <f>"1800"</f>
        <v>1800</v>
      </c>
      <c r="D1321" s="14" t="str">
        <f>""</f>
        <v/>
      </c>
      <c r="E1321" s="14" t="s">
        <v>1310</v>
      </c>
      <c r="F1321" s="14" t="s">
        <v>1002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228</v>
      </c>
      <c r="P1321" s="14" t="s">
        <v>260</v>
      </c>
      <c r="Q1321" s="14" t="s">
        <v>260</v>
      </c>
      <c r="R1321" s="14" t="s">
        <v>229</v>
      </c>
    </row>
    <row r="1322" spans="1:18" s="14" customFormat="1" x14ac:dyDescent="0.25">
      <c r="A1322" s="14" t="str">
        <f>"83556"</f>
        <v>83556</v>
      </c>
      <c r="B1322" s="14" t="str">
        <f>"07010"</f>
        <v>07010</v>
      </c>
      <c r="C1322" s="14" t="str">
        <f>"1800"</f>
        <v>1800</v>
      </c>
      <c r="D1322" s="14" t="str">
        <f>""</f>
        <v/>
      </c>
      <c r="E1322" s="14" t="s">
        <v>1311</v>
      </c>
      <c r="F1322" s="14" t="s">
        <v>1002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228</v>
      </c>
      <c r="P1322" s="14" t="s">
        <v>260</v>
      </c>
      <c r="Q1322" s="14" t="s">
        <v>260</v>
      </c>
      <c r="R1322" s="14" t="s">
        <v>229</v>
      </c>
    </row>
    <row r="1323" spans="1:18" s="14" customFormat="1" x14ac:dyDescent="0.25">
      <c r="A1323" s="14" t="str">
        <f>"83558"</f>
        <v>83558</v>
      </c>
      <c r="B1323" s="14" t="str">
        <f>"07010"</f>
        <v>07010</v>
      </c>
      <c r="C1323" s="14" t="str">
        <f>"1800"</f>
        <v>1800</v>
      </c>
      <c r="D1323" s="14" t="str">
        <f>""</f>
        <v/>
      </c>
      <c r="E1323" s="14" t="s">
        <v>1312</v>
      </c>
      <c r="F1323" s="14" t="s">
        <v>1002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228</v>
      </c>
      <c r="P1323" s="14" t="s">
        <v>260</v>
      </c>
      <c r="Q1323" s="14" t="s">
        <v>260</v>
      </c>
      <c r="R1323" s="14" t="s">
        <v>229</v>
      </c>
    </row>
    <row r="1324" spans="1:18" s="14" customFormat="1" x14ac:dyDescent="0.25">
      <c r="A1324" s="14" t="str">
        <f>"83559"</f>
        <v>83559</v>
      </c>
      <c r="B1324" s="14" t="str">
        <f>"07010"</f>
        <v>07010</v>
      </c>
      <c r="C1324" s="14" t="str">
        <f>"1800"</f>
        <v>1800</v>
      </c>
      <c r="D1324" s="14" t="str">
        <f>""</f>
        <v/>
      </c>
      <c r="E1324" s="14" t="s">
        <v>1313</v>
      </c>
      <c r="F1324" s="14" t="s">
        <v>1002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228</v>
      </c>
      <c r="P1324" s="14" t="s">
        <v>260</v>
      </c>
      <c r="Q1324" s="14" t="s">
        <v>260</v>
      </c>
      <c r="R1324" s="14" t="s">
        <v>229</v>
      </c>
    </row>
    <row r="1325" spans="1:18" s="14" customFormat="1" x14ac:dyDescent="0.25">
      <c r="A1325" s="14" t="str">
        <f>"83560"</f>
        <v>83560</v>
      </c>
      <c r="B1325" s="14" t="str">
        <f>"07010"</f>
        <v>07010</v>
      </c>
      <c r="C1325" s="14" t="str">
        <f>"1800"</f>
        <v>1800</v>
      </c>
      <c r="D1325" s="14" t="str">
        <f>""</f>
        <v/>
      </c>
      <c r="E1325" s="14" t="s">
        <v>1314</v>
      </c>
      <c r="F1325" s="14" t="s">
        <v>1002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228</v>
      </c>
      <c r="P1325" s="14" t="s">
        <v>260</v>
      </c>
      <c r="Q1325" s="14" t="s">
        <v>260</v>
      </c>
      <c r="R1325" s="14" t="s">
        <v>229</v>
      </c>
    </row>
    <row r="1326" spans="1:18" s="14" customFormat="1" x14ac:dyDescent="0.25">
      <c r="A1326" s="14" t="str">
        <f>"83561"</f>
        <v>83561</v>
      </c>
      <c r="B1326" s="14" t="str">
        <f>"07010"</f>
        <v>07010</v>
      </c>
      <c r="C1326" s="14" t="str">
        <f>"1800"</f>
        <v>1800</v>
      </c>
      <c r="D1326" s="14" t="str">
        <f>""</f>
        <v/>
      </c>
      <c r="E1326" s="14" t="s">
        <v>1315</v>
      </c>
      <c r="F1326" s="14" t="s">
        <v>1002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228</v>
      </c>
      <c r="P1326" s="14" t="s">
        <v>260</v>
      </c>
      <c r="Q1326" s="14" t="s">
        <v>260</v>
      </c>
      <c r="R1326" s="14" t="s">
        <v>229</v>
      </c>
    </row>
    <row r="1327" spans="1:18" s="14" customFormat="1" x14ac:dyDescent="0.25">
      <c r="A1327" s="14" t="str">
        <f>"83562"</f>
        <v>83562</v>
      </c>
      <c r="B1327" s="14" t="str">
        <f>"07010"</f>
        <v>07010</v>
      </c>
      <c r="C1327" s="14" t="str">
        <f>"1800"</f>
        <v>1800</v>
      </c>
      <c r="D1327" s="14" t="str">
        <f>""</f>
        <v/>
      </c>
      <c r="E1327" s="14" t="s">
        <v>1316</v>
      </c>
      <c r="F1327" s="14" t="s">
        <v>1002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228</v>
      </c>
      <c r="P1327" s="14" t="s">
        <v>260</v>
      </c>
      <c r="Q1327" s="14" t="s">
        <v>260</v>
      </c>
      <c r="R1327" s="14" t="s">
        <v>229</v>
      </c>
    </row>
    <row r="1328" spans="1:18" s="14" customFormat="1" x14ac:dyDescent="0.25">
      <c r="A1328" s="14" t="str">
        <f>"83563"</f>
        <v>83563</v>
      </c>
      <c r="B1328" s="14" t="str">
        <f>"07010"</f>
        <v>07010</v>
      </c>
      <c r="C1328" s="14" t="str">
        <f>"1800"</f>
        <v>1800</v>
      </c>
      <c r="D1328" s="14" t="str">
        <f>""</f>
        <v/>
      </c>
      <c r="E1328" s="14" t="s">
        <v>1317</v>
      </c>
      <c r="F1328" s="14" t="s">
        <v>1002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228</v>
      </c>
      <c r="P1328" s="14" t="s">
        <v>260</v>
      </c>
      <c r="Q1328" s="14" t="s">
        <v>260</v>
      </c>
      <c r="R1328" s="14" t="s">
        <v>229</v>
      </c>
    </row>
    <row r="1329" spans="1:18" s="14" customFormat="1" x14ac:dyDescent="0.25">
      <c r="A1329" s="14" t="str">
        <f>"83568"</f>
        <v>83568</v>
      </c>
      <c r="B1329" s="14" t="str">
        <f>"07010"</f>
        <v>07010</v>
      </c>
      <c r="C1329" s="14" t="str">
        <f>"1800"</f>
        <v>1800</v>
      </c>
      <c r="D1329" s="14" t="str">
        <f>""</f>
        <v/>
      </c>
      <c r="E1329" s="14" t="s">
        <v>1318</v>
      </c>
      <c r="F1329" s="14" t="s">
        <v>1002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228</v>
      </c>
      <c r="P1329" s="14" t="s">
        <v>260</v>
      </c>
      <c r="Q1329" s="14" t="s">
        <v>260</v>
      </c>
      <c r="R1329" s="14" t="s">
        <v>229</v>
      </c>
    </row>
    <row r="1330" spans="1:18" s="14" customFormat="1" x14ac:dyDescent="0.25">
      <c r="A1330" s="14" t="str">
        <f>"83569"</f>
        <v>83569</v>
      </c>
      <c r="B1330" s="14" t="str">
        <f>"07010"</f>
        <v>07010</v>
      </c>
      <c r="C1330" s="14" t="str">
        <f>"1800"</f>
        <v>1800</v>
      </c>
      <c r="D1330" s="14" t="str">
        <f>""</f>
        <v/>
      </c>
      <c r="E1330" s="14" t="s">
        <v>1319</v>
      </c>
      <c r="F1330" s="14" t="s">
        <v>1002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228</v>
      </c>
      <c r="P1330" s="14" t="s">
        <v>260</v>
      </c>
      <c r="Q1330" s="14" t="s">
        <v>260</v>
      </c>
      <c r="R1330" s="14" t="s">
        <v>229</v>
      </c>
    </row>
    <row r="1331" spans="1:18" s="14" customFormat="1" x14ac:dyDescent="0.25">
      <c r="A1331" s="14" t="str">
        <f>"83570"</f>
        <v>83570</v>
      </c>
      <c r="B1331" s="14" t="str">
        <f>"07010"</f>
        <v>07010</v>
      </c>
      <c r="C1331" s="14" t="str">
        <f>"1800"</f>
        <v>1800</v>
      </c>
      <c r="D1331" s="14" t="str">
        <f>""</f>
        <v/>
      </c>
      <c r="E1331" s="14" t="s">
        <v>1320</v>
      </c>
      <c r="F1331" s="14" t="s">
        <v>1002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228</v>
      </c>
      <c r="P1331" s="14" t="s">
        <v>260</v>
      </c>
      <c r="Q1331" s="14" t="s">
        <v>260</v>
      </c>
      <c r="R1331" s="14" t="s">
        <v>229</v>
      </c>
    </row>
    <row r="1332" spans="1:18" s="14" customFormat="1" x14ac:dyDescent="0.25">
      <c r="A1332" s="14" t="str">
        <f>"83571"</f>
        <v>83571</v>
      </c>
      <c r="B1332" s="14" t="str">
        <f>"07010"</f>
        <v>07010</v>
      </c>
      <c r="C1332" s="14" t="str">
        <f>"1800"</f>
        <v>1800</v>
      </c>
      <c r="D1332" s="14" t="str">
        <f>""</f>
        <v/>
      </c>
      <c r="E1332" s="14" t="s">
        <v>1321</v>
      </c>
      <c r="F1332" s="14" t="s">
        <v>1002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228</v>
      </c>
      <c r="P1332" s="14" t="s">
        <v>260</v>
      </c>
      <c r="Q1332" s="14" t="s">
        <v>260</v>
      </c>
      <c r="R1332" s="14" t="s">
        <v>229</v>
      </c>
    </row>
    <row r="1333" spans="1:18" s="14" customFormat="1" x14ac:dyDescent="0.25">
      <c r="A1333" s="14" t="str">
        <f>"83572"</f>
        <v>83572</v>
      </c>
      <c r="B1333" s="14" t="str">
        <f>"07010"</f>
        <v>07010</v>
      </c>
      <c r="C1333" s="14" t="str">
        <f>"1800"</f>
        <v>1800</v>
      </c>
      <c r="D1333" s="14" t="str">
        <f>""</f>
        <v/>
      </c>
      <c r="E1333" s="14" t="s">
        <v>1322</v>
      </c>
      <c r="F1333" s="14" t="s">
        <v>1002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228</v>
      </c>
      <c r="P1333" s="14" t="s">
        <v>260</v>
      </c>
      <c r="Q1333" s="14" t="s">
        <v>260</v>
      </c>
      <c r="R1333" s="14" t="s">
        <v>229</v>
      </c>
    </row>
    <row r="1334" spans="1:18" s="14" customFormat="1" x14ac:dyDescent="0.25">
      <c r="A1334" s="14" t="str">
        <f>"83573"</f>
        <v>83573</v>
      </c>
      <c r="B1334" s="14" t="str">
        <f>"07010"</f>
        <v>07010</v>
      </c>
      <c r="C1334" s="14" t="str">
        <f>"1800"</f>
        <v>1800</v>
      </c>
      <c r="D1334" s="14" t="str">
        <f>""</f>
        <v/>
      </c>
      <c r="E1334" s="14" t="s">
        <v>1323</v>
      </c>
      <c r="F1334" s="14" t="s">
        <v>1002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228</v>
      </c>
      <c r="P1334" s="14" t="s">
        <v>260</v>
      </c>
      <c r="Q1334" s="14" t="s">
        <v>260</v>
      </c>
      <c r="R1334" s="14" t="s">
        <v>229</v>
      </c>
    </row>
    <row r="1335" spans="1:18" s="14" customFormat="1" x14ac:dyDescent="0.25">
      <c r="A1335" s="14" t="str">
        <f>"83577"</f>
        <v>83577</v>
      </c>
      <c r="B1335" s="14" t="str">
        <f>"07010"</f>
        <v>07010</v>
      </c>
      <c r="C1335" s="14" t="str">
        <f>"1800"</f>
        <v>1800</v>
      </c>
      <c r="D1335" s="14" t="str">
        <f>""</f>
        <v/>
      </c>
      <c r="E1335" s="14" t="s">
        <v>1324</v>
      </c>
      <c r="F1335" s="14" t="s">
        <v>1002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228</v>
      </c>
      <c r="P1335" s="14" t="s">
        <v>260</v>
      </c>
      <c r="Q1335" s="14" t="s">
        <v>260</v>
      </c>
      <c r="R1335" s="14" t="s">
        <v>229</v>
      </c>
    </row>
    <row r="1336" spans="1:18" s="14" customFormat="1" x14ac:dyDescent="0.25">
      <c r="A1336" s="14" t="str">
        <f>"83578"</f>
        <v>83578</v>
      </c>
      <c r="B1336" s="14" t="str">
        <f>"07010"</f>
        <v>07010</v>
      </c>
      <c r="C1336" s="14" t="str">
        <f>"1800"</f>
        <v>1800</v>
      </c>
      <c r="D1336" s="14" t="str">
        <f>""</f>
        <v/>
      </c>
      <c r="E1336" s="14" t="s">
        <v>1325</v>
      </c>
      <c r="F1336" s="14" t="s">
        <v>1002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228</v>
      </c>
      <c r="P1336" s="14" t="s">
        <v>260</v>
      </c>
      <c r="Q1336" s="14" t="s">
        <v>260</v>
      </c>
      <c r="R1336" s="14" t="s">
        <v>229</v>
      </c>
    </row>
    <row r="1337" spans="1:18" s="14" customFormat="1" x14ac:dyDescent="0.25">
      <c r="A1337" s="14" t="str">
        <f>"83579"</f>
        <v>83579</v>
      </c>
      <c r="B1337" s="14" t="str">
        <f>"07010"</f>
        <v>07010</v>
      </c>
      <c r="C1337" s="14" t="str">
        <f>"1800"</f>
        <v>1800</v>
      </c>
      <c r="D1337" s="14" t="str">
        <f>""</f>
        <v/>
      </c>
      <c r="E1337" s="14" t="s">
        <v>1326</v>
      </c>
      <c r="F1337" s="14" t="s">
        <v>1002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228</v>
      </c>
      <c r="P1337" s="14" t="s">
        <v>260</v>
      </c>
      <c r="Q1337" s="14" t="s">
        <v>260</v>
      </c>
      <c r="R1337" s="14" t="s">
        <v>229</v>
      </c>
    </row>
    <row r="1338" spans="1:18" s="14" customFormat="1" x14ac:dyDescent="0.25">
      <c r="A1338" s="14" t="str">
        <f>"83581"</f>
        <v>83581</v>
      </c>
      <c r="B1338" s="14" t="str">
        <f>"07010"</f>
        <v>07010</v>
      </c>
      <c r="C1338" s="14" t="str">
        <f>"1800"</f>
        <v>1800</v>
      </c>
      <c r="D1338" s="14" t="str">
        <f>""</f>
        <v/>
      </c>
      <c r="E1338" s="14" t="s">
        <v>1327</v>
      </c>
      <c r="F1338" s="14" t="s">
        <v>1002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228</v>
      </c>
      <c r="P1338" s="14" t="s">
        <v>260</v>
      </c>
      <c r="Q1338" s="14" t="s">
        <v>260</v>
      </c>
      <c r="R1338" s="14" t="s">
        <v>229</v>
      </c>
    </row>
    <row r="1339" spans="1:18" s="14" customFormat="1" x14ac:dyDescent="0.25">
      <c r="A1339" s="14" t="str">
        <f>"83582"</f>
        <v>83582</v>
      </c>
      <c r="B1339" s="14" t="str">
        <f>"07010"</f>
        <v>07010</v>
      </c>
      <c r="C1339" s="14" t="str">
        <f>"1800"</f>
        <v>1800</v>
      </c>
      <c r="D1339" s="14" t="str">
        <f>""</f>
        <v/>
      </c>
      <c r="E1339" s="14" t="s">
        <v>1328</v>
      </c>
      <c r="F1339" s="14" t="s">
        <v>1002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228</v>
      </c>
      <c r="P1339" s="14" t="s">
        <v>260</v>
      </c>
      <c r="Q1339" s="14" t="s">
        <v>260</v>
      </c>
      <c r="R1339" s="14" t="s">
        <v>229</v>
      </c>
    </row>
    <row r="1340" spans="1:18" s="14" customFormat="1" x14ac:dyDescent="0.25">
      <c r="A1340" s="14" t="str">
        <f>"83586"</f>
        <v>83586</v>
      </c>
      <c r="B1340" s="14" t="str">
        <f>"07010"</f>
        <v>07010</v>
      </c>
      <c r="C1340" s="14" t="str">
        <f>"1800"</f>
        <v>1800</v>
      </c>
      <c r="D1340" s="14" t="str">
        <f>""</f>
        <v/>
      </c>
      <c r="E1340" s="14" t="s">
        <v>1329</v>
      </c>
      <c r="F1340" s="14" t="s">
        <v>1002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228</v>
      </c>
      <c r="P1340" s="14" t="s">
        <v>260</v>
      </c>
      <c r="Q1340" s="14" t="s">
        <v>260</v>
      </c>
      <c r="R1340" s="14" t="s">
        <v>229</v>
      </c>
    </row>
    <row r="1341" spans="1:18" s="14" customFormat="1" x14ac:dyDescent="0.25">
      <c r="A1341" s="14" t="str">
        <f>"83588"</f>
        <v>83588</v>
      </c>
      <c r="B1341" s="14" t="str">
        <f>"07010"</f>
        <v>07010</v>
      </c>
      <c r="C1341" s="14" t="str">
        <f>"1800"</f>
        <v>1800</v>
      </c>
      <c r="D1341" s="14" t="str">
        <f>""</f>
        <v/>
      </c>
      <c r="E1341" s="14" t="s">
        <v>1330</v>
      </c>
      <c r="F1341" s="14" t="s">
        <v>1002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228</v>
      </c>
      <c r="P1341" s="14" t="s">
        <v>260</v>
      </c>
      <c r="Q1341" s="14" t="s">
        <v>260</v>
      </c>
      <c r="R1341" s="14" t="s">
        <v>229</v>
      </c>
    </row>
    <row r="1342" spans="1:18" s="14" customFormat="1" x14ac:dyDescent="0.25">
      <c r="A1342" s="14" t="str">
        <f>"83590"</f>
        <v>83590</v>
      </c>
      <c r="B1342" s="14" t="str">
        <f>"07010"</f>
        <v>07010</v>
      </c>
      <c r="C1342" s="14" t="str">
        <f>"1800"</f>
        <v>1800</v>
      </c>
      <c r="D1342" s="14" t="str">
        <f>""</f>
        <v/>
      </c>
      <c r="E1342" s="14" t="s">
        <v>1331</v>
      </c>
      <c r="F1342" s="14" t="s">
        <v>1002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228</v>
      </c>
      <c r="P1342" s="14" t="s">
        <v>260</v>
      </c>
      <c r="Q1342" s="14" t="s">
        <v>260</v>
      </c>
      <c r="R1342" s="14" t="s">
        <v>229</v>
      </c>
    </row>
    <row r="1343" spans="1:18" s="14" customFormat="1" x14ac:dyDescent="0.25">
      <c r="A1343" s="14" t="str">
        <f>"83591"</f>
        <v>83591</v>
      </c>
      <c r="B1343" s="14" t="str">
        <f>"07010"</f>
        <v>07010</v>
      </c>
      <c r="C1343" s="14" t="str">
        <f>"1800"</f>
        <v>1800</v>
      </c>
      <c r="D1343" s="14" t="str">
        <f>""</f>
        <v/>
      </c>
      <c r="E1343" s="14" t="s">
        <v>1332</v>
      </c>
      <c r="F1343" s="14" t="s">
        <v>1002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228</v>
      </c>
      <c r="P1343" s="14" t="s">
        <v>260</v>
      </c>
      <c r="Q1343" s="14" t="s">
        <v>260</v>
      </c>
      <c r="R1343" s="14" t="s">
        <v>229</v>
      </c>
    </row>
    <row r="1344" spans="1:18" s="14" customFormat="1" x14ac:dyDescent="0.25">
      <c r="A1344" s="14" t="str">
        <f>"83592"</f>
        <v>83592</v>
      </c>
      <c r="B1344" s="14" t="str">
        <f>"07010"</f>
        <v>07010</v>
      </c>
      <c r="C1344" s="14" t="str">
        <f>"1800"</f>
        <v>1800</v>
      </c>
      <c r="D1344" s="14" t="str">
        <f>""</f>
        <v/>
      </c>
      <c r="E1344" s="14" t="s">
        <v>1333</v>
      </c>
      <c r="F1344" s="14" t="s">
        <v>1002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228</v>
      </c>
      <c r="P1344" s="14" t="s">
        <v>260</v>
      </c>
      <c r="Q1344" s="14" t="s">
        <v>260</v>
      </c>
      <c r="R1344" s="14" t="s">
        <v>229</v>
      </c>
    </row>
    <row r="1345" spans="1:18" s="14" customFormat="1" x14ac:dyDescent="0.25">
      <c r="A1345" s="14" t="str">
        <f>"83593"</f>
        <v>83593</v>
      </c>
      <c r="B1345" s="14" t="str">
        <f>"07010"</f>
        <v>07010</v>
      </c>
      <c r="C1345" s="14" t="str">
        <f>"1800"</f>
        <v>1800</v>
      </c>
      <c r="D1345" s="14" t="str">
        <f>""</f>
        <v/>
      </c>
      <c r="E1345" s="14" t="s">
        <v>1334</v>
      </c>
      <c r="F1345" s="14" t="s">
        <v>1002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228</v>
      </c>
      <c r="P1345" s="14" t="s">
        <v>260</v>
      </c>
      <c r="Q1345" s="14" t="s">
        <v>260</v>
      </c>
      <c r="R1345" s="14" t="s">
        <v>229</v>
      </c>
    </row>
    <row r="1346" spans="1:18" s="14" customFormat="1" x14ac:dyDescent="0.25">
      <c r="A1346" s="14" t="str">
        <f>"83595"</f>
        <v>83595</v>
      </c>
      <c r="B1346" s="14" t="str">
        <f>"07010"</f>
        <v>07010</v>
      </c>
      <c r="C1346" s="14" t="str">
        <f>"1800"</f>
        <v>1800</v>
      </c>
      <c r="D1346" s="14" t="str">
        <f>""</f>
        <v/>
      </c>
      <c r="E1346" s="14" t="s">
        <v>1335</v>
      </c>
      <c r="F1346" s="14" t="s">
        <v>1002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228</v>
      </c>
      <c r="P1346" s="14" t="s">
        <v>260</v>
      </c>
      <c r="Q1346" s="14" t="s">
        <v>260</v>
      </c>
      <c r="R1346" s="14" t="s">
        <v>229</v>
      </c>
    </row>
    <row r="1347" spans="1:18" s="14" customFormat="1" x14ac:dyDescent="0.25">
      <c r="A1347" s="14" t="str">
        <f>"83597"</f>
        <v>83597</v>
      </c>
      <c r="B1347" s="14" t="str">
        <f>"07010"</f>
        <v>07010</v>
      </c>
      <c r="C1347" s="14" t="str">
        <f>"1800"</f>
        <v>1800</v>
      </c>
      <c r="D1347" s="14" t="str">
        <f>""</f>
        <v/>
      </c>
      <c r="E1347" s="14" t="s">
        <v>1336</v>
      </c>
      <c r="F1347" s="14" t="s">
        <v>1002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228</v>
      </c>
      <c r="P1347" s="14" t="s">
        <v>260</v>
      </c>
      <c r="Q1347" s="14" t="s">
        <v>260</v>
      </c>
      <c r="R1347" s="14" t="s">
        <v>229</v>
      </c>
    </row>
    <row r="1348" spans="1:18" s="14" customFormat="1" x14ac:dyDescent="0.25">
      <c r="A1348" s="14" t="str">
        <f>"83598"</f>
        <v>83598</v>
      </c>
      <c r="B1348" s="14" t="str">
        <f>"07010"</f>
        <v>07010</v>
      </c>
      <c r="C1348" s="14" t="str">
        <f>"1800"</f>
        <v>1800</v>
      </c>
      <c r="D1348" s="14" t="str">
        <f>""</f>
        <v/>
      </c>
      <c r="E1348" s="14" t="s">
        <v>1337</v>
      </c>
      <c r="F1348" s="14" t="s">
        <v>1002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228</v>
      </c>
      <c r="P1348" s="14" t="s">
        <v>260</v>
      </c>
      <c r="Q1348" s="14" t="s">
        <v>260</v>
      </c>
      <c r="R1348" s="14" t="s">
        <v>229</v>
      </c>
    </row>
    <row r="1349" spans="1:18" s="14" customFormat="1" x14ac:dyDescent="0.25">
      <c r="A1349" s="14" t="str">
        <f>"83599"</f>
        <v>83599</v>
      </c>
      <c r="B1349" s="14" t="str">
        <f>"07010"</f>
        <v>07010</v>
      </c>
      <c r="C1349" s="14" t="str">
        <f>"1800"</f>
        <v>1800</v>
      </c>
      <c r="D1349" s="14" t="str">
        <f>""</f>
        <v/>
      </c>
      <c r="E1349" s="14" t="s">
        <v>1338</v>
      </c>
      <c r="F1349" s="14" t="s">
        <v>1002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228</v>
      </c>
      <c r="P1349" s="14" t="s">
        <v>260</v>
      </c>
      <c r="Q1349" s="14" t="s">
        <v>260</v>
      </c>
      <c r="R1349" s="14" t="s">
        <v>229</v>
      </c>
    </row>
    <row r="1350" spans="1:18" s="14" customFormat="1" x14ac:dyDescent="0.25">
      <c r="A1350" s="14" t="str">
        <f>"83600"</f>
        <v>83600</v>
      </c>
      <c r="B1350" s="14" t="str">
        <f>"07010"</f>
        <v>07010</v>
      </c>
      <c r="C1350" s="14" t="str">
        <f>"1800"</f>
        <v>1800</v>
      </c>
      <c r="D1350" s="14" t="str">
        <f>""</f>
        <v/>
      </c>
      <c r="E1350" s="14" t="s">
        <v>1339</v>
      </c>
      <c r="F1350" s="14" t="s">
        <v>1002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228</v>
      </c>
      <c r="P1350" s="14" t="s">
        <v>260</v>
      </c>
      <c r="Q1350" s="14" t="s">
        <v>260</v>
      </c>
      <c r="R1350" s="14" t="s">
        <v>229</v>
      </c>
    </row>
    <row r="1351" spans="1:18" s="14" customFormat="1" x14ac:dyDescent="0.25">
      <c r="A1351" s="14" t="str">
        <f>"83603"</f>
        <v>83603</v>
      </c>
      <c r="B1351" s="14" t="str">
        <f>"07010"</f>
        <v>07010</v>
      </c>
      <c r="C1351" s="14" t="str">
        <f>"1800"</f>
        <v>1800</v>
      </c>
      <c r="D1351" s="14" t="str">
        <f>""</f>
        <v/>
      </c>
      <c r="E1351" s="14" t="s">
        <v>1340</v>
      </c>
      <c r="F1351" s="14" t="s">
        <v>1002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228</v>
      </c>
      <c r="P1351" s="14" t="s">
        <v>260</v>
      </c>
      <c r="Q1351" s="14" t="s">
        <v>260</v>
      </c>
      <c r="R1351" s="14" t="s">
        <v>229</v>
      </c>
    </row>
    <row r="1352" spans="1:18" s="14" customFormat="1" x14ac:dyDescent="0.25">
      <c r="A1352" s="14" t="str">
        <f>"83606"</f>
        <v>83606</v>
      </c>
      <c r="B1352" s="14" t="str">
        <f>"07010"</f>
        <v>07010</v>
      </c>
      <c r="C1352" s="14" t="str">
        <f>"1800"</f>
        <v>1800</v>
      </c>
      <c r="D1352" s="14" t="str">
        <f>""</f>
        <v/>
      </c>
      <c r="E1352" s="14" t="s">
        <v>1341</v>
      </c>
      <c r="F1352" s="14" t="s">
        <v>1002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228</v>
      </c>
      <c r="P1352" s="14" t="s">
        <v>260</v>
      </c>
      <c r="Q1352" s="14" t="s">
        <v>260</v>
      </c>
      <c r="R1352" s="14" t="s">
        <v>229</v>
      </c>
    </row>
    <row r="1353" spans="1:18" s="14" customFormat="1" x14ac:dyDescent="0.25">
      <c r="A1353" s="14" t="str">
        <f>"83607"</f>
        <v>83607</v>
      </c>
      <c r="B1353" s="14" t="str">
        <f>"07010"</f>
        <v>07010</v>
      </c>
      <c r="C1353" s="14" t="str">
        <f>"1800"</f>
        <v>1800</v>
      </c>
      <c r="D1353" s="14" t="str">
        <f>""</f>
        <v/>
      </c>
      <c r="E1353" s="14" t="s">
        <v>1342</v>
      </c>
      <c r="F1353" s="14" t="s">
        <v>1002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228</v>
      </c>
      <c r="P1353" s="14" t="s">
        <v>260</v>
      </c>
      <c r="Q1353" s="14" t="s">
        <v>260</v>
      </c>
      <c r="R1353" s="14" t="s">
        <v>229</v>
      </c>
    </row>
    <row r="1354" spans="1:18" s="14" customFormat="1" x14ac:dyDescent="0.25">
      <c r="A1354" s="14" t="str">
        <f>"83608"</f>
        <v>83608</v>
      </c>
      <c r="B1354" s="14" t="str">
        <f>"07010"</f>
        <v>07010</v>
      </c>
      <c r="C1354" s="14" t="str">
        <f>"1800"</f>
        <v>1800</v>
      </c>
      <c r="D1354" s="14" t="str">
        <f>""</f>
        <v/>
      </c>
      <c r="E1354" s="14" t="s">
        <v>1343</v>
      </c>
      <c r="F1354" s="14" t="s">
        <v>1002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228</v>
      </c>
      <c r="P1354" s="14" t="s">
        <v>260</v>
      </c>
      <c r="Q1354" s="14" t="s">
        <v>260</v>
      </c>
      <c r="R1354" s="14" t="s">
        <v>229</v>
      </c>
    </row>
    <row r="1355" spans="1:18" s="14" customFormat="1" x14ac:dyDescent="0.25">
      <c r="A1355" s="14" t="str">
        <f>"83611"</f>
        <v>83611</v>
      </c>
      <c r="B1355" s="14" t="str">
        <f>"07010"</f>
        <v>07010</v>
      </c>
      <c r="C1355" s="14" t="str">
        <f>"1800"</f>
        <v>1800</v>
      </c>
      <c r="D1355" s="14" t="str">
        <f>""</f>
        <v/>
      </c>
      <c r="E1355" s="14" t="s">
        <v>1344</v>
      </c>
      <c r="F1355" s="14" t="s">
        <v>1002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228</v>
      </c>
      <c r="P1355" s="14" t="s">
        <v>260</v>
      </c>
      <c r="Q1355" s="14" t="s">
        <v>260</v>
      </c>
      <c r="R1355" s="14" t="s">
        <v>229</v>
      </c>
    </row>
    <row r="1356" spans="1:18" s="14" customFormat="1" x14ac:dyDescent="0.25">
      <c r="A1356" s="14" t="str">
        <f>"83615"</f>
        <v>83615</v>
      </c>
      <c r="B1356" s="14" t="str">
        <f>"07010"</f>
        <v>07010</v>
      </c>
      <c r="C1356" s="14" t="str">
        <f>"1800"</f>
        <v>1800</v>
      </c>
      <c r="D1356" s="14" t="str">
        <f>""</f>
        <v/>
      </c>
      <c r="E1356" s="14" t="s">
        <v>1345</v>
      </c>
      <c r="F1356" s="14" t="s">
        <v>1002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228</v>
      </c>
      <c r="P1356" s="14" t="s">
        <v>260</v>
      </c>
      <c r="Q1356" s="14" t="s">
        <v>260</v>
      </c>
      <c r="R1356" s="14" t="s">
        <v>229</v>
      </c>
    </row>
    <row r="1357" spans="1:18" s="14" customFormat="1" x14ac:dyDescent="0.25">
      <c r="A1357" s="14" t="str">
        <f>"83616"</f>
        <v>83616</v>
      </c>
      <c r="B1357" s="14" t="str">
        <f>"07010"</f>
        <v>07010</v>
      </c>
      <c r="C1357" s="14" t="str">
        <f>"1800"</f>
        <v>1800</v>
      </c>
      <c r="D1357" s="14" t="str">
        <f>""</f>
        <v/>
      </c>
      <c r="E1357" s="14" t="s">
        <v>1346</v>
      </c>
      <c r="F1357" s="14" t="s">
        <v>1002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228</v>
      </c>
      <c r="P1357" s="14" t="s">
        <v>260</v>
      </c>
      <c r="Q1357" s="14" t="s">
        <v>260</v>
      </c>
      <c r="R1357" s="14" t="s">
        <v>229</v>
      </c>
    </row>
    <row r="1358" spans="1:18" s="14" customFormat="1" x14ac:dyDescent="0.25">
      <c r="A1358" s="14" t="str">
        <f>"83619"</f>
        <v>83619</v>
      </c>
      <c r="B1358" s="14" t="str">
        <f>"07010"</f>
        <v>07010</v>
      </c>
      <c r="C1358" s="14" t="str">
        <f>"1800"</f>
        <v>1800</v>
      </c>
      <c r="D1358" s="14" t="str">
        <f>""</f>
        <v/>
      </c>
      <c r="E1358" s="14" t="s">
        <v>1347</v>
      </c>
      <c r="F1358" s="14" t="s">
        <v>1002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228</v>
      </c>
      <c r="P1358" s="14" t="s">
        <v>260</v>
      </c>
      <c r="Q1358" s="14" t="s">
        <v>260</v>
      </c>
      <c r="R1358" s="14" t="s">
        <v>229</v>
      </c>
    </row>
    <row r="1359" spans="1:18" s="14" customFormat="1" x14ac:dyDescent="0.25">
      <c r="A1359" s="14" t="str">
        <f>"83620"</f>
        <v>83620</v>
      </c>
      <c r="B1359" s="14" t="str">
        <f>"07010"</f>
        <v>07010</v>
      </c>
      <c r="C1359" s="14" t="str">
        <f>"1800"</f>
        <v>1800</v>
      </c>
      <c r="D1359" s="14" t="str">
        <f>""</f>
        <v/>
      </c>
      <c r="E1359" s="14" t="s">
        <v>1348</v>
      </c>
      <c r="F1359" s="14" t="s">
        <v>1002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228</v>
      </c>
      <c r="P1359" s="14" t="s">
        <v>260</v>
      </c>
      <c r="Q1359" s="14" t="s">
        <v>260</v>
      </c>
      <c r="R1359" s="14" t="s">
        <v>229</v>
      </c>
    </row>
    <row r="1360" spans="1:18" s="14" customFormat="1" x14ac:dyDescent="0.25">
      <c r="A1360" s="14" t="str">
        <f>"83621"</f>
        <v>83621</v>
      </c>
      <c r="B1360" s="14" t="str">
        <f>"07010"</f>
        <v>07010</v>
      </c>
      <c r="C1360" s="14" t="str">
        <f>"1800"</f>
        <v>1800</v>
      </c>
      <c r="D1360" s="14" t="str">
        <f>""</f>
        <v/>
      </c>
      <c r="E1360" s="14" t="s">
        <v>1349</v>
      </c>
      <c r="F1360" s="14" t="s">
        <v>1002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228</v>
      </c>
      <c r="P1360" s="14" t="s">
        <v>260</v>
      </c>
      <c r="Q1360" s="14" t="s">
        <v>260</v>
      </c>
      <c r="R1360" s="14" t="s">
        <v>229</v>
      </c>
    </row>
    <row r="1361" spans="1:18" s="14" customFormat="1" x14ac:dyDescent="0.25">
      <c r="A1361" s="14" t="str">
        <f>"83622"</f>
        <v>83622</v>
      </c>
      <c r="B1361" s="14" t="str">
        <f>"07010"</f>
        <v>07010</v>
      </c>
      <c r="C1361" s="14" t="str">
        <f>"1800"</f>
        <v>1800</v>
      </c>
      <c r="D1361" s="14" t="str">
        <f>""</f>
        <v/>
      </c>
      <c r="E1361" s="14" t="s">
        <v>1350</v>
      </c>
      <c r="F1361" s="14" t="s">
        <v>1002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228</v>
      </c>
      <c r="P1361" s="14" t="s">
        <v>260</v>
      </c>
      <c r="Q1361" s="14" t="s">
        <v>260</v>
      </c>
      <c r="R1361" s="14" t="s">
        <v>229</v>
      </c>
    </row>
    <row r="1362" spans="1:18" s="14" customFormat="1" x14ac:dyDescent="0.25">
      <c r="A1362" s="14" t="str">
        <f>"83623"</f>
        <v>83623</v>
      </c>
      <c r="B1362" s="14" t="str">
        <f>"07010"</f>
        <v>07010</v>
      </c>
      <c r="C1362" s="14" t="str">
        <f>"1800"</f>
        <v>1800</v>
      </c>
      <c r="D1362" s="14" t="str">
        <f>""</f>
        <v/>
      </c>
      <c r="E1362" s="14" t="s">
        <v>1351</v>
      </c>
      <c r="F1362" s="14" t="s">
        <v>1002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228</v>
      </c>
      <c r="P1362" s="14" t="s">
        <v>260</v>
      </c>
      <c r="Q1362" s="14" t="s">
        <v>260</v>
      </c>
      <c r="R1362" s="14" t="s">
        <v>229</v>
      </c>
    </row>
    <row r="1363" spans="1:18" s="14" customFormat="1" x14ac:dyDescent="0.25">
      <c r="A1363" s="14" t="str">
        <f>"83624"</f>
        <v>83624</v>
      </c>
      <c r="B1363" s="14" t="str">
        <f>"07010"</f>
        <v>07010</v>
      </c>
      <c r="C1363" s="14" t="str">
        <f>"1800"</f>
        <v>1800</v>
      </c>
      <c r="D1363" s="14" t="str">
        <f>""</f>
        <v/>
      </c>
      <c r="E1363" s="14" t="s">
        <v>1352</v>
      </c>
      <c r="F1363" s="14" t="s">
        <v>1002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228</v>
      </c>
      <c r="P1363" s="14" t="s">
        <v>260</v>
      </c>
      <c r="Q1363" s="14" t="s">
        <v>260</v>
      </c>
      <c r="R1363" s="14" t="s">
        <v>229</v>
      </c>
    </row>
    <row r="1364" spans="1:18" s="14" customFormat="1" x14ac:dyDescent="0.25">
      <c r="A1364" s="14" t="str">
        <f>"83625"</f>
        <v>83625</v>
      </c>
      <c r="B1364" s="14" t="str">
        <f>"07010"</f>
        <v>07010</v>
      </c>
      <c r="C1364" s="14" t="str">
        <f>"1800"</f>
        <v>1800</v>
      </c>
      <c r="D1364" s="14" t="str">
        <f>""</f>
        <v/>
      </c>
      <c r="E1364" s="14" t="s">
        <v>1353</v>
      </c>
      <c r="F1364" s="14" t="s">
        <v>1002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228</v>
      </c>
      <c r="P1364" s="14" t="s">
        <v>260</v>
      </c>
      <c r="Q1364" s="14" t="s">
        <v>260</v>
      </c>
      <c r="R1364" s="14" t="s">
        <v>229</v>
      </c>
    </row>
    <row r="1365" spans="1:18" s="14" customFormat="1" x14ac:dyDescent="0.25">
      <c r="A1365" s="14" t="str">
        <f>"83626"</f>
        <v>83626</v>
      </c>
      <c r="B1365" s="14" t="str">
        <f>"07010"</f>
        <v>07010</v>
      </c>
      <c r="C1365" s="14" t="str">
        <f>"1800"</f>
        <v>1800</v>
      </c>
      <c r="D1365" s="14" t="str">
        <f>""</f>
        <v/>
      </c>
      <c r="E1365" s="14" t="s">
        <v>1354</v>
      </c>
      <c r="F1365" s="14" t="s">
        <v>1002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228</v>
      </c>
      <c r="P1365" s="14" t="s">
        <v>260</v>
      </c>
      <c r="Q1365" s="14" t="s">
        <v>260</v>
      </c>
      <c r="R1365" s="14" t="s">
        <v>229</v>
      </c>
    </row>
    <row r="1366" spans="1:18" s="14" customFormat="1" x14ac:dyDescent="0.25">
      <c r="A1366" s="14" t="str">
        <f>"83627"</f>
        <v>83627</v>
      </c>
      <c r="B1366" s="14" t="str">
        <f>"07010"</f>
        <v>07010</v>
      </c>
      <c r="C1366" s="14" t="str">
        <f>"1800"</f>
        <v>1800</v>
      </c>
      <c r="D1366" s="14" t="str">
        <f>""</f>
        <v/>
      </c>
      <c r="E1366" s="14" t="s">
        <v>1355</v>
      </c>
      <c r="F1366" s="14" t="s">
        <v>1002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228</v>
      </c>
      <c r="P1366" s="14" t="s">
        <v>260</v>
      </c>
      <c r="Q1366" s="14" t="s">
        <v>260</v>
      </c>
      <c r="R1366" s="14" t="s">
        <v>229</v>
      </c>
    </row>
    <row r="1367" spans="1:18" s="14" customFormat="1" x14ac:dyDescent="0.25">
      <c r="A1367" s="14" t="str">
        <f>"83630"</f>
        <v>83630</v>
      </c>
      <c r="B1367" s="14" t="str">
        <f>"07010"</f>
        <v>07010</v>
      </c>
      <c r="C1367" s="14" t="str">
        <f>"1800"</f>
        <v>1800</v>
      </c>
      <c r="D1367" s="14" t="str">
        <f>""</f>
        <v/>
      </c>
      <c r="E1367" s="14" t="s">
        <v>1356</v>
      </c>
      <c r="F1367" s="14" t="s">
        <v>1002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228</v>
      </c>
      <c r="P1367" s="14" t="s">
        <v>260</v>
      </c>
      <c r="Q1367" s="14" t="s">
        <v>260</v>
      </c>
      <c r="R1367" s="14" t="s">
        <v>229</v>
      </c>
    </row>
    <row r="1368" spans="1:18" s="14" customFormat="1" x14ac:dyDescent="0.25">
      <c r="A1368" s="14" t="str">
        <f>"83633"</f>
        <v>83633</v>
      </c>
      <c r="B1368" s="14" t="str">
        <f>"07010"</f>
        <v>07010</v>
      </c>
      <c r="C1368" s="14" t="str">
        <f>"1800"</f>
        <v>1800</v>
      </c>
      <c r="D1368" s="14" t="str">
        <f>""</f>
        <v/>
      </c>
      <c r="E1368" s="14" t="s">
        <v>1357</v>
      </c>
      <c r="F1368" s="14" t="s">
        <v>1002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228</v>
      </c>
      <c r="P1368" s="14" t="s">
        <v>260</v>
      </c>
      <c r="Q1368" s="14" t="s">
        <v>260</v>
      </c>
      <c r="R1368" s="14" t="s">
        <v>229</v>
      </c>
    </row>
    <row r="1369" spans="1:18" s="14" customFormat="1" x14ac:dyDescent="0.25">
      <c r="A1369" s="14" t="str">
        <f>"83636"</f>
        <v>83636</v>
      </c>
      <c r="B1369" s="14" t="str">
        <f>"07010"</f>
        <v>07010</v>
      </c>
      <c r="C1369" s="14" t="str">
        <f>"1800"</f>
        <v>1800</v>
      </c>
      <c r="D1369" s="14" t="str">
        <f>""</f>
        <v/>
      </c>
      <c r="E1369" s="14" t="s">
        <v>1358</v>
      </c>
      <c r="F1369" s="14" t="s">
        <v>1002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228</v>
      </c>
      <c r="P1369" s="14" t="s">
        <v>260</v>
      </c>
      <c r="Q1369" s="14" t="s">
        <v>260</v>
      </c>
      <c r="R1369" s="14" t="s">
        <v>229</v>
      </c>
    </row>
    <row r="1370" spans="1:18" s="14" customFormat="1" x14ac:dyDescent="0.25">
      <c r="A1370" s="14" t="str">
        <f>"83638"</f>
        <v>83638</v>
      </c>
      <c r="B1370" s="14" t="str">
        <f>"07010"</f>
        <v>07010</v>
      </c>
      <c r="C1370" s="14" t="str">
        <f>"1800"</f>
        <v>1800</v>
      </c>
      <c r="D1370" s="14" t="str">
        <f>""</f>
        <v/>
      </c>
      <c r="E1370" s="14" t="s">
        <v>1359</v>
      </c>
      <c r="F1370" s="14" t="s">
        <v>1002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228</v>
      </c>
      <c r="P1370" s="14" t="s">
        <v>260</v>
      </c>
      <c r="Q1370" s="14" t="s">
        <v>260</v>
      </c>
      <c r="R1370" s="14" t="s">
        <v>229</v>
      </c>
    </row>
    <row r="1371" spans="1:18" s="14" customFormat="1" x14ac:dyDescent="0.25">
      <c r="A1371" s="14" t="str">
        <f>"83639"</f>
        <v>83639</v>
      </c>
      <c r="B1371" s="14" t="str">
        <f>"07010"</f>
        <v>07010</v>
      </c>
      <c r="C1371" s="14" t="str">
        <f>"1800"</f>
        <v>1800</v>
      </c>
      <c r="D1371" s="14" t="str">
        <f>""</f>
        <v/>
      </c>
      <c r="E1371" s="14" t="s">
        <v>1360</v>
      </c>
      <c r="F1371" s="14" t="s">
        <v>1002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228</v>
      </c>
      <c r="P1371" s="14" t="s">
        <v>260</v>
      </c>
      <c r="Q1371" s="14" t="s">
        <v>260</v>
      </c>
      <c r="R1371" s="14" t="s">
        <v>229</v>
      </c>
    </row>
    <row r="1372" spans="1:18" s="14" customFormat="1" x14ac:dyDescent="0.25">
      <c r="A1372" s="14" t="str">
        <f>"83640"</f>
        <v>83640</v>
      </c>
      <c r="B1372" s="14" t="str">
        <f>"07010"</f>
        <v>07010</v>
      </c>
      <c r="C1372" s="14" t="str">
        <f>"1800"</f>
        <v>1800</v>
      </c>
      <c r="D1372" s="14" t="str">
        <f>""</f>
        <v/>
      </c>
      <c r="E1372" s="14" t="s">
        <v>1361</v>
      </c>
      <c r="F1372" s="14" t="s">
        <v>1002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228</v>
      </c>
      <c r="P1372" s="14" t="s">
        <v>260</v>
      </c>
      <c r="Q1372" s="14" t="s">
        <v>260</v>
      </c>
      <c r="R1372" s="14" t="s">
        <v>229</v>
      </c>
    </row>
    <row r="1373" spans="1:18" s="14" customFormat="1" x14ac:dyDescent="0.25">
      <c r="A1373" s="14" t="str">
        <f>"83641"</f>
        <v>83641</v>
      </c>
      <c r="B1373" s="14" t="str">
        <f>"07010"</f>
        <v>07010</v>
      </c>
      <c r="C1373" s="14" t="str">
        <f>"1800"</f>
        <v>1800</v>
      </c>
      <c r="D1373" s="14" t="str">
        <f>""</f>
        <v/>
      </c>
      <c r="E1373" s="14" t="s">
        <v>1362</v>
      </c>
      <c r="F1373" s="14" t="s">
        <v>1002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228</v>
      </c>
      <c r="P1373" s="14" t="s">
        <v>260</v>
      </c>
      <c r="Q1373" s="14" t="s">
        <v>260</v>
      </c>
      <c r="R1373" s="14" t="s">
        <v>229</v>
      </c>
    </row>
    <row r="1374" spans="1:18" s="14" customFormat="1" x14ac:dyDescent="0.25">
      <c r="A1374" s="14" t="str">
        <f>"83642"</f>
        <v>83642</v>
      </c>
      <c r="B1374" s="14" t="str">
        <f>"07010"</f>
        <v>07010</v>
      </c>
      <c r="C1374" s="14" t="str">
        <f>"1800"</f>
        <v>1800</v>
      </c>
      <c r="D1374" s="14" t="str">
        <f>""</f>
        <v/>
      </c>
      <c r="E1374" s="14" t="s">
        <v>1363</v>
      </c>
      <c r="F1374" s="14" t="s">
        <v>1002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228</v>
      </c>
      <c r="P1374" s="14" t="s">
        <v>260</v>
      </c>
      <c r="Q1374" s="14" t="s">
        <v>260</v>
      </c>
      <c r="R1374" s="14" t="s">
        <v>229</v>
      </c>
    </row>
    <row r="1375" spans="1:18" s="14" customFormat="1" x14ac:dyDescent="0.25">
      <c r="A1375" s="14" t="str">
        <f>"83643"</f>
        <v>83643</v>
      </c>
      <c r="B1375" s="14" t="str">
        <f>"07010"</f>
        <v>07010</v>
      </c>
      <c r="C1375" s="14" t="str">
        <f>"1800"</f>
        <v>1800</v>
      </c>
      <c r="D1375" s="14" t="str">
        <f>""</f>
        <v/>
      </c>
      <c r="E1375" s="14" t="s">
        <v>1364</v>
      </c>
      <c r="F1375" s="14" t="s">
        <v>1002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228</v>
      </c>
      <c r="P1375" s="14" t="s">
        <v>260</v>
      </c>
      <c r="Q1375" s="14" t="s">
        <v>260</v>
      </c>
      <c r="R1375" s="14" t="s">
        <v>229</v>
      </c>
    </row>
    <row r="1376" spans="1:18" s="14" customFormat="1" x14ac:dyDescent="0.25">
      <c r="A1376" s="14" t="str">
        <f>"83645"</f>
        <v>83645</v>
      </c>
      <c r="B1376" s="14" t="str">
        <f>"07010"</f>
        <v>07010</v>
      </c>
      <c r="C1376" s="14" t="str">
        <f>"1800"</f>
        <v>1800</v>
      </c>
      <c r="D1376" s="14" t="str">
        <f>""</f>
        <v/>
      </c>
      <c r="E1376" s="14" t="s">
        <v>1365</v>
      </c>
      <c r="F1376" s="14" t="s">
        <v>1002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228</v>
      </c>
      <c r="P1376" s="14" t="s">
        <v>260</v>
      </c>
      <c r="Q1376" s="14" t="s">
        <v>260</v>
      </c>
      <c r="R1376" s="14" t="s">
        <v>229</v>
      </c>
    </row>
    <row r="1377" spans="1:18" s="14" customFormat="1" x14ac:dyDescent="0.25">
      <c r="A1377" s="14" t="str">
        <f>"83646"</f>
        <v>83646</v>
      </c>
      <c r="B1377" s="14" t="str">
        <f>"07010"</f>
        <v>07010</v>
      </c>
      <c r="C1377" s="14" t="str">
        <f>"1800"</f>
        <v>1800</v>
      </c>
      <c r="D1377" s="14" t="str">
        <f>""</f>
        <v/>
      </c>
      <c r="E1377" s="14" t="s">
        <v>1366</v>
      </c>
      <c r="F1377" s="14" t="s">
        <v>1002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228</v>
      </c>
      <c r="P1377" s="14" t="s">
        <v>260</v>
      </c>
      <c r="Q1377" s="14" t="s">
        <v>260</v>
      </c>
      <c r="R1377" s="14" t="s">
        <v>229</v>
      </c>
    </row>
    <row r="1378" spans="1:18" s="14" customFormat="1" x14ac:dyDescent="0.25">
      <c r="A1378" s="14" t="str">
        <f>"83647"</f>
        <v>83647</v>
      </c>
      <c r="B1378" s="14" t="str">
        <f>"07010"</f>
        <v>07010</v>
      </c>
      <c r="C1378" s="14" t="str">
        <f>"1800"</f>
        <v>1800</v>
      </c>
      <c r="D1378" s="14" t="str">
        <f>""</f>
        <v/>
      </c>
      <c r="E1378" s="14" t="s">
        <v>1367</v>
      </c>
      <c r="F1378" s="14" t="s">
        <v>1002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228</v>
      </c>
      <c r="P1378" s="14" t="s">
        <v>260</v>
      </c>
      <c r="Q1378" s="14" t="s">
        <v>260</v>
      </c>
      <c r="R1378" s="14" t="s">
        <v>229</v>
      </c>
    </row>
    <row r="1379" spans="1:18" s="14" customFormat="1" x14ac:dyDescent="0.25">
      <c r="A1379" s="14" t="str">
        <f>"83648"</f>
        <v>83648</v>
      </c>
      <c r="B1379" s="14" t="str">
        <f>"07010"</f>
        <v>07010</v>
      </c>
      <c r="C1379" s="14" t="str">
        <f>"1800"</f>
        <v>1800</v>
      </c>
      <c r="D1379" s="14" t="str">
        <f>""</f>
        <v/>
      </c>
      <c r="E1379" s="14" t="s">
        <v>1368</v>
      </c>
      <c r="F1379" s="14" t="s">
        <v>1002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228</v>
      </c>
      <c r="P1379" s="14" t="s">
        <v>260</v>
      </c>
      <c r="Q1379" s="14" t="s">
        <v>260</v>
      </c>
      <c r="R1379" s="14" t="s">
        <v>229</v>
      </c>
    </row>
    <row r="1380" spans="1:18" s="14" customFormat="1" x14ac:dyDescent="0.25">
      <c r="A1380" s="14" t="str">
        <f>"83650"</f>
        <v>83650</v>
      </c>
      <c r="B1380" s="14" t="str">
        <f>"07010"</f>
        <v>07010</v>
      </c>
      <c r="C1380" s="14" t="str">
        <f>"1800"</f>
        <v>1800</v>
      </c>
      <c r="D1380" s="14" t="str">
        <f>""</f>
        <v/>
      </c>
      <c r="E1380" s="14" t="s">
        <v>1369</v>
      </c>
      <c r="F1380" s="14" t="s">
        <v>1002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228</v>
      </c>
      <c r="P1380" s="14" t="s">
        <v>260</v>
      </c>
      <c r="Q1380" s="14" t="s">
        <v>260</v>
      </c>
      <c r="R1380" s="14" t="s">
        <v>229</v>
      </c>
    </row>
    <row r="1381" spans="1:18" s="14" customFormat="1" x14ac:dyDescent="0.25">
      <c r="A1381" s="14" t="str">
        <f>"83651"</f>
        <v>83651</v>
      </c>
      <c r="B1381" s="14" t="str">
        <f>"07010"</f>
        <v>07010</v>
      </c>
      <c r="C1381" s="14" t="str">
        <f>"1800"</f>
        <v>1800</v>
      </c>
      <c r="D1381" s="14" t="str">
        <f>""</f>
        <v/>
      </c>
      <c r="E1381" s="14" t="s">
        <v>1370</v>
      </c>
      <c r="F1381" s="14" t="s">
        <v>1002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228</v>
      </c>
      <c r="P1381" s="14" t="s">
        <v>260</v>
      </c>
      <c r="Q1381" s="14" t="s">
        <v>260</v>
      </c>
      <c r="R1381" s="14" t="s">
        <v>229</v>
      </c>
    </row>
    <row r="1382" spans="1:18" s="14" customFormat="1" x14ac:dyDescent="0.25">
      <c r="A1382" s="14" t="str">
        <f>"83652"</f>
        <v>83652</v>
      </c>
      <c r="B1382" s="14" t="str">
        <f>"07010"</f>
        <v>07010</v>
      </c>
      <c r="C1382" s="14" t="str">
        <f>"1800"</f>
        <v>1800</v>
      </c>
      <c r="D1382" s="14" t="str">
        <f>""</f>
        <v/>
      </c>
      <c r="E1382" s="14" t="s">
        <v>1371</v>
      </c>
      <c r="F1382" s="14" t="s">
        <v>1002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228</v>
      </c>
      <c r="P1382" s="14" t="s">
        <v>260</v>
      </c>
      <c r="Q1382" s="14" t="s">
        <v>260</v>
      </c>
      <c r="R1382" s="14" t="s">
        <v>229</v>
      </c>
    </row>
    <row r="1383" spans="1:18" s="14" customFormat="1" x14ac:dyDescent="0.25">
      <c r="A1383" s="14" t="str">
        <f>"83654"</f>
        <v>83654</v>
      </c>
      <c r="B1383" s="14" t="str">
        <f>"07010"</f>
        <v>07010</v>
      </c>
      <c r="C1383" s="14" t="str">
        <f>"1800"</f>
        <v>1800</v>
      </c>
      <c r="D1383" s="14" t="str">
        <f>""</f>
        <v/>
      </c>
      <c r="E1383" s="14" t="s">
        <v>1372</v>
      </c>
      <c r="F1383" s="14" t="s">
        <v>1002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228</v>
      </c>
      <c r="P1383" s="14" t="s">
        <v>260</v>
      </c>
      <c r="Q1383" s="14" t="s">
        <v>260</v>
      </c>
      <c r="R1383" s="14" t="s">
        <v>229</v>
      </c>
    </row>
    <row r="1384" spans="1:18" s="14" customFormat="1" x14ac:dyDescent="0.25">
      <c r="A1384" s="14" t="str">
        <f>"83661"</f>
        <v>83661</v>
      </c>
      <c r="B1384" s="14" t="str">
        <f>"07010"</f>
        <v>07010</v>
      </c>
      <c r="C1384" s="14" t="str">
        <f>"1800"</f>
        <v>1800</v>
      </c>
      <c r="D1384" s="14" t="str">
        <f>""</f>
        <v/>
      </c>
      <c r="E1384" s="14" t="s">
        <v>1373</v>
      </c>
      <c r="F1384" s="14" t="s">
        <v>1002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228</v>
      </c>
      <c r="P1384" s="14" t="s">
        <v>260</v>
      </c>
      <c r="Q1384" s="14" t="s">
        <v>260</v>
      </c>
      <c r="R1384" s="14" t="s">
        <v>229</v>
      </c>
    </row>
    <row r="1385" spans="1:18" s="14" customFormat="1" x14ac:dyDescent="0.25">
      <c r="A1385" s="14" t="str">
        <f>"83662"</f>
        <v>83662</v>
      </c>
      <c r="B1385" s="14" t="str">
        <f>"07010"</f>
        <v>07010</v>
      </c>
      <c r="C1385" s="14" t="str">
        <f>"1800"</f>
        <v>1800</v>
      </c>
      <c r="D1385" s="14" t="str">
        <f>""</f>
        <v/>
      </c>
      <c r="E1385" s="14" t="s">
        <v>1374</v>
      </c>
      <c r="F1385" s="14" t="s">
        <v>1002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228</v>
      </c>
      <c r="P1385" s="14" t="s">
        <v>260</v>
      </c>
      <c r="Q1385" s="14" t="s">
        <v>260</v>
      </c>
      <c r="R1385" s="14" t="s">
        <v>229</v>
      </c>
    </row>
    <row r="1386" spans="1:18" s="14" customFormat="1" x14ac:dyDescent="0.25">
      <c r="A1386" s="14" t="str">
        <f>"83663"</f>
        <v>83663</v>
      </c>
      <c r="B1386" s="14" t="str">
        <f>"07010"</f>
        <v>07010</v>
      </c>
      <c r="C1386" s="14" t="str">
        <f>"1800"</f>
        <v>1800</v>
      </c>
      <c r="D1386" s="14" t="str">
        <f>""</f>
        <v/>
      </c>
      <c r="E1386" s="14" t="s">
        <v>1375</v>
      </c>
      <c r="F1386" s="14" t="s">
        <v>1002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228</v>
      </c>
      <c r="P1386" s="14" t="s">
        <v>260</v>
      </c>
      <c r="Q1386" s="14" t="s">
        <v>260</v>
      </c>
      <c r="R1386" s="14" t="s">
        <v>229</v>
      </c>
    </row>
    <row r="1387" spans="1:18" s="14" customFormat="1" x14ac:dyDescent="0.25">
      <c r="A1387" s="14" t="str">
        <f>"83664"</f>
        <v>83664</v>
      </c>
      <c r="B1387" s="14" t="str">
        <f>"07010"</f>
        <v>07010</v>
      </c>
      <c r="C1387" s="14" t="str">
        <f>"1800"</f>
        <v>1800</v>
      </c>
      <c r="D1387" s="14" t="str">
        <f>""</f>
        <v/>
      </c>
      <c r="E1387" s="14" t="s">
        <v>1376</v>
      </c>
      <c r="F1387" s="14" t="s">
        <v>1002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228</v>
      </c>
      <c r="P1387" s="14" t="s">
        <v>260</v>
      </c>
      <c r="Q1387" s="14" t="s">
        <v>260</v>
      </c>
      <c r="R1387" s="14" t="s">
        <v>229</v>
      </c>
    </row>
    <row r="1388" spans="1:18" s="14" customFormat="1" x14ac:dyDescent="0.25">
      <c r="A1388" s="14" t="str">
        <f>"83665"</f>
        <v>83665</v>
      </c>
      <c r="B1388" s="14" t="str">
        <f>"07010"</f>
        <v>07010</v>
      </c>
      <c r="C1388" s="14" t="str">
        <f>"1800"</f>
        <v>1800</v>
      </c>
      <c r="D1388" s="14" t="str">
        <f>""</f>
        <v/>
      </c>
      <c r="E1388" s="14" t="s">
        <v>1377</v>
      </c>
      <c r="F1388" s="14" t="s">
        <v>1002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228</v>
      </c>
      <c r="P1388" s="14" t="s">
        <v>260</v>
      </c>
      <c r="Q1388" s="14" t="s">
        <v>260</v>
      </c>
      <c r="R1388" s="14" t="s">
        <v>229</v>
      </c>
    </row>
    <row r="1389" spans="1:18" s="14" customFormat="1" x14ac:dyDescent="0.25">
      <c r="A1389" s="14" t="str">
        <f>"83666"</f>
        <v>83666</v>
      </c>
      <c r="B1389" s="14" t="str">
        <f>"07010"</f>
        <v>07010</v>
      </c>
      <c r="C1389" s="14" t="str">
        <f>"1800"</f>
        <v>1800</v>
      </c>
      <c r="D1389" s="14" t="str">
        <f>""</f>
        <v/>
      </c>
      <c r="E1389" s="14" t="s">
        <v>1378</v>
      </c>
      <c r="F1389" s="14" t="s">
        <v>1002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228</v>
      </c>
      <c r="P1389" s="14" t="s">
        <v>260</v>
      </c>
      <c r="Q1389" s="14" t="s">
        <v>260</v>
      </c>
      <c r="R1389" s="14" t="s">
        <v>229</v>
      </c>
    </row>
    <row r="1390" spans="1:18" s="14" customFormat="1" x14ac:dyDescent="0.25">
      <c r="A1390" s="14" t="str">
        <f>"83667"</f>
        <v>83667</v>
      </c>
      <c r="B1390" s="14" t="str">
        <f>"07010"</f>
        <v>07010</v>
      </c>
      <c r="C1390" s="14" t="str">
        <f>"1800"</f>
        <v>1800</v>
      </c>
      <c r="D1390" s="14" t="str">
        <f>""</f>
        <v/>
      </c>
      <c r="E1390" s="14" t="s">
        <v>1379</v>
      </c>
      <c r="F1390" s="14" t="s">
        <v>1002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228</v>
      </c>
      <c r="P1390" s="14" t="s">
        <v>260</v>
      </c>
      <c r="Q1390" s="14" t="s">
        <v>260</v>
      </c>
      <c r="R1390" s="14" t="s">
        <v>229</v>
      </c>
    </row>
    <row r="1391" spans="1:18" s="14" customFormat="1" x14ac:dyDescent="0.25">
      <c r="A1391" s="14" t="str">
        <f>"83668"</f>
        <v>83668</v>
      </c>
      <c r="B1391" s="14" t="str">
        <f>"07010"</f>
        <v>07010</v>
      </c>
      <c r="C1391" s="14" t="str">
        <f>"1800"</f>
        <v>1800</v>
      </c>
      <c r="D1391" s="14" t="str">
        <f>""</f>
        <v/>
      </c>
      <c r="E1391" s="14" t="s">
        <v>1380</v>
      </c>
      <c r="F1391" s="14" t="s">
        <v>1002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228</v>
      </c>
      <c r="P1391" s="14" t="s">
        <v>260</v>
      </c>
      <c r="Q1391" s="14" t="s">
        <v>260</v>
      </c>
      <c r="R1391" s="14" t="s">
        <v>229</v>
      </c>
    </row>
    <row r="1392" spans="1:18" s="14" customFormat="1" x14ac:dyDescent="0.25">
      <c r="A1392" s="14" t="str">
        <f>"83670"</f>
        <v>83670</v>
      </c>
      <c r="B1392" s="14" t="str">
        <f>"07010"</f>
        <v>07010</v>
      </c>
      <c r="C1392" s="14" t="str">
        <f>"1800"</f>
        <v>1800</v>
      </c>
      <c r="D1392" s="14" t="str">
        <f>""</f>
        <v/>
      </c>
      <c r="E1392" s="14" t="s">
        <v>1381</v>
      </c>
      <c r="F1392" s="14" t="s">
        <v>1002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228</v>
      </c>
      <c r="P1392" s="14" t="s">
        <v>260</v>
      </c>
      <c r="Q1392" s="14" t="s">
        <v>260</v>
      </c>
      <c r="R1392" s="14" t="s">
        <v>229</v>
      </c>
    </row>
    <row r="1393" spans="1:18" s="14" customFormat="1" x14ac:dyDescent="0.25">
      <c r="A1393" s="14" t="str">
        <f>"83671"</f>
        <v>83671</v>
      </c>
      <c r="B1393" s="14" t="str">
        <f>"07010"</f>
        <v>07010</v>
      </c>
      <c r="C1393" s="14" t="str">
        <f>"1800"</f>
        <v>1800</v>
      </c>
      <c r="D1393" s="14" t="str">
        <f>""</f>
        <v/>
      </c>
      <c r="E1393" s="14" t="s">
        <v>1382</v>
      </c>
      <c r="F1393" s="14" t="s">
        <v>1002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228</v>
      </c>
      <c r="P1393" s="14" t="s">
        <v>260</v>
      </c>
      <c r="Q1393" s="14" t="s">
        <v>260</v>
      </c>
      <c r="R1393" s="14" t="s">
        <v>229</v>
      </c>
    </row>
    <row r="1394" spans="1:18" s="14" customFormat="1" x14ac:dyDescent="0.25">
      <c r="A1394" s="14" t="str">
        <f>"83672"</f>
        <v>83672</v>
      </c>
      <c r="B1394" s="14" t="str">
        <f>"07010"</f>
        <v>07010</v>
      </c>
      <c r="C1394" s="14" t="str">
        <f>"1800"</f>
        <v>1800</v>
      </c>
      <c r="D1394" s="14" t="str">
        <f>""</f>
        <v/>
      </c>
      <c r="E1394" s="14" t="s">
        <v>1383</v>
      </c>
      <c r="F1394" s="14" t="s">
        <v>1002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228</v>
      </c>
      <c r="P1394" s="14" t="s">
        <v>260</v>
      </c>
      <c r="Q1394" s="14" t="s">
        <v>260</v>
      </c>
      <c r="R1394" s="14" t="s">
        <v>229</v>
      </c>
    </row>
    <row r="1395" spans="1:18" s="14" customFormat="1" x14ac:dyDescent="0.25">
      <c r="A1395" s="14" t="str">
        <f>"83673"</f>
        <v>83673</v>
      </c>
      <c r="B1395" s="14" t="str">
        <f>"07010"</f>
        <v>07010</v>
      </c>
      <c r="C1395" s="14" t="str">
        <f>"1800"</f>
        <v>1800</v>
      </c>
      <c r="D1395" s="14" t="str">
        <f>""</f>
        <v/>
      </c>
      <c r="E1395" s="14" t="s">
        <v>1384</v>
      </c>
      <c r="F1395" s="14" t="s">
        <v>1002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228</v>
      </c>
      <c r="P1395" s="14" t="s">
        <v>260</v>
      </c>
      <c r="Q1395" s="14" t="s">
        <v>260</v>
      </c>
      <c r="R1395" s="14" t="s">
        <v>229</v>
      </c>
    </row>
    <row r="1396" spans="1:18" s="14" customFormat="1" x14ac:dyDescent="0.25">
      <c r="A1396" s="14" t="str">
        <f>"83674"</f>
        <v>83674</v>
      </c>
      <c r="B1396" s="14" t="str">
        <f>"07010"</f>
        <v>07010</v>
      </c>
      <c r="C1396" s="14" t="str">
        <f>"1800"</f>
        <v>1800</v>
      </c>
      <c r="D1396" s="14" t="str">
        <f>""</f>
        <v/>
      </c>
      <c r="E1396" s="14" t="s">
        <v>1385</v>
      </c>
      <c r="F1396" s="14" t="s">
        <v>1002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228</v>
      </c>
      <c r="P1396" s="14" t="s">
        <v>260</v>
      </c>
      <c r="Q1396" s="14" t="s">
        <v>260</v>
      </c>
      <c r="R1396" s="14" t="s">
        <v>229</v>
      </c>
    </row>
    <row r="1397" spans="1:18" s="14" customFormat="1" x14ac:dyDescent="0.25">
      <c r="A1397" s="14" t="str">
        <f>"83676"</f>
        <v>83676</v>
      </c>
      <c r="B1397" s="14" t="str">
        <f>"07010"</f>
        <v>07010</v>
      </c>
      <c r="C1397" s="14" t="str">
        <f>"1800"</f>
        <v>1800</v>
      </c>
      <c r="D1397" s="14" t="str">
        <f>""</f>
        <v/>
      </c>
      <c r="E1397" s="14" t="s">
        <v>1386</v>
      </c>
      <c r="F1397" s="14" t="s">
        <v>1002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228</v>
      </c>
      <c r="P1397" s="14" t="s">
        <v>260</v>
      </c>
      <c r="Q1397" s="14" t="s">
        <v>260</v>
      </c>
      <c r="R1397" s="14" t="s">
        <v>229</v>
      </c>
    </row>
    <row r="1398" spans="1:18" s="14" customFormat="1" x14ac:dyDescent="0.25">
      <c r="A1398" s="14" t="str">
        <f>"83677"</f>
        <v>83677</v>
      </c>
      <c r="B1398" s="14" t="str">
        <f>"07010"</f>
        <v>07010</v>
      </c>
      <c r="C1398" s="14" t="str">
        <f>"1800"</f>
        <v>1800</v>
      </c>
      <c r="D1398" s="14" t="str">
        <f>""</f>
        <v/>
      </c>
      <c r="E1398" s="14" t="s">
        <v>1387</v>
      </c>
      <c r="F1398" s="14" t="s">
        <v>1002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228</v>
      </c>
      <c r="P1398" s="14" t="s">
        <v>260</v>
      </c>
      <c r="Q1398" s="14" t="s">
        <v>260</v>
      </c>
      <c r="R1398" s="14" t="s">
        <v>229</v>
      </c>
    </row>
    <row r="1399" spans="1:18" s="14" customFormat="1" x14ac:dyDescent="0.25">
      <c r="A1399" s="14" t="str">
        <f>"83678"</f>
        <v>83678</v>
      </c>
      <c r="B1399" s="14" t="str">
        <f>"07010"</f>
        <v>07010</v>
      </c>
      <c r="C1399" s="14" t="str">
        <f>"1800"</f>
        <v>1800</v>
      </c>
      <c r="D1399" s="14" t="str">
        <f>""</f>
        <v/>
      </c>
      <c r="E1399" s="14" t="s">
        <v>1388</v>
      </c>
      <c r="F1399" s="14" t="s">
        <v>1002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228</v>
      </c>
      <c r="P1399" s="14" t="s">
        <v>260</v>
      </c>
      <c r="Q1399" s="14" t="s">
        <v>260</v>
      </c>
      <c r="R1399" s="14" t="s">
        <v>229</v>
      </c>
    </row>
    <row r="1400" spans="1:18" s="14" customFormat="1" x14ac:dyDescent="0.25">
      <c r="A1400" s="14" t="str">
        <f>"83679"</f>
        <v>83679</v>
      </c>
      <c r="B1400" s="14" t="str">
        <f>"07010"</f>
        <v>07010</v>
      </c>
      <c r="C1400" s="14" t="str">
        <f>"1800"</f>
        <v>1800</v>
      </c>
      <c r="D1400" s="14" t="str">
        <f>""</f>
        <v/>
      </c>
      <c r="E1400" s="14" t="s">
        <v>1389</v>
      </c>
      <c r="F1400" s="14" t="s">
        <v>1002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228</v>
      </c>
      <c r="P1400" s="14" t="s">
        <v>260</v>
      </c>
      <c r="Q1400" s="14" t="s">
        <v>260</v>
      </c>
      <c r="R1400" s="14" t="s">
        <v>229</v>
      </c>
    </row>
    <row r="1401" spans="1:18" s="14" customFormat="1" x14ac:dyDescent="0.25">
      <c r="A1401" s="14" t="str">
        <f>"83680"</f>
        <v>83680</v>
      </c>
      <c r="B1401" s="14" t="str">
        <f>"07010"</f>
        <v>07010</v>
      </c>
      <c r="C1401" s="14" t="str">
        <f>"1800"</f>
        <v>1800</v>
      </c>
      <c r="D1401" s="14" t="str">
        <f>""</f>
        <v/>
      </c>
      <c r="E1401" s="14" t="s">
        <v>1390</v>
      </c>
      <c r="F1401" s="14" t="s">
        <v>1002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228</v>
      </c>
      <c r="P1401" s="14" t="s">
        <v>260</v>
      </c>
      <c r="Q1401" s="14" t="s">
        <v>260</v>
      </c>
      <c r="R1401" s="14" t="s">
        <v>229</v>
      </c>
    </row>
    <row r="1402" spans="1:18" s="14" customFormat="1" x14ac:dyDescent="0.25">
      <c r="A1402" s="14" t="str">
        <f>"83683"</f>
        <v>83683</v>
      </c>
      <c r="B1402" s="14" t="str">
        <f>"07010"</f>
        <v>07010</v>
      </c>
      <c r="C1402" s="14" t="str">
        <f>"1800"</f>
        <v>1800</v>
      </c>
      <c r="D1402" s="14" t="str">
        <f>""</f>
        <v/>
      </c>
      <c r="E1402" s="14" t="s">
        <v>1391</v>
      </c>
      <c r="F1402" s="14" t="s">
        <v>1002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228</v>
      </c>
      <c r="P1402" s="14" t="s">
        <v>260</v>
      </c>
      <c r="Q1402" s="14" t="s">
        <v>260</v>
      </c>
      <c r="R1402" s="14" t="s">
        <v>229</v>
      </c>
    </row>
    <row r="1403" spans="1:18" s="14" customFormat="1" x14ac:dyDescent="0.25">
      <c r="A1403" s="14" t="str">
        <f>"83684"</f>
        <v>83684</v>
      </c>
      <c r="B1403" s="14" t="str">
        <f>"07010"</f>
        <v>07010</v>
      </c>
      <c r="C1403" s="14" t="str">
        <f>"1800"</f>
        <v>1800</v>
      </c>
      <c r="D1403" s="14" t="str">
        <f>""</f>
        <v/>
      </c>
      <c r="E1403" s="14" t="s">
        <v>1392</v>
      </c>
      <c r="F1403" s="14" t="s">
        <v>1002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228</v>
      </c>
      <c r="P1403" s="14" t="s">
        <v>260</v>
      </c>
      <c r="Q1403" s="14" t="s">
        <v>260</v>
      </c>
      <c r="R1403" s="14" t="s">
        <v>229</v>
      </c>
    </row>
    <row r="1404" spans="1:18" s="14" customFormat="1" x14ac:dyDescent="0.25">
      <c r="A1404" s="14" t="str">
        <f>"83685"</f>
        <v>83685</v>
      </c>
      <c r="B1404" s="14" t="str">
        <f>"07010"</f>
        <v>07010</v>
      </c>
      <c r="C1404" s="14" t="str">
        <f>"1800"</f>
        <v>1800</v>
      </c>
      <c r="D1404" s="14" t="str">
        <f>""</f>
        <v/>
      </c>
      <c r="E1404" s="14" t="s">
        <v>1393</v>
      </c>
      <c r="F1404" s="14" t="s">
        <v>1002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228</v>
      </c>
      <c r="P1404" s="14" t="s">
        <v>260</v>
      </c>
      <c r="Q1404" s="14" t="s">
        <v>260</v>
      </c>
      <c r="R1404" s="14" t="s">
        <v>229</v>
      </c>
    </row>
    <row r="1405" spans="1:18" s="14" customFormat="1" x14ac:dyDescent="0.25">
      <c r="A1405" s="14" t="str">
        <f>"83686"</f>
        <v>83686</v>
      </c>
      <c r="B1405" s="14" t="str">
        <f>"07010"</f>
        <v>07010</v>
      </c>
      <c r="C1405" s="14" t="str">
        <f>"1800"</f>
        <v>1800</v>
      </c>
      <c r="D1405" s="14" t="str">
        <f>""</f>
        <v/>
      </c>
      <c r="E1405" s="14" t="s">
        <v>1394</v>
      </c>
      <c r="F1405" s="14" t="s">
        <v>1002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228</v>
      </c>
      <c r="P1405" s="14" t="s">
        <v>260</v>
      </c>
      <c r="Q1405" s="14" t="s">
        <v>260</v>
      </c>
      <c r="R1405" s="14" t="s">
        <v>229</v>
      </c>
    </row>
    <row r="1406" spans="1:18" s="14" customFormat="1" x14ac:dyDescent="0.25">
      <c r="A1406" s="14" t="str">
        <f>"83687"</f>
        <v>83687</v>
      </c>
      <c r="B1406" s="14" t="str">
        <f>"07010"</f>
        <v>07010</v>
      </c>
      <c r="C1406" s="14" t="str">
        <f>"1800"</f>
        <v>1800</v>
      </c>
      <c r="D1406" s="14" t="str">
        <f>""</f>
        <v/>
      </c>
      <c r="E1406" s="14" t="s">
        <v>1395</v>
      </c>
      <c r="F1406" s="14" t="s">
        <v>1002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228</v>
      </c>
      <c r="P1406" s="14" t="s">
        <v>260</v>
      </c>
      <c r="Q1406" s="14" t="s">
        <v>260</v>
      </c>
      <c r="R1406" s="14" t="s">
        <v>229</v>
      </c>
    </row>
    <row r="1407" spans="1:18" s="14" customFormat="1" x14ac:dyDescent="0.25">
      <c r="A1407" s="14" t="str">
        <f>"83688"</f>
        <v>83688</v>
      </c>
      <c r="B1407" s="14" t="str">
        <f>"07010"</f>
        <v>07010</v>
      </c>
      <c r="C1407" s="14" t="str">
        <f>"1800"</f>
        <v>1800</v>
      </c>
      <c r="D1407" s="14" t="str">
        <f>""</f>
        <v/>
      </c>
      <c r="E1407" s="14" t="s">
        <v>1396</v>
      </c>
      <c r="F1407" s="14" t="s">
        <v>1002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228</v>
      </c>
      <c r="P1407" s="14" t="s">
        <v>260</v>
      </c>
      <c r="Q1407" s="14" t="s">
        <v>260</v>
      </c>
      <c r="R1407" s="14" t="s">
        <v>229</v>
      </c>
    </row>
    <row r="1408" spans="1:18" s="14" customFormat="1" x14ac:dyDescent="0.25">
      <c r="A1408" s="14" t="str">
        <f>"83689"</f>
        <v>83689</v>
      </c>
      <c r="B1408" s="14" t="str">
        <f>"07010"</f>
        <v>07010</v>
      </c>
      <c r="C1408" s="14" t="str">
        <f>"1800"</f>
        <v>1800</v>
      </c>
      <c r="D1408" s="14" t="str">
        <f>""</f>
        <v/>
      </c>
      <c r="E1408" s="14" t="s">
        <v>1397</v>
      </c>
      <c r="F1408" s="14" t="s">
        <v>1002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228</v>
      </c>
      <c r="P1408" s="14" t="s">
        <v>260</v>
      </c>
      <c r="Q1408" s="14" t="s">
        <v>260</v>
      </c>
      <c r="R1408" s="14" t="s">
        <v>229</v>
      </c>
    </row>
    <row r="1409" spans="1:18" s="14" customFormat="1" x14ac:dyDescent="0.25">
      <c r="A1409" s="14" t="str">
        <f>"83690"</f>
        <v>83690</v>
      </c>
      <c r="B1409" s="14" t="str">
        <f>"07010"</f>
        <v>07010</v>
      </c>
      <c r="C1409" s="14" t="str">
        <f>"1800"</f>
        <v>1800</v>
      </c>
      <c r="D1409" s="14" t="str">
        <f>""</f>
        <v/>
      </c>
      <c r="E1409" s="14" t="s">
        <v>1398</v>
      </c>
      <c r="F1409" s="14" t="s">
        <v>1002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228</v>
      </c>
      <c r="P1409" s="14" t="s">
        <v>260</v>
      </c>
      <c r="Q1409" s="14" t="s">
        <v>260</v>
      </c>
      <c r="R1409" s="14" t="s">
        <v>229</v>
      </c>
    </row>
    <row r="1410" spans="1:18" s="14" customFormat="1" x14ac:dyDescent="0.25">
      <c r="A1410" s="14" t="str">
        <f>"83691"</f>
        <v>83691</v>
      </c>
      <c r="B1410" s="14" t="str">
        <f>"07010"</f>
        <v>07010</v>
      </c>
      <c r="C1410" s="14" t="str">
        <f>"1800"</f>
        <v>1800</v>
      </c>
      <c r="D1410" s="14" t="str">
        <f>""</f>
        <v/>
      </c>
      <c r="E1410" s="14" t="s">
        <v>1399</v>
      </c>
      <c r="F1410" s="14" t="s">
        <v>1002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228</v>
      </c>
      <c r="P1410" s="14" t="s">
        <v>260</v>
      </c>
      <c r="Q1410" s="14" t="s">
        <v>260</v>
      </c>
      <c r="R1410" s="14" t="s">
        <v>229</v>
      </c>
    </row>
    <row r="1411" spans="1:18" s="14" customFormat="1" x14ac:dyDescent="0.25">
      <c r="A1411" s="14" t="str">
        <f>"83692"</f>
        <v>83692</v>
      </c>
      <c r="B1411" s="14" t="str">
        <f>"07010"</f>
        <v>07010</v>
      </c>
      <c r="C1411" s="14" t="str">
        <f>"1800"</f>
        <v>1800</v>
      </c>
      <c r="D1411" s="14" t="str">
        <f>""</f>
        <v/>
      </c>
      <c r="E1411" s="14" t="s">
        <v>1400</v>
      </c>
      <c r="F1411" s="14" t="s">
        <v>1002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228</v>
      </c>
      <c r="P1411" s="14" t="s">
        <v>260</v>
      </c>
      <c r="Q1411" s="14" t="s">
        <v>260</v>
      </c>
      <c r="R1411" s="14" t="s">
        <v>229</v>
      </c>
    </row>
    <row r="1412" spans="1:18" s="14" customFormat="1" x14ac:dyDescent="0.25">
      <c r="A1412" s="14" t="str">
        <f>"83693"</f>
        <v>83693</v>
      </c>
      <c r="B1412" s="14" t="str">
        <f>"07010"</f>
        <v>07010</v>
      </c>
      <c r="C1412" s="14" t="str">
        <f>"1800"</f>
        <v>1800</v>
      </c>
      <c r="D1412" s="14" t="str">
        <f>""</f>
        <v/>
      </c>
      <c r="E1412" s="14" t="s">
        <v>1401</v>
      </c>
      <c r="F1412" s="14" t="s">
        <v>1002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228</v>
      </c>
      <c r="P1412" s="14" t="s">
        <v>260</v>
      </c>
      <c r="Q1412" s="14" t="s">
        <v>260</v>
      </c>
      <c r="R1412" s="14" t="s">
        <v>229</v>
      </c>
    </row>
    <row r="1413" spans="1:18" s="14" customFormat="1" x14ac:dyDescent="0.25">
      <c r="A1413" s="14" t="str">
        <f>"83694"</f>
        <v>83694</v>
      </c>
      <c r="B1413" s="14" t="str">
        <f>"07010"</f>
        <v>07010</v>
      </c>
      <c r="C1413" s="14" t="str">
        <f>"1800"</f>
        <v>1800</v>
      </c>
      <c r="D1413" s="14" t="str">
        <f>""</f>
        <v/>
      </c>
      <c r="E1413" s="14" t="s">
        <v>1402</v>
      </c>
      <c r="F1413" s="14" t="s">
        <v>1002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228</v>
      </c>
      <c r="P1413" s="14" t="s">
        <v>260</v>
      </c>
      <c r="Q1413" s="14" t="s">
        <v>260</v>
      </c>
      <c r="R1413" s="14" t="s">
        <v>229</v>
      </c>
    </row>
    <row r="1414" spans="1:18" s="14" customFormat="1" x14ac:dyDescent="0.25">
      <c r="A1414" s="14" t="str">
        <f>"83695"</f>
        <v>83695</v>
      </c>
      <c r="B1414" s="14" t="str">
        <f>"07010"</f>
        <v>07010</v>
      </c>
      <c r="C1414" s="14" t="str">
        <f>"1800"</f>
        <v>1800</v>
      </c>
      <c r="D1414" s="14" t="str">
        <f>""</f>
        <v/>
      </c>
      <c r="E1414" s="14" t="s">
        <v>1403</v>
      </c>
      <c r="F1414" s="14" t="s">
        <v>1002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228</v>
      </c>
      <c r="P1414" s="14" t="s">
        <v>260</v>
      </c>
      <c r="Q1414" s="14" t="s">
        <v>260</v>
      </c>
      <c r="R1414" s="14" t="s">
        <v>229</v>
      </c>
    </row>
    <row r="1415" spans="1:18" s="14" customFormat="1" x14ac:dyDescent="0.25">
      <c r="A1415" s="14" t="str">
        <f>"83696"</f>
        <v>83696</v>
      </c>
      <c r="B1415" s="14" t="str">
        <f>"07010"</f>
        <v>07010</v>
      </c>
      <c r="C1415" s="14" t="str">
        <f>"1800"</f>
        <v>1800</v>
      </c>
      <c r="D1415" s="14" t="str">
        <f>""</f>
        <v/>
      </c>
      <c r="E1415" s="14" t="s">
        <v>1404</v>
      </c>
      <c r="F1415" s="14" t="s">
        <v>1002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228</v>
      </c>
      <c r="P1415" s="14" t="s">
        <v>260</v>
      </c>
      <c r="Q1415" s="14" t="s">
        <v>260</v>
      </c>
      <c r="R1415" s="14" t="s">
        <v>229</v>
      </c>
    </row>
    <row r="1416" spans="1:18" s="14" customFormat="1" x14ac:dyDescent="0.25">
      <c r="A1416" s="14" t="str">
        <f>"83697"</f>
        <v>83697</v>
      </c>
      <c r="B1416" s="14" t="str">
        <f>"07010"</f>
        <v>07010</v>
      </c>
      <c r="C1416" s="14" t="str">
        <f>"1800"</f>
        <v>1800</v>
      </c>
      <c r="D1416" s="14" t="str">
        <f>""</f>
        <v/>
      </c>
      <c r="E1416" s="14" t="s">
        <v>1405</v>
      </c>
      <c r="F1416" s="14" t="s">
        <v>1002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228</v>
      </c>
      <c r="P1416" s="14" t="s">
        <v>260</v>
      </c>
      <c r="Q1416" s="14" t="s">
        <v>260</v>
      </c>
      <c r="R1416" s="14" t="s">
        <v>229</v>
      </c>
    </row>
    <row r="1417" spans="1:18" s="14" customFormat="1" x14ac:dyDescent="0.25">
      <c r="A1417" s="14" t="str">
        <f>"83698"</f>
        <v>83698</v>
      </c>
      <c r="B1417" s="14" t="str">
        <f>"07010"</f>
        <v>07010</v>
      </c>
      <c r="C1417" s="14" t="str">
        <f>"1800"</f>
        <v>1800</v>
      </c>
      <c r="D1417" s="14" t="str">
        <f>""</f>
        <v/>
      </c>
      <c r="E1417" s="14" t="s">
        <v>1406</v>
      </c>
      <c r="F1417" s="14" t="s">
        <v>1002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228</v>
      </c>
      <c r="P1417" s="14" t="s">
        <v>260</v>
      </c>
      <c r="Q1417" s="14" t="s">
        <v>260</v>
      </c>
      <c r="R1417" s="14" t="s">
        <v>229</v>
      </c>
    </row>
    <row r="1418" spans="1:18" s="14" customFormat="1" x14ac:dyDescent="0.25">
      <c r="A1418" s="14" t="str">
        <f>"83699"</f>
        <v>83699</v>
      </c>
      <c r="B1418" s="14" t="str">
        <f>"07010"</f>
        <v>07010</v>
      </c>
      <c r="C1418" s="14" t="str">
        <f>"1800"</f>
        <v>1800</v>
      </c>
      <c r="D1418" s="14" t="str">
        <f>""</f>
        <v/>
      </c>
      <c r="E1418" s="14" t="s">
        <v>1407</v>
      </c>
      <c r="F1418" s="14" t="s">
        <v>1002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228</v>
      </c>
      <c r="P1418" s="14" t="s">
        <v>260</v>
      </c>
      <c r="Q1418" s="14" t="s">
        <v>260</v>
      </c>
      <c r="R1418" s="14" t="s">
        <v>229</v>
      </c>
    </row>
    <row r="1419" spans="1:18" s="14" customFormat="1" x14ac:dyDescent="0.25">
      <c r="A1419" s="14" t="str">
        <f>"83700"</f>
        <v>83700</v>
      </c>
      <c r="B1419" s="14" t="str">
        <f>"07010"</f>
        <v>07010</v>
      </c>
      <c r="C1419" s="14" t="str">
        <f>"1800"</f>
        <v>1800</v>
      </c>
      <c r="D1419" s="14" t="str">
        <f>""</f>
        <v/>
      </c>
      <c r="E1419" s="14" t="s">
        <v>1408</v>
      </c>
      <c r="F1419" s="14" t="s">
        <v>1002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228</v>
      </c>
      <c r="P1419" s="14" t="s">
        <v>260</v>
      </c>
      <c r="Q1419" s="14" t="s">
        <v>260</v>
      </c>
      <c r="R1419" s="14" t="s">
        <v>229</v>
      </c>
    </row>
    <row r="1420" spans="1:18" s="14" customFormat="1" x14ac:dyDescent="0.25">
      <c r="A1420" s="14" t="str">
        <f>"83701"</f>
        <v>83701</v>
      </c>
      <c r="B1420" s="14" t="str">
        <f>"07010"</f>
        <v>07010</v>
      </c>
      <c r="C1420" s="14" t="str">
        <f>"1800"</f>
        <v>1800</v>
      </c>
      <c r="D1420" s="14" t="str">
        <f>""</f>
        <v/>
      </c>
      <c r="E1420" s="14" t="s">
        <v>1409</v>
      </c>
      <c r="F1420" s="14" t="s">
        <v>1002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228</v>
      </c>
      <c r="P1420" s="14" t="s">
        <v>260</v>
      </c>
      <c r="Q1420" s="14" t="s">
        <v>260</v>
      </c>
      <c r="R1420" s="14" t="s">
        <v>229</v>
      </c>
    </row>
    <row r="1421" spans="1:18" s="14" customFormat="1" x14ac:dyDescent="0.25">
      <c r="A1421" s="14" t="str">
        <f>"83702"</f>
        <v>83702</v>
      </c>
      <c r="B1421" s="14" t="str">
        <f>"07010"</f>
        <v>07010</v>
      </c>
      <c r="C1421" s="14" t="str">
        <f>"1800"</f>
        <v>1800</v>
      </c>
      <c r="D1421" s="14" t="str">
        <f>""</f>
        <v/>
      </c>
      <c r="E1421" s="14" t="s">
        <v>1410</v>
      </c>
      <c r="F1421" s="14" t="s">
        <v>1002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228</v>
      </c>
      <c r="P1421" s="14" t="s">
        <v>260</v>
      </c>
      <c r="Q1421" s="14" t="s">
        <v>260</v>
      </c>
      <c r="R1421" s="14" t="s">
        <v>229</v>
      </c>
    </row>
    <row r="1422" spans="1:18" s="14" customFormat="1" x14ac:dyDescent="0.25">
      <c r="A1422" s="14" t="str">
        <f>"83703"</f>
        <v>83703</v>
      </c>
      <c r="B1422" s="14" t="str">
        <f>"07010"</f>
        <v>07010</v>
      </c>
      <c r="C1422" s="14" t="str">
        <f>"1800"</f>
        <v>1800</v>
      </c>
      <c r="D1422" s="14" t="str">
        <f>""</f>
        <v/>
      </c>
      <c r="E1422" s="14" t="s">
        <v>1411</v>
      </c>
      <c r="F1422" s="14" t="s">
        <v>1002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228</v>
      </c>
      <c r="P1422" s="14" t="s">
        <v>260</v>
      </c>
      <c r="Q1422" s="14" t="s">
        <v>260</v>
      </c>
      <c r="R1422" s="14" t="s">
        <v>229</v>
      </c>
    </row>
    <row r="1423" spans="1:18" s="14" customFormat="1" x14ac:dyDescent="0.25">
      <c r="A1423" s="14" t="str">
        <f>"83704"</f>
        <v>83704</v>
      </c>
      <c r="B1423" s="14" t="str">
        <f>"07010"</f>
        <v>07010</v>
      </c>
      <c r="C1423" s="14" t="str">
        <f>"1800"</f>
        <v>1800</v>
      </c>
      <c r="D1423" s="14" t="str">
        <f>""</f>
        <v/>
      </c>
      <c r="E1423" s="14" t="s">
        <v>1412</v>
      </c>
      <c r="F1423" s="14" t="s">
        <v>1002</v>
      </c>
      <c r="G1423" s="14" t="str">
        <f>""</f>
        <v/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228</v>
      </c>
      <c r="P1423" s="14" t="s">
        <v>260</v>
      </c>
      <c r="Q1423" s="14" t="s">
        <v>260</v>
      </c>
      <c r="R1423" s="14" t="s">
        <v>229</v>
      </c>
    </row>
    <row r="1424" spans="1:18" s="14" customFormat="1" x14ac:dyDescent="0.25">
      <c r="A1424" s="14" t="str">
        <f>"83705"</f>
        <v>83705</v>
      </c>
      <c r="B1424" s="14" t="str">
        <f>"07010"</f>
        <v>07010</v>
      </c>
      <c r="C1424" s="14" t="str">
        <f>"1800"</f>
        <v>1800</v>
      </c>
      <c r="D1424" s="14" t="str">
        <f>""</f>
        <v/>
      </c>
      <c r="E1424" s="14" t="s">
        <v>1413</v>
      </c>
      <c r="F1424" s="14" t="s">
        <v>1002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228</v>
      </c>
      <c r="P1424" s="14" t="s">
        <v>260</v>
      </c>
      <c r="Q1424" s="14" t="s">
        <v>260</v>
      </c>
      <c r="R1424" s="14" t="s">
        <v>229</v>
      </c>
    </row>
    <row r="1425" spans="1:18" s="14" customFormat="1" x14ac:dyDescent="0.25">
      <c r="A1425" s="14" t="str">
        <f>"83706"</f>
        <v>83706</v>
      </c>
      <c r="B1425" s="14" t="str">
        <f>"07010"</f>
        <v>07010</v>
      </c>
      <c r="C1425" s="14" t="str">
        <f>"1800"</f>
        <v>1800</v>
      </c>
      <c r="D1425" s="14" t="str">
        <f>""</f>
        <v/>
      </c>
      <c r="E1425" s="14" t="s">
        <v>1414</v>
      </c>
      <c r="F1425" s="14" t="s">
        <v>1002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228</v>
      </c>
      <c r="P1425" s="14" t="s">
        <v>260</v>
      </c>
      <c r="Q1425" s="14" t="s">
        <v>260</v>
      </c>
      <c r="R1425" s="14" t="s">
        <v>229</v>
      </c>
    </row>
    <row r="1426" spans="1:18" s="14" customFormat="1" x14ac:dyDescent="0.25">
      <c r="A1426" s="14" t="str">
        <f>"83708"</f>
        <v>83708</v>
      </c>
      <c r="B1426" s="14" t="str">
        <f>"07010"</f>
        <v>07010</v>
      </c>
      <c r="C1426" s="14" t="str">
        <f>"1800"</f>
        <v>1800</v>
      </c>
      <c r="D1426" s="14" t="str">
        <f>""</f>
        <v/>
      </c>
      <c r="E1426" s="14" t="s">
        <v>1415</v>
      </c>
      <c r="F1426" s="14" t="s">
        <v>1002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228</v>
      </c>
      <c r="P1426" s="14" t="s">
        <v>260</v>
      </c>
      <c r="Q1426" s="14" t="s">
        <v>260</v>
      </c>
      <c r="R1426" s="14" t="s">
        <v>229</v>
      </c>
    </row>
    <row r="1427" spans="1:18" s="14" customFormat="1" x14ac:dyDescent="0.25">
      <c r="A1427" s="14" t="str">
        <f>"83709"</f>
        <v>83709</v>
      </c>
      <c r="B1427" s="14" t="str">
        <f>"07010"</f>
        <v>07010</v>
      </c>
      <c r="C1427" s="14" t="str">
        <f>"1800"</f>
        <v>1800</v>
      </c>
      <c r="D1427" s="14" t="str">
        <f>""</f>
        <v/>
      </c>
      <c r="E1427" s="14" t="s">
        <v>1402</v>
      </c>
      <c r="F1427" s="14" t="s">
        <v>1002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228</v>
      </c>
      <c r="P1427" s="14" t="s">
        <v>260</v>
      </c>
      <c r="Q1427" s="14" t="s">
        <v>260</v>
      </c>
      <c r="R1427" s="14" t="s">
        <v>229</v>
      </c>
    </row>
    <row r="1428" spans="1:18" s="14" customFormat="1" x14ac:dyDescent="0.25">
      <c r="A1428" s="14" t="str">
        <f>"83710"</f>
        <v>83710</v>
      </c>
      <c r="B1428" s="14" t="str">
        <f>"07010"</f>
        <v>07010</v>
      </c>
      <c r="C1428" s="14" t="str">
        <f>"1800"</f>
        <v>1800</v>
      </c>
      <c r="D1428" s="14" t="str">
        <f>""</f>
        <v/>
      </c>
      <c r="E1428" s="14" t="s">
        <v>1416</v>
      </c>
      <c r="F1428" s="14" t="s">
        <v>1002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228</v>
      </c>
      <c r="P1428" s="14" t="s">
        <v>260</v>
      </c>
      <c r="Q1428" s="14" t="s">
        <v>260</v>
      </c>
      <c r="R1428" s="14" t="s">
        <v>229</v>
      </c>
    </row>
    <row r="1429" spans="1:18" s="14" customFormat="1" x14ac:dyDescent="0.25">
      <c r="A1429" s="14" t="str">
        <f>"83711"</f>
        <v>83711</v>
      </c>
      <c r="B1429" s="14" t="str">
        <f>"07010"</f>
        <v>07010</v>
      </c>
      <c r="C1429" s="14" t="str">
        <f>"1800"</f>
        <v>1800</v>
      </c>
      <c r="D1429" s="14" t="str">
        <f>""</f>
        <v/>
      </c>
      <c r="E1429" s="14" t="s">
        <v>1417</v>
      </c>
      <c r="F1429" s="14" t="s">
        <v>1002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228</v>
      </c>
      <c r="P1429" s="14" t="s">
        <v>260</v>
      </c>
      <c r="Q1429" s="14" t="s">
        <v>260</v>
      </c>
      <c r="R1429" s="14" t="s">
        <v>229</v>
      </c>
    </row>
    <row r="1430" spans="1:18" s="14" customFormat="1" x14ac:dyDescent="0.25">
      <c r="A1430" s="14" t="str">
        <f>"83712"</f>
        <v>83712</v>
      </c>
      <c r="B1430" s="14" t="str">
        <f>"07010"</f>
        <v>07010</v>
      </c>
      <c r="C1430" s="14" t="str">
        <f>"1800"</f>
        <v>1800</v>
      </c>
      <c r="D1430" s="14" t="str">
        <f>""</f>
        <v/>
      </c>
      <c r="E1430" s="14" t="s">
        <v>1418</v>
      </c>
      <c r="F1430" s="14" t="s">
        <v>1002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228</v>
      </c>
      <c r="P1430" s="14" t="s">
        <v>260</v>
      </c>
      <c r="Q1430" s="14" t="s">
        <v>260</v>
      </c>
      <c r="R1430" s="14" t="s">
        <v>229</v>
      </c>
    </row>
    <row r="1431" spans="1:18" s="14" customFormat="1" x14ac:dyDescent="0.25">
      <c r="A1431" s="14" t="str">
        <f>"83713"</f>
        <v>83713</v>
      </c>
      <c r="B1431" s="14" t="str">
        <f>"07010"</f>
        <v>07010</v>
      </c>
      <c r="C1431" s="14" t="str">
        <f>"1800"</f>
        <v>1800</v>
      </c>
      <c r="D1431" s="14" t="str">
        <f>""</f>
        <v/>
      </c>
      <c r="E1431" s="14" t="s">
        <v>1419</v>
      </c>
      <c r="F1431" s="14" t="s">
        <v>1002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228</v>
      </c>
      <c r="P1431" s="14" t="s">
        <v>260</v>
      </c>
      <c r="Q1431" s="14" t="s">
        <v>260</v>
      </c>
      <c r="R1431" s="14" t="s">
        <v>229</v>
      </c>
    </row>
    <row r="1432" spans="1:18" s="14" customFormat="1" x14ac:dyDescent="0.25">
      <c r="A1432" s="14" t="str">
        <f>"83714"</f>
        <v>83714</v>
      </c>
      <c r="B1432" s="14" t="str">
        <f>"07010"</f>
        <v>07010</v>
      </c>
      <c r="C1432" s="14" t="str">
        <f>"1800"</f>
        <v>1800</v>
      </c>
      <c r="D1432" s="14" t="str">
        <f>""</f>
        <v/>
      </c>
      <c r="E1432" s="14" t="s">
        <v>1420</v>
      </c>
      <c r="F1432" s="14" t="s">
        <v>1002</v>
      </c>
      <c r="G1432" s="14" t="str">
        <f>""</f>
        <v/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228</v>
      </c>
      <c r="P1432" s="14" t="s">
        <v>260</v>
      </c>
      <c r="Q1432" s="14" t="s">
        <v>260</v>
      </c>
      <c r="R1432" s="14" t="s">
        <v>229</v>
      </c>
    </row>
    <row r="1433" spans="1:18" s="14" customFormat="1" x14ac:dyDescent="0.25">
      <c r="A1433" s="14" t="str">
        <f>"83715"</f>
        <v>83715</v>
      </c>
      <c r="B1433" s="14" t="str">
        <f>"07010"</f>
        <v>07010</v>
      </c>
      <c r="C1433" s="14" t="str">
        <f>"1800"</f>
        <v>1800</v>
      </c>
      <c r="D1433" s="14" t="str">
        <f>""</f>
        <v/>
      </c>
      <c r="E1433" s="14" t="s">
        <v>1421</v>
      </c>
      <c r="F1433" s="14" t="s">
        <v>1002</v>
      </c>
      <c r="G1433" s="14" t="str">
        <f>""</f>
        <v/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228</v>
      </c>
      <c r="P1433" s="14" t="s">
        <v>260</v>
      </c>
      <c r="Q1433" s="14" t="s">
        <v>260</v>
      </c>
      <c r="R1433" s="14" t="s">
        <v>229</v>
      </c>
    </row>
    <row r="1434" spans="1:18" s="14" customFormat="1" x14ac:dyDescent="0.25">
      <c r="A1434" s="14" t="str">
        <f>"83716"</f>
        <v>83716</v>
      </c>
      <c r="B1434" s="14" t="str">
        <f>"07010"</f>
        <v>07010</v>
      </c>
      <c r="C1434" s="14" t="str">
        <f>"1800"</f>
        <v>1800</v>
      </c>
      <c r="D1434" s="14" t="str">
        <f>""</f>
        <v/>
      </c>
      <c r="E1434" s="14" t="s">
        <v>1422</v>
      </c>
      <c r="F1434" s="14" t="s">
        <v>1002</v>
      </c>
      <c r="G1434" s="14" t="str">
        <f>""</f>
        <v/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228</v>
      </c>
      <c r="P1434" s="14" t="s">
        <v>260</v>
      </c>
      <c r="Q1434" s="14" t="s">
        <v>260</v>
      </c>
      <c r="R1434" s="14" t="s">
        <v>229</v>
      </c>
    </row>
    <row r="1435" spans="1:18" s="14" customFormat="1" x14ac:dyDescent="0.25">
      <c r="A1435" s="14" t="str">
        <f>"83717"</f>
        <v>83717</v>
      </c>
      <c r="B1435" s="14" t="str">
        <f>"07010"</f>
        <v>07010</v>
      </c>
      <c r="C1435" s="14" t="str">
        <f>"1800"</f>
        <v>1800</v>
      </c>
      <c r="D1435" s="14" t="str">
        <f>""</f>
        <v/>
      </c>
      <c r="E1435" s="14" t="s">
        <v>1423</v>
      </c>
      <c r="F1435" s="14" t="s">
        <v>1002</v>
      </c>
      <c r="G1435" s="14" t="str">
        <f>""</f>
        <v/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228</v>
      </c>
      <c r="P1435" s="14" t="s">
        <v>260</v>
      </c>
      <c r="Q1435" s="14" t="s">
        <v>260</v>
      </c>
      <c r="R1435" s="14" t="s">
        <v>229</v>
      </c>
    </row>
    <row r="1436" spans="1:18" s="14" customFormat="1" x14ac:dyDescent="0.25">
      <c r="A1436" s="14" t="str">
        <f>"83718"</f>
        <v>83718</v>
      </c>
      <c r="B1436" s="14" t="str">
        <f>"07010"</f>
        <v>07010</v>
      </c>
      <c r="C1436" s="14" t="str">
        <f>"1800"</f>
        <v>1800</v>
      </c>
      <c r="D1436" s="14" t="str">
        <f>""</f>
        <v/>
      </c>
      <c r="E1436" s="14" t="s">
        <v>1424</v>
      </c>
      <c r="F1436" s="14" t="s">
        <v>1002</v>
      </c>
      <c r="G1436" s="14" t="str">
        <f>""</f>
        <v/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228</v>
      </c>
      <c r="P1436" s="14" t="s">
        <v>260</v>
      </c>
      <c r="Q1436" s="14" t="s">
        <v>260</v>
      </c>
      <c r="R1436" s="14" t="s">
        <v>229</v>
      </c>
    </row>
    <row r="1437" spans="1:18" s="14" customFormat="1" x14ac:dyDescent="0.25">
      <c r="A1437" s="14" t="str">
        <f>"83719"</f>
        <v>83719</v>
      </c>
      <c r="B1437" s="14" t="str">
        <f>"07010"</f>
        <v>07010</v>
      </c>
      <c r="C1437" s="14" t="str">
        <f>"1800"</f>
        <v>1800</v>
      </c>
      <c r="D1437" s="14" t="str">
        <f>""</f>
        <v/>
      </c>
      <c r="E1437" s="14" t="s">
        <v>1425</v>
      </c>
      <c r="F1437" s="14" t="s">
        <v>1002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228</v>
      </c>
      <c r="P1437" s="14" t="s">
        <v>260</v>
      </c>
      <c r="Q1437" s="14" t="s">
        <v>260</v>
      </c>
      <c r="R1437" s="14" t="s">
        <v>229</v>
      </c>
    </row>
    <row r="1438" spans="1:18" s="14" customFormat="1" x14ac:dyDescent="0.25">
      <c r="A1438" s="14" t="str">
        <f>"83720"</f>
        <v>83720</v>
      </c>
      <c r="B1438" s="14" t="str">
        <f>"07010"</f>
        <v>07010</v>
      </c>
      <c r="C1438" s="14" t="str">
        <f>"1800"</f>
        <v>1800</v>
      </c>
      <c r="D1438" s="14" t="str">
        <f>""</f>
        <v/>
      </c>
      <c r="E1438" s="14" t="s">
        <v>1426</v>
      </c>
      <c r="F1438" s="14" t="s">
        <v>1002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228</v>
      </c>
      <c r="P1438" s="14" t="s">
        <v>260</v>
      </c>
      <c r="Q1438" s="14" t="s">
        <v>260</v>
      </c>
      <c r="R1438" s="14" t="s">
        <v>229</v>
      </c>
    </row>
    <row r="1439" spans="1:18" s="14" customFormat="1" x14ac:dyDescent="0.25">
      <c r="A1439" s="14" t="str">
        <f>"83721"</f>
        <v>83721</v>
      </c>
      <c r="B1439" s="14" t="str">
        <f>"07010"</f>
        <v>07010</v>
      </c>
      <c r="C1439" s="14" t="str">
        <f>"1800"</f>
        <v>1800</v>
      </c>
      <c r="D1439" s="14" t="str">
        <f>""</f>
        <v/>
      </c>
      <c r="E1439" s="14" t="s">
        <v>1427</v>
      </c>
      <c r="F1439" s="14" t="s">
        <v>1002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228</v>
      </c>
      <c r="P1439" s="14" t="s">
        <v>260</v>
      </c>
      <c r="Q1439" s="14" t="s">
        <v>260</v>
      </c>
      <c r="R1439" s="14" t="s">
        <v>229</v>
      </c>
    </row>
    <row r="1440" spans="1:18" s="14" customFormat="1" x14ac:dyDescent="0.25">
      <c r="A1440" s="14" t="str">
        <f>"83722"</f>
        <v>83722</v>
      </c>
      <c r="B1440" s="14" t="str">
        <f>"07010"</f>
        <v>07010</v>
      </c>
      <c r="C1440" s="14" t="str">
        <f>"1800"</f>
        <v>1800</v>
      </c>
      <c r="D1440" s="14" t="str">
        <f>""</f>
        <v/>
      </c>
      <c r="E1440" s="14" t="s">
        <v>1428</v>
      </c>
      <c r="F1440" s="14" t="s">
        <v>1002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228</v>
      </c>
      <c r="P1440" s="14" t="s">
        <v>260</v>
      </c>
      <c r="Q1440" s="14" t="s">
        <v>260</v>
      </c>
      <c r="R1440" s="14" t="s">
        <v>229</v>
      </c>
    </row>
    <row r="1441" spans="1:18" s="14" customFormat="1" x14ac:dyDescent="0.25">
      <c r="A1441" s="14" t="str">
        <f>"83723"</f>
        <v>83723</v>
      </c>
      <c r="B1441" s="14" t="str">
        <f>"07010"</f>
        <v>07010</v>
      </c>
      <c r="C1441" s="14" t="str">
        <f>"1800"</f>
        <v>1800</v>
      </c>
      <c r="D1441" s="14" t="str">
        <f>""</f>
        <v/>
      </c>
      <c r="E1441" s="14" t="s">
        <v>1429</v>
      </c>
      <c r="F1441" s="14" t="s">
        <v>1002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228</v>
      </c>
      <c r="P1441" s="14" t="s">
        <v>260</v>
      </c>
      <c r="Q1441" s="14" t="s">
        <v>260</v>
      </c>
      <c r="R1441" s="14" t="s">
        <v>229</v>
      </c>
    </row>
    <row r="1442" spans="1:18" s="14" customFormat="1" x14ac:dyDescent="0.25">
      <c r="A1442" s="14" t="str">
        <f>"83724"</f>
        <v>83724</v>
      </c>
      <c r="B1442" s="14" t="str">
        <f>"07010"</f>
        <v>07010</v>
      </c>
      <c r="C1442" s="14" t="str">
        <f>"1800"</f>
        <v>1800</v>
      </c>
      <c r="D1442" s="14" t="str">
        <f>""</f>
        <v/>
      </c>
      <c r="E1442" s="14" t="s">
        <v>1430</v>
      </c>
      <c r="F1442" s="14" t="s">
        <v>1002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228</v>
      </c>
      <c r="P1442" s="14" t="s">
        <v>260</v>
      </c>
      <c r="Q1442" s="14" t="s">
        <v>260</v>
      </c>
      <c r="R1442" s="14" t="s">
        <v>229</v>
      </c>
    </row>
    <row r="1443" spans="1:18" s="14" customFormat="1" x14ac:dyDescent="0.25">
      <c r="A1443" s="14" t="str">
        <f>"83725"</f>
        <v>83725</v>
      </c>
      <c r="B1443" s="14" t="str">
        <f>"07010"</f>
        <v>07010</v>
      </c>
      <c r="C1443" s="14" t="str">
        <f>"1800"</f>
        <v>1800</v>
      </c>
      <c r="D1443" s="14" t="str">
        <f>""</f>
        <v/>
      </c>
      <c r="E1443" s="14" t="s">
        <v>1431</v>
      </c>
      <c r="F1443" s="14" t="s">
        <v>1002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228</v>
      </c>
      <c r="P1443" s="14" t="s">
        <v>260</v>
      </c>
      <c r="Q1443" s="14" t="s">
        <v>260</v>
      </c>
      <c r="R1443" s="14" t="s">
        <v>229</v>
      </c>
    </row>
    <row r="1444" spans="1:18" s="14" customFormat="1" x14ac:dyDescent="0.25">
      <c r="A1444" s="14" t="str">
        <f>"83726"</f>
        <v>83726</v>
      </c>
      <c r="B1444" s="14" t="str">
        <f>"07010"</f>
        <v>07010</v>
      </c>
      <c r="C1444" s="14" t="str">
        <f>"1800"</f>
        <v>1800</v>
      </c>
      <c r="D1444" s="14" t="str">
        <f>""</f>
        <v/>
      </c>
      <c r="E1444" s="14" t="s">
        <v>1432</v>
      </c>
      <c r="F1444" s="14" t="s">
        <v>1002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228</v>
      </c>
      <c r="P1444" s="14" t="s">
        <v>260</v>
      </c>
      <c r="Q1444" s="14" t="s">
        <v>260</v>
      </c>
      <c r="R1444" s="14" t="s">
        <v>229</v>
      </c>
    </row>
    <row r="1445" spans="1:18" s="14" customFormat="1" x14ac:dyDescent="0.25">
      <c r="A1445" s="14" t="str">
        <f>"83727"</f>
        <v>83727</v>
      </c>
      <c r="B1445" s="14" t="str">
        <f>"07010"</f>
        <v>07010</v>
      </c>
      <c r="C1445" s="14" t="str">
        <f>"1800"</f>
        <v>1800</v>
      </c>
      <c r="D1445" s="14" t="str">
        <f>""</f>
        <v/>
      </c>
      <c r="E1445" s="14" t="s">
        <v>1433</v>
      </c>
      <c r="F1445" s="14" t="s">
        <v>1002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228</v>
      </c>
      <c r="P1445" s="14" t="s">
        <v>260</v>
      </c>
      <c r="Q1445" s="14" t="s">
        <v>260</v>
      </c>
      <c r="R1445" s="14" t="s">
        <v>229</v>
      </c>
    </row>
    <row r="1446" spans="1:18" s="14" customFormat="1" x14ac:dyDescent="0.25">
      <c r="A1446" s="14" t="str">
        <f>"83728"</f>
        <v>83728</v>
      </c>
      <c r="B1446" s="14" t="str">
        <f>"07010"</f>
        <v>07010</v>
      </c>
      <c r="C1446" s="14" t="str">
        <f>"1800"</f>
        <v>1800</v>
      </c>
      <c r="D1446" s="14" t="str">
        <f>""</f>
        <v/>
      </c>
      <c r="E1446" s="14" t="s">
        <v>1434</v>
      </c>
      <c r="F1446" s="14" t="s">
        <v>1002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228</v>
      </c>
      <c r="P1446" s="14" t="s">
        <v>260</v>
      </c>
      <c r="Q1446" s="14" t="s">
        <v>260</v>
      </c>
      <c r="R1446" s="14" t="s">
        <v>229</v>
      </c>
    </row>
    <row r="1447" spans="1:18" s="14" customFormat="1" x14ac:dyDescent="0.25">
      <c r="A1447" s="14" t="str">
        <f>"83729"</f>
        <v>83729</v>
      </c>
      <c r="B1447" s="14" t="str">
        <f>"07010"</f>
        <v>07010</v>
      </c>
      <c r="C1447" s="14" t="str">
        <f>"1800"</f>
        <v>1800</v>
      </c>
      <c r="D1447" s="14" t="str">
        <f>""</f>
        <v/>
      </c>
      <c r="E1447" s="14" t="s">
        <v>1435</v>
      </c>
      <c r="F1447" s="14" t="s">
        <v>1002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228</v>
      </c>
      <c r="P1447" s="14" t="s">
        <v>260</v>
      </c>
      <c r="Q1447" s="14" t="s">
        <v>260</v>
      </c>
      <c r="R1447" s="14" t="s">
        <v>229</v>
      </c>
    </row>
    <row r="1448" spans="1:18" s="14" customFormat="1" x14ac:dyDescent="0.25">
      <c r="A1448" s="14" t="str">
        <f>"83730"</f>
        <v>83730</v>
      </c>
      <c r="B1448" s="14" t="str">
        <f>"07010"</f>
        <v>07010</v>
      </c>
      <c r="C1448" s="14" t="str">
        <f>"1800"</f>
        <v>1800</v>
      </c>
      <c r="D1448" s="14" t="str">
        <f>""</f>
        <v/>
      </c>
      <c r="E1448" s="14" t="s">
        <v>1436</v>
      </c>
      <c r="F1448" s="14" t="s">
        <v>1002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228</v>
      </c>
      <c r="P1448" s="14" t="s">
        <v>260</v>
      </c>
      <c r="Q1448" s="14" t="s">
        <v>260</v>
      </c>
      <c r="R1448" s="14" t="s">
        <v>229</v>
      </c>
    </row>
    <row r="1449" spans="1:18" s="14" customFormat="1" x14ac:dyDescent="0.25">
      <c r="A1449" s="14" t="str">
        <f>"83731"</f>
        <v>83731</v>
      </c>
      <c r="B1449" s="14" t="str">
        <f>"07010"</f>
        <v>07010</v>
      </c>
      <c r="C1449" s="14" t="str">
        <f>"1800"</f>
        <v>1800</v>
      </c>
      <c r="D1449" s="14" t="str">
        <f>""</f>
        <v/>
      </c>
      <c r="E1449" s="14" t="s">
        <v>1437</v>
      </c>
      <c r="F1449" s="14" t="s">
        <v>1002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228</v>
      </c>
      <c r="P1449" s="14" t="s">
        <v>260</v>
      </c>
      <c r="Q1449" s="14" t="s">
        <v>260</v>
      </c>
      <c r="R1449" s="14" t="s">
        <v>229</v>
      </c>
    </row>
    <row r="1450" spans="1:18" s="14" customFormat="1" x14ac:dyDescent="0.25">
      <c r="A1450" s="14" t="str">
        <f>"83732"</f>
        <v>83732</v>
      </c>
      <c r="B1450" s="14" t="str">
        <f>"07010"</f>
        <v>07010</v>
      </c>
      <c r="C1450" s="14" t="str">
        <f>"1800"</f>
        <v>1800</v>
      </c>
      <c r="D1450" s="14" t="str">
        <f>""</f>
        <v/>
      </c>
      <c r="E1450" s="14" t="s">
        <v>1438</v>
      </c>
      <c r="F1450" s="14" t="s">
        <v>1002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228</v>
      </c>
      <c r="P1450" s="14" t="s">
        <v>260</v>
      </c>
      <c r="Q1450" s="14" t="s">
        <v>260</v>
      </c>
      <c r="R1450" s="14" t="s">
        <v>229</v>
      </c>
    </row>
    <row r="1451" spans="1:18" s="14" customFormat="1" x14ac:dyDescent="0.25">
      <c r="A1451" s="14" t="str">
        <f>"83733"</f>
        <v>83733</v>
      </c>
      <c r="B1451" s="14" t="str">
        <f>"07010"</f>
        <v>07010</v>
      </c>
      <c r="C1451" s="14" t="str">
        <f>"1800"</f>
        <v>1800</v>
      </c>
      <c r="D1451" s="14" t="str">
        <f>""</f>
        <v/>
      </c>
      <c r="E1451" s="14" t="s">
        <v>1439</v>
      </c>
      <c r="F1451" s="14" t="s">
        <v>1002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228</v>
      </c>
      <c r="P1451" s="14" t="s">
        <v>260</v>
      </c>
      <c r="Q1451" s="14" t="s">
        <v>260</v>
      </c>
      <c r="R1451" s="14" t="s">
        <v>229</v>
      </c>
    </row>
    <row r="1452" spans="1:18" s="14" customFormat="1" x14ac:dyDescent="0.25">
      <c r="A1452" s="14" t="str">
        <f>"83734"</f>
        <v>83734</v>
      </c>
      <c r="B1452" s="14" t="str">
        <f>"07010"</f>
        <v>07010</v>
      </c>
      <c r="C1452" s="14" t="str">
        <f>"1800"</f>
        <v>1800</v>
      </c>
      <c r="D1452" s="14" t="str">
        <f>""</f>
        <v/>
      </c>
      <c r="E1452" s="14" t="s">
        <v>1440</v>
      </c>
      <c r="F1452" s="14" t="s">
        <v>1002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228</v>
      </c>
      <c r="P1452" s="14" t="s">
        <v>260</v>
      </c>
      <c r="Q1452" s="14" t="s">
        <v>260</v>
      </c>
      <c r="R1452" s="14" t="s">
        <v>229</v>
      </c>
    </row>
    <row r="1453" spans="1:18" s="14" customFormat="1" x14ac:dyDescent="0.25">
      <c r="A1453" s="14" t="str">
        <f>"83735"</f>
        <v>83735</v>
      </c>
      <c r="B1453" s="14" t="str">
        <f>"07010"</f>
        <v>07010</v>
      </c>
      <c r="C1453" s="14" t="str">
        <f>"1800"</f>
        <v>1800</v>
      </c>
      <c r="D1453" s="14" t="str">
        <f>""</f>
        <v/>
      </c>
      <c r="E1453" s="14" t="s">
        <v>1441</v>
      </c>
      <c r="F1453" s="14" t="s">
        <v>1002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228</v>
      </c>
      <c r="P1453" s="14" t="s">
        <v>260</v>
      </c>
      <c r="Q1453" s="14" t="s">
        <v>260</v>
      </c>
      <c r="R1453" s="14" t="s">
        <v>229</v>
      </c>
    </row>
    <row r="1454" spans="1:18" s="14" customFormat="1" x14ac:dyDescent="0.25">
      <c r="A1454" s="14" t="str">
        <f>"83736"</f>
        <v>83736</v>
      </c>
      <c r="B1454" s="14" t="str">
        <f>"07010"</f>
        <v>07010</v>
      </c>
      <c r="C1454" s="14" t="str">
        <f>"1800"</f>
        <v>1800</v>
      </c>
      <c r="D1454" s="14" t="str">
        <f>""</f>
        <v/>
      </c>
      <c r="E1454" s="14" t="s">
        <v>1442</v>
      </c>
      <c r="F1454" s="14" t="s">
        <v>1002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228</v>
      </c>
      <c r="P1454" s="14" t="s">
        <v>260</v>
      </c>
      <c r="Q1454" s="14" t="s">
        <v>260</v>
      </c>
      <c r="R1454" s="14" t="s">
        <v>229</v>
      </c>
    </row>
    <row r="1455" spans="1:18" s="14" customFormat="1" x14ac:dyDescent="0.25">
      <c r="A1455" s="14" t="str">
        <f>"83737"</f>
        <v>83737</v>
      </c>
      <c r="B1455" s="14" t="str">
        <f>"07010"</f>
        <v>07010</v>
      </c>
      <c r="C1455" s="14" t="str">
        <f>"1800"</f>
        <v>1800</v>
      </c>
      <c r="D1455" s="14" t="str">
        <f>""</f>
        <v/>
      </c>
      <c r="E1455" s="14" t="s">
        <v>1443</v>
      </c>
      <c r="F1455" s="14" t="s">
        <v>1002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228</v>
      </c>
      <c r="P1455" s="14" t="s">
        <v>260</v>
      </c>
      <c r="Q1455" s="14" t="s">
        <v>260</v>
      </c>
      <c r="R1455" s="14" t="s">
        <v>229</v>
      </c>
    </row>
    <row r="1456" spans="1:18" s="14" customFormat="1" x14ac:dyDescent="0.25">
      <c r="A1456" s="14" t="str">
        <f>"83738"</f>
        <v>83738</v>
      </c>
      <c r="B1456" s="14" t="str">
        <f>"07010"</f>
        <v>07010</v>
      </c>
      <c r="C1456" s="14" t="str">
        <f>"1800"</f>
        <v>1800</v>
      </c>
      <c r="D1456" s="14" t="str">
        <f>""</f>
        <v/>
      </c>
      <c r="E1456" s="14" t="s">
        <v>1444</v>
      </c>
      <c r="F1456" s="14" t="s">
        <v>1002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228</v>
      </c>
      <c r="P1456" s="14" t="s">
        <v>260</v>
      </c>
      <c r="Q1456" s="14" t="s">
        <v>260</v>
      </c>
      <c r="R1456" s="14" t="s">
        <v>229</v>
      </c>
    </row>
    <row r="1457" spans="1:18" s="14" customFormat="1" x14ac:dyDescent="0.25">
      <c r="A1457" s="14" t="str">
        <f>"83739"</f>
        <v>83739</v>
      </c>
      <c r="B1457" s="14" t="str">
        <f>"07010"</f>
        <v>07010</v>
      </c>
      <c r="C1457" s="14" t="str">
        <f>"1800"</f>
        <v>1800</v>
      </c>
      <c r="D1457" s="14" t="str">
        <f>""</f>
        <v/>
      </c>
      <c r="E1457" s="14" t="s">
        <v>1445</v>
      </c>
      <c r="F1457" s="14" t="s">
        <v>1002</v>
      </c>
      <c r="G1457" s="14" t="str">
        <f>""</f>
        <v/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228</v>
      </c>
      <c r="P1457" s="14" t="s">
        <v>260</v>
      </c>
      <c r="Q1457" s="14" t="s">
        <v>260</v>
      </c>
      <c r="R1457" s="14" t="s">
        <v>229</v>
      </c>
    </row>
    <row r="1458" spans="1:18" s="14" customFormat="1" x14ac:dyDescent="0.25">
      <c r="A1458" s="14" t="str">
        <f>"83740"</f>
        <v>83740</v>
      </c>
      <c r="B1458" s="14" t="str">
        <f>"07010"</f>
        <v>07010</v>
      </c>
      <c r="C1458" s="14" t="str">
        <f>"1800"</f>
        <v>1800</v>
      </c>
      <c r="D1458" s="14" t="str">
        <f>""</f>
        <v/>
      </c>
      <c r="E1458" s="14" t="s">
        <v>1446</v>
      </c>
      <c r="F1458" s="14" t="s">
        <v>1002</v>
      </c>
      <c r="G1458" s="14" t="str">
        <f>""</f>
        <v/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228</v>
      </c>
      <c r="P1458" s="14" t="s">
        <v>260</v>
      </c>
      <c r="Q1458" s="14" t="s">
        <v>260</v>
      </c>
      <c r="R1458" s="14" t="s">
        <v>229</v>
      </c>
    </row>
    <row r="1459" spans="1:18" s="14" customFormat="1" x14ac:dyDescent="0.25">
      <c r="A1459" s="14" t="str">
        <f>"83741"</f>
        <v>83741</v>
      </c>
      <c r="B1459" s="14" t="str">
        <f>"07010"</f>
        <v>07010</v>
      </c>
      <c r="C1459" s="14" t="str">
        <f>"1800"</f>
        <v>1800</v>
      </c>
      <c r="D1459" s="14" t="str">
        <f>""</f>
        <v/>
      </c>
      <c r="E1459" s="14" t="s">
        <v>1447</v>
      </c>
      <c r="F1459" s="14" t="s">
        <v>1002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228</v>
      </c>
      <c r="P1459" s="14" t="s">
        <v>260</v>
      </c>
      <c r="Q1459" s="14" t="s">
        <v>260</v>
      </c>
      <c r="R1459" s="14" t="s">
        <v>229</v>
      </c>
    </row>
    <row r="1460" spans="1:18" s="14" customFormat="1" x14ac:dyDescent="0.25">
      <c r="A1460" s="14" t="str">
        <f>"83742"</f>
        <v>83742</v>
      </c>
      <c r="B1460" s="14" t="str">
        <f>"07010"</f>
        <v>07010</v>
      </c>
      <c r="C1460" s="14" t="str">
        <f>"1800"</f>
        <v>1800</v>
      </c>
      <c r="D1460" s="14" t="str">
        <f>""</f>
        <v/>
      </c>
      <c r="E1460" s="14" t="s">
        <v>1448</v>
      </c>
      <c r="F1460" s="14" t="s">
        <v>1002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228</v>
      </c>
      <c r="P1460" s="14" t="s">
        <v>260</v>
      </c>
      <c r="Q1460" s="14" t="s">
        <v>260</v>
      </c>
      <c r="R1460" s="14" t="s">
        <v>229</v>
      </c>
    </row>
    <row r="1461" spans="1:18" s="14" customFormat="1" x14ac:dyDescent="0.25">
      <c r="A1461" s="14" t="str">
        <f>"83743"</f>
        <v>83743</v>
      </c>
      <c r="B1461" s="14" t="str">
        <f>"07010"</f>
        <v>07010</v>
      </c>
      <c r="C1461" s="14" t="str">
        <f>"1800"</f>
        <v>1800</v>
      </c>
      <c r="D1461" s="14" t="str">
        <f>""</f>
        <v/>
      </c>
      <c r="E1461" s="14" t="s">
        <v>1449</v>
      </c>
      <c r="F1461" s="14" t="s">
        <v>1002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228</v>
      </c>
      <c r="P1461" s="14" t="s">
        <v>260</v>
      </c>
      <c r="Q1461" s="14" t="s">
        <v>260</v>
      </c>
      <c r="R1461" s="14" t="s">
        <v>229</v>
      </c>
    </row>
    <row r="1462" spans="1:18" s="14" customFormat="1" x14ac:dyDescent="0.25">
      <c r="A1462" s="14" t="str">
        <f>"83744"</f>
        <v>83744</v>
      </c>
      <c r="B1462" s="14" t="str">
        <f>"07010"</f>
        <v>07010</v>
      </c>
      <c r="C1462" s="14" t="str">
        <f>"1800"</f>
        <v>1800</v>
      </c>
      <c r="D1462" s="14" t="str">
        <f>""</f>
        <v/>
      </c>
      <c r="E1462" s="14" t="s">
        <v>1450</v>
      </c>
      <c r="F1462" s="14" t="s">
        <v>1002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228</v>
      </c>
      <c r="P1462" s="14" t="s">
        <v>260</v>
      </c>
      <c r="Q1462" s="14" t="s">
        <v>260</v>
      </c>
      <c r="R1462" s="14" t="s">
        <v>229</v>
      </c>
    </row>
    <row r="1463" spans="1:18" s="14" customFormat="1" x14ac:dyDescent="0.25">
      <c r="A1463" s="14" t="str">
        <f>"83745"</f>
        <v>83745</v>
      </c>
      <c r="B1463" s="14" t="str">
        <f>"07010"</f>
        <v>07010</v>
      </c>
      <c r="C1463" s="14" t="str">
        <f>"1800"</f>
        <v>1800</v>
      </c>
      <c r="D1463" s="14" t="str">
        <f>""</f>
        <v/>
      </c>
      <c r="E1463" s="14" t="s">
        <v>1451</v>
      </c>
      <c r="F1463" s="14" t="s">
        <v>1002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228</v>
      </c>
      <c r="P1463" s="14" t="s">
        <v>260</v>
      </c>
      <c r="Q1463" s="14" t="s">
        <v>260</v>
      </c>
      <c r="R1463" s="14" t="s">
        <v>229</v>
      </c>
    </row>
    <row r="1464" spans="1:18" s="14" customFormat="1" x14ac:dyDescent="0.25">
      <c r="A1464" s="14" t="str">
        <f>"83746"</f>
        <v>83746</v>
      </c>
      <c r="B1464" s="14" t="str">
        <f>"07010"</f>
        <v>07010</v>
      </c>
      <c r="C1464" s="14" t="str">
        <f>"1800"</f>
        <v>1800</v>
      </c>
      <c r="D1464" s="14" t="str">
        <f>""</f>
        <v/>
      </c>
      <c r="E1464" s="14" t="s">
        <v>1452</v>
      </c>
      <c r="F1464" s="14" t="s">
        <v>1002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228</v>
      </c>
      <c r="P1464" s="14" t="s">
        <v>260</v>
      </c>
      <c r="Q1464" s="14" t="s">
        <v>260</v>
      </c>
      <c r="R1464" s="14" t="s">
        <v>229</v>
      </c>
    </row>
    <row r="1465" spans="1:18" s="14" customFormat="1" x14ac:dyDescent="0.25">
      <c r="A1465" s="14" t="str">
        <f>"83747"</f>
        <v>83747</v>
      </c>
      <c r="B1465" s="14" t="str">
        <f>"07010"</f>
        <v>07010</v>
      </c>
      <c r="C1465" s="14" t="str">
        <f>"1800"</f>
        <v>1800</v>
      </c>
      <c r="D1465" s="14" t="str">
        <f>""</f>
        <v/>
      </c>
      <c r="E1465" s="14" t="s">
        <v>1453</v>
      </c>
      <c r="F1465" s="14" t="s">
        <v>1002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228</v>
      </c>
      <c r="P1465" s="14" t="s">
        <v>260</v>
      </c>
      <c r="Q1465" s="14" t="s">
        <v>260</v>
      </c>
      <c r="R1465" s="14" t="s">
        <v>229</v>
      </c>
    </row>
    <row r="1466" spans="1:18" s="14" customFormat="1" x14ac:dyDescent="0.25">
      <c r="A1466" s="14" t="str">
        <f>"83748"</f>
        <v>83748</v>
      </c>
      <c r="B1466" s="14" t="str">
        <f>"07010"</f>
        <v>07010</v>
      </c>
      <c r="C1466" s="14" t="str">
        <f>"1800"</f>
        <v>1800</v>
      </c>
      <c r="D1466" s="14" t="str">
        <f>""</f>
        <v/>
      </c>
      <c r="E1466" s="14" t="s">
        <v>1454</v>
      </c>
      <c r="F1466" s="14" t="s">
        <v>1002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228</v>
      </c>
      <c r="P1466" s="14" t="s">
        <v>260</v>
      </c>
      <c r="Q1466" s="14" t="s">
        <v>260</v>
      </c>
      <c r="R1466" s="14" t="s">
        <v>229</v>
      </c>
    </row>
    <row r="1467" spans="1:18" s="14" customFormat="1" x14ac:dyDescent="0.25">
      <c r="A1467" s="14" t="str">
        <f>"83749"</f>
        <v>83749</v>
      </c>
      <c r="B1467" s="14" t="str">
        <f>"07010"</f>
        <v>07010</v>
      </c>
      <c r="C1467" s="14" t="str">
        <f>"1800"</f>
        <v>1800</v>
      </c>
      <c r="D1467" s="14" t="str">
        <f>""</f>
        <v/>
      </c>
      <c r="E1467" s="14" t="s">
        <v>1455</v>
      </c>
      <c r="F1467" s="14" t="s">
        <v>1002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228</v>
      </c>
      <c r="P1467" s="14" t="s">
        <v>260</v>
      </c>
      <c r="Q1467" s="14" t="s">
        <v>260</v>
      </c>
      <c r="R1467" s="14" t="s">
        <v>229</v>
      </c>
    </row>
    <row r="1468" spans="1:18" s="14" customFormat="1" x14ac:dyDescent="0.25">
      <c r="A1468" s="14" t="str">
        <f>"83750"</f>
        <v>83750</v>
      </c>
      <c r="B1468" s="14" t="str">
        <f>"07010"</f>
        <v>07010</v>
      </c>
      <c r="C1468" s="14" t="str">
        <f>"1800"</f>
        <v>1800</v>
      </c>
      <c r="D1468" s="14" t="str">
        <f>""</f>
        <v/>
      </c>
      <c r="E1468" s="14" t="s">
        <v>1456</v>
      </c>
      <c r="F1468" s="14" t="s">
        <v>1002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228</v>
      </c>
      <c r="P1468" s="14" t="s">
        <v>260</v>
      </c>
      <c r="Q1468" s="14" t="s">
        <v>260</v>
      </c>
      <c r="R1468" s="14" t="s">
        <v>229</v>
      </c>
    </row>
    <row r="1469" spans="1:18" s="14" customFormat="1" x14ac:dyDescent="0.25">
      <c r="A1469" s="14" t="str">
        <f>"83751"</f>
        <v>83751</v>
      </c>
      <c r="B1469" s="14" t="str">
        <f>"07010"</f>
        <v>07010</v>
      </c>
      <c r="C1469" s="14" t="str">
        <f>"1800"</f>
        <v>1800</v>
      </c>
      <c r="D1469" s="14" t="str">
        <f>""</f>
        <v/>
      </c>
      <c r="E1469" s="14" t="s">
        <v>1457</v>
      </c>
      <c r="F1469" s="14" t="s">
        <v>1002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228</v>
      </c>
      <c r="P1469" s="14" t="s">
        <v>260</v>
      </c>
      <c r="Q1469" s="14" t="s">
        <v>260</v>
      </c>
      <c r="R1469" s="14" t="s">
        <v>229</v>
      </c>
    </row>
    <row r="1470" spans="1:18" s="14" customFormat="1" x14ac:dyDescent="0.25">
      <c r="A1470" s="14" t="str">
        <f>"83752"</f>
        <v>83752</v>
      </c>
      <c r="B1470" s="14" t="str">
        <f>"07010"</f>
        <v>07010</v>
      </c>
      <c r="C1470" s="14" t="str">
        <f>"1800"</f>
        <v>1800</v>
      </c>
      <c r="D1470" s="14" t="str">
        <f>""</f>
        <v/>
      </c>
      <c r="E1470" s="14" t="s">
        <v>1458</v>
      </c>
      <c r="F1470" s="14" t="s">
        <v>1002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228</v>
      </c>
      <c r="P1470" s="14" t="s">
        <v>260</v>
      </c>
      <c r="Q1470" s="14" t="s">
        <v>260</v>
      </c>
      <c r="R1470" s="14" t="s">
        <v>229</v>
      </c>
    </row>
    <row r="1471" spans="1:18" s="14" customFormat="1" x14ac:dyDescent="0.25">
      <c r="A1471" s="14" t="str">
        <f>"83753"</f>
        <v>83753</v>
      </c>
      <c r="B1471" s="14" t="str">
        <f>"07010"</f>
        <v>07010</v>
      </c>
      <c r="C1471" s="14" t="str">
        <f>"1800"</f>
        <v>1800</v>
      </c>
      <c r="D1471" s="14" t="str">
        <f>""</f>
        <v/>
      </c>
      <c r="E1471" s="14" t="s">
        <v>1459</v>
      </c>
      <c r="F1471" s="14" t="s">
        <v>1002</v>
      </c>
      <c r="G1471" s="14" t="str">
        <f>""</f>
        <v/>
      </c>
      <c r="H1471" s="14" t="str">
        <f>" 00"</f>
        <v xml:space="preserve"> 00</v>
      </c>
      <c r="I1471" s="14">
        <v>0.01</v>
      </c>
      <c r="J1471" s="14">
        <v>9999999.9900000002</v>
      </c>
      <c r="K1471" s="14" t="s">
        <v>228</v>
      </c>
      <c r="P1471" s="14" t="s">
        <v>260</v>
      </c>
      <c r="Q1471" s="14" t="s">
        <v>260</v>
      </c>
      <c r="R1471" s="14" t="s">
        <v>229</v>
      </c>
    </row>
    <row r="1472" spans="1:18" s="14" customFormat="1" x14ac:dyDescent="0.25">
      <c r="A1472" s="14" t="str">
        <f>"83754"</f>
        <v>83754</v>
      </c>
      <c r="B1472" s="14" t="str">
        <f>"07010"</f>
        <v>07010</v>
      </c>
      <c r="C1472" s="14" t="str">
        <f>"1800"</f>
        <v>1800</v>
      </c>
      <c r="D1472" s="14" t="str">
        <f>""</f>
        <v/>
      </c>
      <c r="E1472" s="14" t="s">
        <v>1460</v>
      </c>
      <c r="F1472" s="14" t="s">
        <v>1002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228</v>
      </c>
      <c r="P1472" s="14" t="s">
        <v>260</v>
      </c>
      <c r="Q1472" s="14" t="s">
        <v>260</v>
      </c>
      <c r="R1472" s="14" t="s">
        <v>229</v>
      </c>
    </row>
    <row r="1473" spans="1:18" s="14" customFormat="1" x14ac:dyDescent="0.25">
      <c r="A1473" s="14" t="str">
        <f>"83755"</f>
        <v>83755</v>
      </c>
      <c r="B1473" s="14" t="str">
        <f>"07010"</f>
        <v>07010</v>
      </c>
      <c r="C1473" s="14" t="str">
        <f>"1800"</f>
        <v>1800</v>
      </c>
      <c r="D1473" s="14" t="str">
        <f>""</f>
        <v/>
      </c>
      <c r="E1473" s="14" t="s">
        <v>1461</v>
      </c>
      <c r="F1473" s="14" t="s">
        <v>1002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228</v>
      </c>
      <c r="P1473" s="14" t="s">
        <v>260</v>
      </c>
      <c r="Q1473" s="14" t="s">
        <v>260</v>
      </c>
      <c r="R1473" s="14" t="s">
        <v>229</v>
      </c>
    </row>
    <row r="1474" spans="1:18" s="14" customFormat="1" x14ac:dyDescent="0.25">
      <c r="A1474" s="14" t="str">
        <f>"83756"</f>
        <v>83756</v>
      </c>
      <c r="B1474" s="14" t="str">
        <f>"07010"</f>
        <v>07010</v>
      </c>
      <c r="C1474" s="14" t="str">
        <f>"1800"</f>
        <v>1800</v>
      </c>
      <c r="D1474" s="14" t="str">
        <f>""</f>
        <v/>
      </c>
      <c r="E1474" s="14" t="s">
        <v>1462</v>
      </c>
      <c r="F1474" s="14" t="s">
        <v>1002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228</v>
      </c>
      <c r="P1474" s="14" t="s">
        <v>260</v>
      </c>
      <c r="Q1474" s="14" t="s">
        <v>260</v>
      </c>
      <c r="R1474" s="14" t="s">
        <v>229</v>
      </c>
    </row>
    <row r="1475" spans="1:18" s="14" customFormat="1" x14ac:dyDescent="0.25">
      <c r="A1475" s="14" t="str">
        <f>"83757"</f>
        <v>83757</v>
      </c>
      <c r="B1475" s="14" t="str">
        <f>"07010"</f>
        <v>07010</v>
      </c>
      <c r="C1475" s="14" t="str">
        <f>"1800"</f>
        <v>1800</v>
      </c>
      <c r="D1475" s="14" t="str">
        <f>""</f>
        <v/>
      </c>
      <c r="E1475" s="14" t="s">
        <v>1463</v>
      </c>
      <c r="F1475" s="14" t="s">
        <v>1002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228</v>
      </c>
      <c r="P1475" s="14" t="s">
        <v>260</v>
      </c>
      <c r="Q1475" s="14" t="s">
        <v>260</v>
      </c>
      <c r="R1475" s="14" t="s">
        <v>229</v>
      </c>
    </row>
    <row r="1476" spans="1:18" s="14" customFormat="1" x14ac:dyDescent="0.25">
      <c r="A1476" s="14" t="str">
        <f>"83758"</f>
        <v>83758</v>
      </c>
      <c r="B1476" s="14" t="str">
        <f>"07010"</f>
        <v>07010</v>
      </c>
      <c r="C1476" s="14" t="str">
        <f>"1800"</f>
        <v>1800</v>
      </c>
      <c r="D1476" s="14" t="str">
        <f>""</f>
        <v/>
      </c>
      <c r="E1476" s="14" t="s">
        <v>1464</v>
      </c>
      <c r="F1476" s="14" t="s">
        <v>1002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228</v>
      </c>
      <c r="P1476" s="14" t="s">
        <v>260</v>
      </c>
      <c r="Q1476" s="14" t="s">
        <v>260</v>
      </c>
      <c r="R1476" s="14" t="s">
        <v>229</v>
      </c>
    </row>
    <row r="1477" spans="1:18" s="14" customFormat="1" x14ac:dyDescent="0.25">
      <c r="A1477" s="14" t="str">
        <f>"83759"</f>
        <v>83759</v>
      </c>
      <c r="B1477" s="14" t="str">
        <f>"07010"</f>
        <v>07010</v>
      </c>
      <c r="C1477" s="14" t="str">
        <f>"1800"</f>
        <v>1800</v>
      </c>
      <c r="D1477" s="14" t="str">
        <f>""</f>
        <v/>
      </c>
      <c r="E1477" s="14" t="s">
        <v>1465</v>
      </c>
      <c r="F1477" s="14" t="s">
        <v>1002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228</v>
      </c>
      <c r="P1477" s="14" t="s">
        <v>260</v>
      </c>
      <c r="Q1477" s="14" t="s">
        <v>260</v>
      </c>
      <c r="R1477" s="14" t="s">
        <v>229</v>
      </c>
    </row>
    <row r="1478" spans="1:18" s="14" customFormat="1" x14ac:dyDescent="0.25">
      <c r="A1478" s="14" t="str">
        <f>"83760"</f>
        <v>83760</v>
      </c>
      <c r="B1478" s="14" t="str">
        <f>"07010"</f>
        <v>07010</v>
      </c>
      <c r="C1478" s="14" t="str">
        <f>"1800"</f>
        <v>1800</v>
      </c>
      <c r="D1478" s="14" t="str">
        <f>""</f>
        <v/>
      </c>
      <c r="E1478" s="14" t="s">
        <v>1466</v>
      </c>
      <c r="F1478" s="14" t="s">
        <v>1002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228</v>
      </c>
      <c r="P1478" s="14" t="s">
        <v>260</v>
      </c>
      <c r="Q1478" s="14" t="s">
        <v>260</v>
      </c>
      <c r="R1478" s="14" t="s">
        <v>229</v>
      </c>
    </row>
    <row r="1479" spans="1:18" s="14" customFormat="1" x14ac:dyDescent="0.25">
      <c r="A1479" s="14" t="str">
        <f>"83761"</f>
        <v>83761</v>
      </c>
      <c r="B1479" s="14" t="str">
        <f>"07010"</f>
        <v>07010</v>
      </c>
      <c r="C1479" s="14" t="str">
        <f>"1800"</f>
        <v>1800</v>
      </c>
      <c r="D1479" s="14" t="str">
        <f>""</f>
        <v/>
      </c>
      <c r="E1479" s="14" t="s">
        <v>1467</v>
      </c>
      <c r="F1479" s="14" t="s">
        <v>1002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228</v>
      </c>
      <c r="P1479" s="14" t="s">
        <v>260</v>
      </c>
      <c r="Q1479" s="14" t="s">
        <v>260</v>
      </c>
      <c r="R1479" s="14" t="s">
        <v>229</v>
      </c>
    </row>
    <row r="1480" spans="1:18" s="14" customFormat="1" x14ac:dyDescent="0.25">
      <c r="A1480" s="14" t="str">
        <f>"83762"</f>
        <v>83762</v>
      </c>
      <c r="B1480" s="14" t="str">
        <f>"07010"</f>
        <v>07010</v>
      </c>
      <c r="C1480" s="14" t="str">
        <f>"1800"</f>
        <v>1800</v>
      </c>
      <c r="D1480" s="14" t="str">
        <f>""</f>
        <v/>
      </c>
      <c r="E1480" s="14" t="s">
        <v>1468</v>
      </c>
      <c r="F1480" s="14" t="s">
        <v>1002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228</v>
      </c>
      <c r="P1480" s="14" t="s">
        <v>260</v>
      </c>
      <c r="Q1480" s="14" t="s">
        <v>260</v>
      </c>
      <c r="R1480" s="14" t="s">
        <v>229</v>
      </c>
    </row>
    <row r="1481" spans="1:18" s="14" customFormat="1" x14ac:dyDescent="0.25">
      <c r="A1481" s="14" t="str">
        <f>"83763"</f>
        <v>83763</v>
      </c>
      <c r="B1481" s="14" t="str">
        <f>"07010"</f>
        <v>07010</v>
      </c>
      <c r="C1481" s="14" t="str">
        <f>"1800"</f>
        <v>1800</v>
      </c>
      <c r="D1481" s="14" t="str">
        <f>""</f>
        <v/>
      </c>
      <c r="E1481" s="14" t="s">
        <v>1469</v>
      </c>
      <c r="F1481" s="14" t="s">
        <v>1002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228</v>
      </c>
      <c r="P1481" s="14" t="s">
        <v>260</v>
      </c>
      <c r="Q1481" s="14" t="s">
        <v>260</v>
      </c>
      <c r="R1481" s="14" t="s">
        <v>229</v>
      </c>
    </row>
    <row r="1482" spans="1:18" s="14" customFormat="1" x14ac:dyDescent="0.25">
      <c r="A1482" s="14" t="str">
        <f>"83764"</f>
        <v>83764</v>
      </c>
      <c r="B1482" s="14" t="str">
        <f>"07010"</f>
        <v>07010</v>
      </c>
      <c r="C1482" s="14" t="str">
        <f>"1800"</f>
        <v>1800</v>
      </c>
      <c r="D1482" s="14" t="str">
        <f>""</f>
        <v/>
      </c>
      <c r="E1482" s="14" t="s">
        <v>1470</v>
      </c>
      <c r="F1482" s="14" t="s">
        <v>1002</v>
      </c>
      <c r="G1482" s="14" t="str">
        <f>""</f>
        <v/>
      </c>
      <c r="H1482" s="14" t="str">
        <f>" 00"</f>
        <v xml:space="preserve"> 00</v>
      </c>
      <c r="I1482" s="14">
        <v>0.01</v>
      </c>
      <c r="J1482" s="14">
        <v>9999999.9900000002</v>
      </c>
      <c r="K1482" s="14" t="s">
        <v>228</v>
      </c>
      <c r="P1482" s="14" t="s">
        <v>260</v>
      </c>
      <c r="Q1482" s="14" t="s">
        <v>260</v>
      </c>
      <c r="R1482" s="14" t="s">
        <v>229</v>
      </c>
    </row>
    <row r="1483" spans="1:18" s="14" customFormat="1" x14ac:dyDescent="0.25">
      <c r="A1483" s="14" t="str">
        <f>"83765"</f>
        <v>83765</v>
      </c>
      <c r="B1483" s="14" t="str">
        <f>"07010"</f>
        <v>07010</v>
      </c>
      <c r="C1483" s="14" t="str">
        <f>"1800"</f>
        <v>1800</v>
      </c>
      <c r="D1483" s="14" t="str">
        <f>""</f>
        <v/>
      </c>
      <c r="E1483" s="14" t="s">
        <v>1471</v>
      </c>
      <c r="F1483" s="14" t="s">
        <v>1002</v>
      </c>
      <c r="G1483" s="14" t="str">
        <f>""</f>
        <v/>
      </c>
      <c r="H1483" s="14" t="str">
        <f>" 00"</f>
        <v xml:space="preserve"> 00</v>
      </c>
      <c r="I1483" s="14">
        <v>0.01</v>
      </c>
      <c r="J1483" s="14">
        <v>9999999.9900000002</v>
      </c>
      <c r="K1483" s="14" t="s">
        <v>228</v>
      </c>
      <c r="P1483" s="14" t="s">
        <v>260</v>
      </c>
      <c r="Q1483" s="14" t="s">
        <v>260</v>
      </c>
      <c r="R1483" s="14" t="s">
        <v>229</v>
      </c>
    </row>
    <row r="1484" spans="1:18" s="14" customFormat="1" x14ac:dyDescent="0.25">
      <c r="A1484" s="14" t="str">
        <f>"83766"</f>
        <v>83766</v>
      </c>
      <c r="B1484" s="14" t="str">
        <f>"07010"</f>
        <v>07010</v>
      </c>
      <c r="C1484" s="14" t="str">
        <f>"1800"</f>
        <v>1800</v>
      </c>
      <c r="D1484" s="14" t="str">
        <f>""</f>
        <v/>
      </c>
      <c r="E1484" s="14" t="s">
        <v>1472</v>
      </c>
      <c r="F1484" s="14" t="s">
        <v>1002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228</v>
      </c>
      <c r="P1484" s="14" t="s">
        <v>260</v>
      </c>
      <c r="Q1484" s="14" t="s">
        <v>260</v>
      </c>
      <c r="R1484" s="14" t="s">
        <v>229</v>
      </c>
    </row>
    <row r="1485" spans="1:18" s="14" customFormat="1" x14ac:dyDescent="0.25">
      <c r="A1485" s="14" t="str">
        <f>"83767"</f>
        <v>83767</v>
      </c>
      <c r="B1485" s="14" t="str">
        <f>"07010"</f>
        <v>07010</v>
      </c>
      <c r="C1485" s="14" t="str">
        <f>"1800"</f>
        <v>1800</v>
      </c>
      <c r="D1485" s="14" t="str">
        <f>""</f>
        <v/>
      </c>
      <c r="E1485" s="14" t="s">
        <v>1473</v>
      </c>
      <c r="F1485" s="14" t="s">
        <v>1002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228</v>
      </c>
      <c r="P1485" s="14" t="s">
        <v>260</v>
      </c>
      <c r="Q1485" s="14" t="s">
        <v>260</v>
      </c>
      <c r="R1485" s="14" t="s">
        <v>229</v>
      </c>
    </row>
    <row r="1486" spans="1:18" s="14" customFormat="1" x14ac:dyDescent="0.25">
      <c r="A1486" s="14" t="str">
        <f>"83768"</f>
        <v>83768</v>
      </c>
      <c r="B1486" s="14" t="str">
        <f>"07010"</f>
        <v>07010</v>
      </c>
      <c r="C1486" s="14" t="str">
        <f>"1800"</f>
        <v>1800</v>
      </c>
      <c r="D1486" s="14" t="str">
        <f>""</f>
        <v/>
      </c>
      <c r="E1486" s="14" t="s">
        <v>1474</v>
      </c>
      <c r="F1486" s="14" t="s">
        <v>1002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228</v>
      </c>
      <c r="P1486" s="14" t="s">
        <v>260</v>
      </c>
      <c r="Q1486" s="14" t="s">
        <v>260</v>
      </c>
      <c r="R1486" s="14" t="s">
        <v>229</v>
      </c>
    </row>
    <row r="1487" spans="1:18" s="14" customFormat="1" x14ac:dyDescent="0.25">
      <c r="A1487" s="14" t="str">
        <f>"83769"</f>
        <v>83769</v>
      </c>
      <c r="B1487" s="14" t="str">
        <f>"07010"</f>
        <v>07010</v>
      </c>
      <c r="C1487" s="14" t="str">
        <f>"1800"</f>
        <v>1800</v>
      </c>
      <c r="D1487" s="14" t="str">
        <f>""</f>
        <v/>
      </c>
      <c r="E1487" s="14" t="s">
        <v>1475</v>
      </c>
      <c r="F1487" s="14" t="s">
        <v>1002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228</v>
      </c>
      <c r="P1487" s="14" t="s">
        <v>260</v>
      </c>
      <c r="Q1487" s="14" t="s">
        <v>260</v>
      </c>
      <c r="R1487" s="14" t="s">
        <v>229</v>
      </c>
    </row>
    <row r="1488" spans="1:18" s="14" customFormat="1" x14ac:dyDescent="0.25">
      <c r="A1488" s="14" t="str">
        <f>"83770"</f>
        <v>83770</v>
      </c>
      <c r="B1488" s="14" t="str">
        <f>"07010"</f>
        <v>07010</v>
      </c>
      <c r="C1488" s="14" t="str">
        <f>"1800"</f>
        <v>1800</v>
      </c>
      <c r="D1488" s="14" t="str">
        <f>""</f>
        <v/>
      </c>
      <c r="E1488" s="14" t="s">
        <v>1476</v>
      </c>
      <c r="F1488" s="14" t="s">
        <v>1002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228</v>
      </c>
      <c r="P1488" s="14" t="s">
        <v>260</v>
      </c>
      <c r="Q1488" s="14" t="s">
        <v>260</v>
      </c>
      <c r="R1488" s="14" t="s">
        <v>229</v>
      </c>
    </row>
    <row r="1489" spans="1:18" s="14" customFormat="1" x14ac:dyDescent="0.25">
      <c r="A1489" s="14" t="str">
        <f>"83771"</f>
        <v>83771</v>
      </c>
      <c r="B1489" s="14" t="str">
        <f>"07010"</f>
        <v>07010</v>
      </c>
      <c r="C1489" s="14" t="str">
        <f>"1800"</f>
        <v>1800</v>
      </c>
      <c r="D1489" s="14" t="str">
        <f>""</f>
        <v/>
      </c>
      <c r="E1489" s="14" t="s">
        <v>1477</v>
      </c>
      <c r="F1489" s="14" t="s">
        <v>1002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228</v>
      </c>
      <c r="P1489" s="14" t="s">
        <v>260</v>
      </c>
      <c r="Q1489" s="14" t="s">
        <v>260</v>
      </c>
      <c r="R1489" s="14" t="s">
        <v>229</v>
      </c>
    </row>
    <row r="1490" spans="1:18" s="14" customFormat="1" x14ac:dyDescent="0.25">
      <c r="A1490" s="14" t="str">
        <f>"83772"</f>
        <v>83772</v>
      </c>
      <c r="B1490" s="14" t="str">
        <f>"07010"</f>
        <v>07010</v>
      </c>
      <c r="C1490" s="14" t="str">
        <f>"1800"</f>
        <v>1800</v>
      </c>
      <c r="D1490" s="14" t="str">
        <f>""</f>
        <v/>
      </c>
      <c r="E1490" s="14" t="s">
        <v>1478</v>
      </c>
      <c r="F1490" s="14" t="s">
        <v>1002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228</v>
      </c>
      <c r="P1490" s="14" t="s">
        <v>260</v>
      </c>
      <c r="Q1490" s="14" t="s">
        <v>260</v>
      </c>
      <c r="R1490" s="14" t="s">
        <v>229</v>
      </c>
    </row>
    <row r="1491" spans="1:18" s="14" customFormat="1" x14ac:dyDescent="0.25">
      <c r="A1491" s="14" t="str">
        <f>"83773"</f>
        <v>83773</v>
      </c>
      <c r="B1491" s="14" t="str">
        <f>"07010"</f>
        <v>07010</v>
      </c>
      <c r="C1491" s="14" t="str">
        <f>"1800"</f>
        <v>1800</v>
      </c>
      <c r="D1491" s="14" t="str">
        <f>""</f>
        <v/>
      </c>
      <c r="E1491" s="14" t="s">
        <v>1479</v>
      </c>
      <c r="F1491" s="14" t="s">
        <v>1002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228</v>
      </c>
      <c r="P1491" s="14" t="s">
        <v>260</v>
      </c>
      <c r="Q1491" s="14" t="s">
        <v>260</v>
      </c>
      <c r="R1491" s="14" t="s">
        <v>229</v>
      </c>
    </row>
    <row r="1492" spans="1:18" s="14" customFormat="1" x14ac:dyDescent="0.25">
      <c r="A1492" s="14" t="str">
        <f>"83774"</f>
        <v>83774</v>
      </c>
      <c r="B1492" s="14" t="str">
        <f>"07010"</f>
        <v>07010</v>
      </c>
      <c r="C1492" s="14" t="str">
        <f>"1800"</f>
        <v>1800</v>
      </c>
      <c r="D1492" s="14" t="str">
        <f>""</f>
        <v/>
      </c>
      <c r="E1492" s="14" t="s">
        <v>1480</v>
      </c>
      <c r="F1492" s="14" t="s">
        <v>1002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228</v>
      </c>
      <c r="P1492" s="14" t="s">
        <v>260</v>
      </c>
      <c r="Q1492" s="14" t="s">
        <v>260</v>
      </c>
      <c r="R1492" s="14" t="s">
        <v>229</v>
      </c>
    </row>
    <row r="1493" spans="1:18" s="14" customFormat="1" x14ac:dyDescent="0.25">
      <c r="A1493" s="14" t="str">
        <f>"83775"</f>
        <v>83775</v>
      </c>
      <c r="B1493" s="14" t="str">
        <f>"07010"</f>
        <v>07010</v>
      </c>
      <c r="C1493" s="14" t="str">
        <f>"1800"</f>
        <v>1800</v>
      </c>
      <c r="D1493" s="14" t="str">
        <f>""</f>
        <v/>
      </c>
      <c r="E1493" s="14" t="s">
        <v>1481</v>
      </c>
      <c r="F1493" s="14" t="s">
        <v>1002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228</v>
      </c>
      <c r="P1493" s="14" t="s">
        <v>260</v>
      </c>
      <c r="Q1493" s="14" t="s">
        <v>260</v>
      </c>
      <c r="R1493" s="14" t="s">
        <v>229</v>
      </c>
    </row>
    <row r="1494" spans="1:18" s="14" customFormat="1" x14ac:dyDescent="0.25">
      <c r="A1494" s="14" t="str">
        <f>"83776"</f>
        <v>83776</v>
      </c>
      <c r="B1494" s="14" t="str">
        <f>"07010"</f>
        <v>07010</v>
      </c>
      <c r="C1494" s="14" t="str">
        <f>"1800"</f>
        <v>1800</v>
      </c>
      <c r="D1494" s="14" t="str">
        <f>""</f>
        <v/>
      </c>
      <c r="E1494" s="14" t="s">
        <v>1482</v>
      </c>
      <c r="F1494" s="14" t="s">
        <v>1002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228</v>
      </c>
      <c r="P1494" s="14" t="s">
        <v>260</v>
      </c>
      <c r="Q1494" s="14" t="s">
        <v>260</v>
      </c>
      <c r="R1494" s="14" t="s">
        <v>229</v>
      </c>
    </row>
    <row r="1495" spans="1:18" s="14" customFormat="1" x14ac:dyDescent="0.25">
      <c r="A1495" s="14" t="str">
        <f>"83777"</f>
        <v>83777</v>
      </c>
      <c r="B1495" s="14" t="str">
        <f>"07010"</f>
        <v>07010</v>
      </c>
      <c r="C1495" s="14" t="str">
        <f>"1800"</f>
        <v>1800</v>
      </c>
      <c r="D1495" s="14" t="str">
        <f>""</f>
        <v/>
      </c>
      <c r="E1495" s="14" t="s">
        <v>1483</v>
      </c>
      <c r="F1495" s="14" t="s">
        <v>1002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228</v>
      </c>
      <c r="P1495" s="14" t="s">
        <v>260</v>
      </c>
      <c r="Q1495" s="14" t="s">
        <v>260</v>
      </c>
      <c r="R1495" s="14" t="s">
        <v>229</v>
      </c>
    </row>
    <row r="1496" spans="1:18" s="14" customFormat="1" x14ac:dyDescent="0.25">
      <c r="A1496" s="14" t="str">
        <f>"83778"</f>
        <v>83778</v>
      </c>
      <c r="B1496" s="14" t="str">
        <f>"07010"</f>
        <v>07010</v>
      </c>
      <c r="C1496" s="14" t="str">
        <f>"1800"</f>
        <v>1800</v>
      </c>
      <c r="D1496" s="14" t="str">
        <f>""</f>
        <v/>
      </c>
      <c r="E1496" s="14" t="s">
        <v>1484</v>
      </c>
      <c r="F1496" s="14" t="s">
        <v>1002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228</v>
      </c>
      <c r="P1496" s="14" t="s">
        <v>260</v>
      </c>
      <c r="Q1496" s="14" t="s">
        <v>260</v>
      </c>
      <c r="R1496" s="14" t="s">
        <v>229</v>
      </c>
    </row>
    <row r="1497" spans="1:18" s="14" customFormat="1" x14ac:dyDescent="0.25">
      <c r="A1497" s="14" t="str">
        <f>"83779"</f>
        <v>83779</v>
      </c>
      <c r="B1497" s="14" t="str">
        <f>"07010"</f>
        <v>07010</v>
      </c>
      <c r="C1497" s="14" t="str">
        <f>"1800"</f>
        <v>1800</v>
      </c>
      <c r="D1497" s="14" t="str">
        <f>""</f>
        <v/>
      </c>
      <c r="E1497" s="14" t="s">
        <v>1485</v>
      </c>
      <c r="F1497" s="14" t="s">
        <v>1002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228</v>
      </c>
      <c r="P1497" s="14" t="s">
        <v>260</v>
      </c>
      <c r="Q1497" s="14" t="s">
        <v>260</v>
      </c>
      <c r="R1497" s="14" t="s">
        <v>229</v>
      </c>
    </row>
    <row r="1498" spans="1:18" s="14" customFormat="1" x14ac:dyDescent="0.25">
      <c r="A1498" s="14" t="str">
        <f>"83780"</f>
        <v>83780</v>
      </c>
      <c r="B1498" s="14" t="str">
        <f>"07010"</f>
        <v>07010</v>
      </c>
      <c r="C1498" s="14" t="str">
        <f>"1800"</f>
        <v>1800</v>
      </c>
      <c r="D1498" s="14" t="str">
        <f>""</f>
        <v/>
      </c>
      <c r="E1498" s="14" t="s">
        <v>1486</v>
      </c>
      <c r="F1498" s="14" t="s">
        <v>1002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228</v>
      </c>
      <c r="P1498" s="14" t="s">
        <v>260</v>
      </c>
      <c r="Q1498" s="14" t="s">
        <v>260</v>
      </c>
      <c r="R1498" s="14" t="s">
        <v>229</v>
      </c>
    </row>
    <row r="1499" spans="1:18" s="14" customFormat="1" x14ac:dyDescent="0.25">
      <c r="A1499" s="14" t="str">
        <f>"83781"</f>
        <v>83781</v>
      </c>
      <c r="B1499" s="14" t="str">
        <f>"07010"</f>
        <v>07010</v>
      </c>
      <c r="C1499" s="14" t="str">
        <f>"1800"</f>
        <v>1800</v>
      </c>
      <c r="D1499" s="14" t="str">
        <f>""</f>
        <v/>
      </c>
      <c r="E1499" s="14" t="s">
        <v>1487</v>
      </c>
      <c r="F1499" s="14" t="s">
        <v>1002</v>
      </c>
      <c r="G1499" s="14" t="str">
        <f>""</f>
        <v/>
      </c>
      <c r="H1499" s="14" t="str">
        <f>" 00"</f>
        <v xml:space="preserve"> 00</v>
      </c>
      <c r="I1499" s="14">
        <v>0.01</v>
      </c>
      <c r="J1499" s="14">
        <v>9999999.9900000002</v>
      </c>
      <c r="K1499" s="14" t="s">
        <v>228</v>
      </c>
      <c r="P1499" s="14" t="s">
        <v>260</v>
      </c>
      <c r="Q1499" s="14" t="s">
        <v>260</v>
      </c>
      <c r="R1499" s="14" t="s">
        <v>229</v>
      </c>
    </row>
    <row r="1500" spans="1:18" s="14" customFormat="1" x14ac:dyDescent="0.25">
      <c r="A1500" s="14" t="str">
        <f>"83782"</f>
        <v>83782</v>
      </c>
      <c r="B1500" s="14" t="str">
        <f>"07010"</f>
        <v>07010</v>
      </c>
      <c r="C1500" s="14" t="str">
        <f>"1800"</f>
        <v>1800</v>
      </c>
      <c r="D1500" s="14" t="str">
        <f>""</f>
        <v/>
      </c>
      <c r="E1500" s="14" t="s">
        <v>1488</v>
      </c>
      <c r="F1500" s="14" t="s">
        <v>1002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228</v>
      </c>
      <c r="P1500" s="14" t="s">
        <v>260</v>
      </c>
      <c r="Q1500" s="14" t="s">
        <v>260</v>
      </c>
      <c r="R1500" s="14" t="s">
        <v>229</v>
      </c>
    </row>
    <row r="1501" spans="1:18" s="14" customFormat="1" x14ac:dyDescent="0.25">
      <c r="A1501" s="14" t="str">
        <f>"83783"</f>
        <v>83783</v>
      </c>
      <c r="B1501" s="14" t="str">
        <f>"07010"</f>
        <v>07010</v>
      </c>
      <c r="C1501" s="14" t="str">
        <f>"1800"</f>
        <v>1800</v>
      </c>
      <c r="D1501" s="14" t="str">
        <f>""</f>
        <v/>
      </c>
      <c r="E1501" s="14" t="s">
        <v>1489</v>
      </c>
      <c r="F1501" s="14" t="s">
        <v>1002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228</v>
      </c>
      <c r="P1501" s="14" t="s">
        <v>260</v>
      </c>
      <c r="Q1501" s="14" t="s">
        <v>260</v>
      </c>
      <c r="R1501" s="14" t="s">
        <v>229</v>
      </c>
    </row>
    <row r="1502" spans="1:18" s="14" customFormat="1" x14ac:dyDescent="0.25">
      <c r="A1502" s="14" t="str">
        <f>"83784"</f>
        <v>83784</v>
      </c>
      <c r="B1502" s="14" t="str">
        <f>"07010"</f>
        <v>07010</v>
      </c>
      <c r="C1502" s="14" t="str">
        <f>"1800"</f>
        <v>1800</v>
      </c>
      <c r="D1502" s="14" t="str">
        <f>""</f>
        <v/>
      </c>
      <c r="E1502" s="14" t="s">
        <v>1490</v>
      </c>
      <c r="F1502" s="14" t="s">
        <v>1002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228</v>
      </c>
      <c r="P1502" s="14" t="s">
        <v>260</v>
      </c>
      <c r="Q1502" s="14" t="s">
        <v>260</v>
      </c>
      <c r="R1502" s="14" t="s">
        <v>229</v>
      </c>
    </row>
    <row r="1503" spans="1:18" s="14" customFormat="1" x14ac:dyDescent="0.25">
      <c r="A1503" s="14" t="str">
        <f>"83785"</f>
        <v>83785</v>
      </c>
      <c r="B1503" s="14" t="str">
        <f>"07010"</f>
        <v>07010</v>
      </c>
      <c r="C1503" s="14" t="str">
        <f>"1800"</f>
        <v>1800</v>
      </c>
      <c r="D1503" s="14" t="str">
        <f>""</f>
        <v/>
      </c>
      <c r="E1503" s="14" t="s">
        <v>1491</v>
      </c>
      <c r="F1503" s="14" t="s">
        <v>1002</v>
      </c>
      <c r="G1503" s="14" t="str">
        <f>""</f>
        <v/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228</v>
      </c>
      <c r="P1503" s="14" t="s">
        <v>260</v>
      </c>
      <c r="Q1503" s="14" t="s">
        <v>260</v>
      </c>
      <c r="R1503" s="14" t="s">
        <v>229</v>
      </c>
    </row>
    <row r="1504" spans="1:18" s="14" customFormat="1" x14ac:dyDescent="0.25">
      <c r="A1504" s="14" t="str">
        <f>"83786"</f>
        <v>83786</v>
      </c>
      <c r="B1504" s="14" t="str">
        <f>"07010"</f>
        <v>07010</v>
      </c>
      <c r="C1504" s="14" t="str">
        <f>"1800"</f>
        <v>1800</v>
      </c>
      <c r="D1504" s="14" t="str">
        <f>""</f>
        <v/>
      </c>
      <c r="E1504" s="14" t="s">
        <v>1492</v>
      </c>
      <c r="F1504" s="14" t="s">
        <v>1002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228</v>
      </c>
      <c r="P1504" s="14" t="s">
        <v>260</v>
      </c>
      <c r="Q1504" s="14" t="s">
        <v>260</v>
      </c>
      <c r="R1504" s="14" t="s">
        <v>229</v>
      </c>
    </row>
    <row r="1505" spans="1:18" s="14" customFormat="1" x14ac:dyDescent="0.25">
      <c r="A1505" s="14" t="str">
        <f>"83787"</f>
        <v>83787</v>
      </c>
      <c r="B1505" s="14" t="str">
        <f>"07010"</f>
        <v>07010</v>
      </c>
      <c r="C1505" s="14" t="str">
        <f>"1800"</f>
        <v>1800</v>
      </c>
      <c r="D1505" s="14" t="str">
        <f>""</f>
        <v/>
      </c>
      <c r="E1505" s="14" t="s">
        <v>1493</v>
      </c>
      <c r="F1505" s="14" t="s">
        <v>1002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228</v>
      </c>
      <c r="P1505" s="14" t="s">
        <v>260</v>
      </c>
      <c r="Q1505" s="14" t="s">
        <v>260</v>
      </c>
      <c r="R1505" s="14" t="s">
        <v>229</v>
      </c>
    </row>
    <row r="1506" spans="1:18" s="14" customFormat="1" x14ac:dyDescent="0.25">
      <c r="A1506" s="14" t="str">
        <f>"83788"</f>
        <v>83788</v>
      </c>
      <c r="B1506" s="14" t="str">
        <f>"07010"</f>
        <v>07010</v>
      </c>
      <c r="C1506" s="14" t="str">
        <f>"1800"</f>
        <v>1800</v>
      </c>
      <c r="D1506" s="14" t="str">
        <f>""</f>
        <v/>
      </c>
      <c r="E1506" s="14" t="s">
        <v>1494</v>
      </c>
      <c r="F1506" s="14" t="s">
        <v>1002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228</v>
      </c>
      <c r="P1506" s="14" t="s">
        <v>260</v>
      </c>
      <c r="Q1506" s="14" t="s">
        <v>260</v>
      </c>
      <c r="R1506" s="14" t="s">
        <v>229</v>
      </c>
    </row>
    <row r="1507" spans="1:18" s="14" customFormat="1" x14ac:dyDescent="0.25">
      <c r="A1507" s="14" t="str">
        <f>"83789"</f>
        <v>83789</v>
      </c>
      <c r="B1507" s="14" t="str">
        <f>"07010"</f>
        <v>07010</v>
      </c>
      <c r="C1507" s="14" t="str">
        <f>"1800"</f>
        <v>1800</v>
      </c>
      <c r="D1507" s="14" t="str">
        <f>""</f>
        <v/>
      </c>
      <c r="E1507" s="14" t="s">
        <v>1495</v>
      </c>
      <c r="F1507" s="14" t="s">
        <v>1002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228</v>
      </c>
      <c r="P1507" s="14" t="s">
        <v>260</v>
      </c>
      <c r="Q1507" s="14" t="s">
        <v>260</v>
      </c>
      <c r="R1507" s="14" t="s">
        <v>229</v>
      </c>
    </row>
    <row r="1508" spans="1:18" s="14" customFormat="1" x14ac:dyDescent="0.25">
      <c r="A1508" s="14" t="str">
        <f>"83790"</f>
        <v>83790</v>
      </c>
      <c r="B1508" s="14" t="str">
        <f>"07010"</f>
        <v>07010</v>
      </c>
      <c r="C1508" s="14" t="str">
        <f>"1800"</f>
        <v>1800</v>
      </c>
      <c r="D1508" s="14" t="str">
        <f>""</f>
        <v/>
      </c>
      <c r="E1508" s="14" t="s">
        <v>1496</v>
      </c>
      <c r="F1508" s="14" t="s">
        <v>1002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228</v>
      </c>
      <c r="P1508" s="14" t="s">
        <v>260</v>
      </c>
      <c r="Q1508" s="14" t="s">
        <v>260</v>
      </c>
      <c r="R1508" s="14" t="s">
        <v>229</v>
      </c>
    </row>
    <row r="1509" spans="1:18" s="14" customFormat="1" x14ac:dyDescent="0.25">
      <c r="A1509" s="14" t="str">
        <f>"83791"</f>
        <v>83791</v>
      </c>
      <c r="B1509" s="14" t="str">
        <f>"07010"</f>
        <v>07010</v>
      </c>
      <c r="C1509" s="14" t="str">
        <f>"1800"</f>
        <v>1800</v>
      </c>
      <c r="D1509" s="14" t="str">
        <f>""</f>
        <v/>
      </c>
      <c r="E1509" s="14" t="s">
        <v>1497</v>
      </c>
      <c r="F1509" s="14" t="s">
        <v>1002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228</v>
      </c>
      <c r="P1509" s="14" t="s">
        <v>260</v>
      </c>
      <c r="Q1509" s="14" t="s">
        <v>260</v>
      </c>
      <c r="R1509" s="14" t="s">
        <v>229</v>
      </c>
    </row>
    <row r="1510" spans="1:18" s="14" customFormat="1" x14ac:dyDescent="0.25">
      <c r="A1510" s="14" t="str">
        <f>"83792"</f>
        <v>83792</v>
      </c>
      <c r="B1510" s="14" t="str">
        <f>"07010"</f>
        <v>07010</v>
      </c>
      <c r="C1510" s="14" t="str">
        <f>"1800"</f>
        <v>1800</v>
      </c>
      <c r="D1510" s="14" t="str">
        <f>""</f>
        <v/>
      </c>
      <c r="E1510" s="14" t="s">
        <v>1498</v>
      </c>
      <c r="F1510" s="14" t="s">
        <v>1002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228</v>
      </c>
      <c r="P1510" s="14" t="s">
        <v>260</v>
      </c>
      <c r="Q1510" s="14" t="s">
        <v>260</v>
      </c>
      <c r="R1510" s="14" t="s">
        <v>229</v>
      </c>
    </row>
    <row r="1511" spans="1:18" s="14" customFormat="1" x14ac:dyDescent="0.25">
      <c r="A1511" s="14" t="str">
        <f>"83793"</f>
        <v>83793</v>
      </c>
      <c r="B1511" s="14" t="str">
        <f>"07010"</f>
        <v>07010</v>
      </c>
      <c r="C1511" s="14" t="str">
        <f>"1800"</f>
        <v>1800</v>
      </c>
      <c r="D1511" s="14" t="str">
        <f>""</f>
        <v/>
      </c>
      <c r="E1511" s="14" t="s">
        <v>1499</v>
      </c>
      <c r="F1511" s="14" t="s">
        <v>1002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228</v>
      </c>
      <c r="P1511" s="14" t="s">
        <v>260</v>
      </c>
      <c r="Q1511" s="14" t="s">
        <v>260</v>
      </c>
      <c r="R1511" s="14" t="s">
        <v>229</v>
      </c>
    </row>
    <row r="1512" spans="1:18" s="14" customFormat="1" x14ac:dyDescent="0.25">
      <c r="A1512" s="14" t="str">
        <f>"83794"</f>
        <v>83794</v>
      </c>
      <c r="B1512" s="14" t="str">
        <f>"07010"</f>
        <v>07010</v>
      </c>
      <c r="C1512" s="14" t="str">
        <f>"1800"</f>
        <v>1800</v>
      </c>
      <c r="D1512" s="14" t="str">
        <f>""</f>
        <v/>
      </c>
      <c r="E1512" s="14" t="s">
        <v>1500</v>
      </c>
      <c r="F1512" s="14" t="s">
        <v>1002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228</v>
      </c>
      <c r="P1512" s="14" t="s">
        <v>260</v>
      </c>
      <c r="Q1512" s="14" t="s">
        <v>260</v>
      </c>
      <c r="R1512" s="14" t="s">
        <v>229</v>
      </c>
    </row>
    <row r="1513" spans="1:18" s="14" customFormat="1" x14ac:dyDescent="0.25">
      <c r="A1513" s="14" t="str">
        <f>"83795"</f>
        <v>83795</v>
      </c>
      <c r="B1513" s="14" t="str">
        <f>"07010"</f>
        <v>07010</v>
      </c>
      <c r="C1513" s="14" t="str">
        <f>"1800"</f>
        <v>1800</v>
      </c>
      <c r="D1513" s="14" t="str">
        <f>""</f>
        <v/>
      </c>
      <c r="E1513" s="14" t="s">
        <v>1501</v>
      </c>
      <c r="F1513" s="14" t="s">
        <v>1002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228</v>
      </c>
      <c r="P1513" s="14" t="s">
        <v>260</v>
      </c>
      <c r="Q1513" s="14" t="s">
        <v>260</v>
      </c>
      <c r="R1513" s="14" t="s">
        <v>229</v>
      </c>
    </row>
    <row r="1514" spans="1:18" s="14" customFormat="1" x14ac:dyDescent="0.25">
      <c r="A1514" s="14" t="str">
        <f>"83796"</f>
        <v>83796</v>
      </c>
      <c r="B1514" s="14" t="str">
        <f>"07010"</f>
        <v>07010</v>
      </c>
      <c r="C1514" s="14" t="str">
        <f>"1800"</f>
        <v>1800</v>
      </c>
      <c r="D1514" s="14" t="str">
        <f>""</f>
        <v/>
      </c>
      <c r="E1514" s="14" t="s">
        <v>1502</v>
      </c>
      <c r="F1514" s="14" t="s">
        <v>1002</v>
      </c>
      <c r="G1514" s="14" t="str">
        <f>""</f>
        <v/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228</v>
      </c>
      <c r="P1514" s="14" t="s">
        <v>260</v>
      </c>
      <c r="Q1514" s="14" t="s">
        <v>260</v>
      </c>
      <c r="R1514" s="14" t="s">
        <v>229</v>
      </c>
    </row>
    <row r="1515" spans="1:18" s="14" customFormat="1" x14ac:dyDescent="0.25">
      <c r="A1515" s="14" t="str">
        <f>"83797"</f>
        <v>83797</v>
      </c>
      <c r="B1515" s="14" t="str">
        <f>"07010"</f>
        <v>07010</v>
      </c>
      <c r="C1515" s="14" t="str">
        <f>"1800"</f>
        <v>1800</v>
      </c>
      <c r="D1515" s="14" t="str">
        <f>""</f>
        <v/>
      </c>
      <c r="E1515" s="14" t="s">
        <v>1503</v>
      </c>
      <c r="F1515" s="14" t="s">
        <v>1002</v>
      </c>
      <c r="G1515" s="14" t="str">
        <f>""</f>
        <v/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228</v>
      </c>
      <c r="P1515" s="14" t="s">
        <v>260</v>
      </c>
      <c r="Q1515" s="14" t="s">
        <v>260</v>
      </c>
      <c r="R1515" s="14" t="s">
        <v>229</v>
      </c>
    </row>
    <row r="1516" spans="1:18" s="14" customFormat="1" x14ac:dyDescent="0.25">
      <c r="A1516" s="14" t="str">
        <f>"83798"</f>
        <v>83798</v>
      </c>
      <c r="B1516" s="14" t="str">
        <f>"07010"</f>
        <v>07010</v>
      </c>
      <c r="C1516" s="14" t="str">
        <f>"1800"</f>
        <v>1800</v>
      </c>
      <c r="D1516" s="14" t="str">
        <f>""</f>
        <v/>
      </c>
      <c r="E1516" s="14" t="s">
        <v>1504</v>
      </c>
      <c r="F1516" s="14" t="s">
        <v>1002</v>
      </c>
      <c r="G1516" s="14" t="str">
        <f>""</f>
        <v/>
      </c>
      <c r="H1516" s="14" t="str">
        <f>" 00"</f>
        <v xml:space="preserve"> 00</v>
      </c>
      <c r="I1516" s="14">
        <v>0.01</v>
      </c>
      <c r="J1516" s="14">
        <v>9999999.9900000002</v>
      </c>
      <c r="K1516" s="14" t="s">
        <v>228</v>
      </c>
      <c r="P1516" s="14" t="s">
        <v>260</v>
      </c>
      <c r="Q1516" s="14" t="s">
        <v>260</v>
      </c>
      <c r="R1516" s="14" t="s">
        <v>229</v>
      </c>
    </row>
    <row r="1517" spans="1:18" s="14" customFormat="1" x14ac:dyDescent="0.25">
      <c r="A1517" s="14" t="str">
        <f>"83799"</f>
        <v>83799</v>
      </c>
      <c r="B1517" s="14" t="str">
        <f>"07010"</f>
        <v>07010</v>
      </c>
      <c r="C1517" s="14" t="str">
        <f>"1800"</f>
        <v>1800</v>
      </c>
      <c r="D1517" s="14" t="str">
        <f>""</f>
        <v/>
      </c>
      <c r="E1517" s="14" t="s">
        <v>1505</v>
      </c>
      <c r="F1517" s="14" t="s">
        <v>1002</v>
      </c>
      <c r="G1517" s="14" t="str">
        <f>""</f>
        <v/>
      </c>
      <c r="H1517" s="14" t="str">
        <f>" 00"</f>
        <v xml:space="preserve"> 00</v>
      </c>
      <c r="I1517" s="14">
        <v>0.01</v>
      </c>
      <c r="J1517" s="14">
        <v>9999999.9900000002</v>
      </c>
      <c r="K1517" s="14" t="s">
        <v>228</v>
      </c>
      <c r="P1517" s="14" t="s">
        <v>260</v>
      </c>
      <c r="Q1517" s="14" t="s">
        <v>260</v>
      </c>
      <c r="R1517" s="14" t="s">
        <v>229</v>
      </c>
    </row>
    <row r="1518" spans="1:18" s="14" customFormat="1" x14ac:dyDescent="0.25">
      <c r="A1518" s="14" t="str">
        <f>"83801"</f>
        <v>83801</v>
      </c>
      <c r="B1518" s="14" t="str">
        <f>"07010"</f>
        <v>07010</v>
      </c>
      <c r="C1518" s="14" t="str">
        <f>"1800"</f>
        <v>1800</v>
      </c>
      <c r="D1518" s="14" t="str">
        <f>""</f>
        <v/>
      </c>
      <c r="E1518" s="14" t="s">
        <v>1506</v>
      </c>
      <c r="F1518" s="14" t="s">
        <v>1002</v>
      </c>
      <c r="G1518" s="14" t="str">
        <f>""</f>
        <v/>
      </c>
      <c r="H1518" s="14" t="str">
        <f>" 00"</f>
        <v xml:space="preserve"> 00</v>
      </c>
      <c r="I1518" s="14">
        <v>0.01</v>
      </c>
      <c r="J1518" s="14">
        <v>9999999.9900000002</v>
      </c>
      <c r="K1518" s="14" t="s">
        <v>228</v>
      </c>
      <c r="P1518" s="14" t="s">
        <v>260</v>
      </c>
      <c r="Q1518" s="14" t="s">
        <v>260</v>
      </c>
      <c r="R1518" s="14" t="s">
        <v>229</v>
      </c>
    </row>
    <row r="1519" spans="1:18" s="14" customFormat="1" x14ac:dyDescent="0.25">
      <c r="A1519" s="14" t="str">
        <f>"83802"</f>
        <v>83802</v>
      </c>
      <c r="B1519" s="14" t="str">
        <f>"07010"</f>
        <v>07010</v>
      </c>
      <c r="C1519" s="14" t="str">
        <f>"1800"</f>
        <v>1800</v>
      </c>
      <c r="D1519" s="14" t="str">
        <f>""</f>
        <v/>
      </c>
      <c r="E1519" s="14" t="s">
        <v>1507</v>
      </c>
      <c r="F1519" s="14" t="s">
        <v>1002</v>
      </c>
      <c r="G1519" s="14" t="str">
        <f>""</f>
        <v/>
      </c>
      <c r="H1519" s="14" t="str">
        <f>" 00"</f>
        <v xml:space="preserve"> 00</v>
      </c>
      <c r="I1519" s="14">
        <v>0.01</v>
      </c>
      <c r="J1519" s="14">
        <v>9999999.9900000002</v>
      </c>
      <c r="K1519" s="14" t="s">
        <v>228</v>
      </c>
      <c r="P1519" s="14" t="s">
        <v>260</v>
      </c>
      <c r="Q1519" s="14" t="s">
        <v>260</v>
      </c>
      <c r="R1519" s="14" t="s">
        <v>229</v>
      </c>
    </row>
    <row r="1520" spans="1:18" s="14" customFormat="1" x14ac:dyDescent="0.25">
      <c r="A1520" s="14" t="str">
        <f>"83803"</f>
        <v>83803</v>
      </c>
      <c r="B1520" s="14" t="str">
        <f>"07010"</f>
        <v>07010</v>
      </c>
      <c r="C1520" s="14" t="str">
        <f>"1800"</f>
        <v>1800</v>
      </c>
      <c r="D1520" s="14" t="str">
        <f>""</f>
        <v/>
      </c>
      <c r="E1520" s="14" t="s">
        <v>1508</v>
      </c>
      <c r="F1520" s="14" t="s">
        <v>1002</v>
      </c>
      <c r="G1520" s="14" t="str">
        <f>""</f>
        <v/>
      </c>
      <c r="H1520" s="14" t="str">
        <f>" 00"</f>
        <v xml:space="preserve"> 00</v>
      </c>
      <c r="I1520" s="14">
        <v>0.01</v>
      </c>
      <c r="J1520" s="14">
        <v>9999999.9900000002</v>
      </c>
      <c r="K1520" s="14" t="s">
        <v>228</v>
      </c>
      <c r="P1520" s="14" t="s">
        <v>260</v>
      </c>
      <c r="Q1520" s="14" t="s">
        <v>260</v>
      </c>
      <c r="R1520" s="14" t="s">
        <v>229</v>
      </c>
    </row>
    <row r="1521" spans="1:18" s="14" customFormat="1" x14ac:dyDescent="0.25">
      <c r="A1521" s="14" t="str">
        <f>"83804"</f>
        <v>83804</v>
      </c>
      <c r="B1521" s="14" t="str">
        <f>"07010"</f>
        <v>07010</v>
      </c>
      <c r="C1521" s="14" t="str">
        <f>"1800"</f>
        <v>1800</v>
      </c>
      <c r="D1521" s="14" t="str">
        <f>""</f>
        <v/>
      </c>
      <c r="E1521" s="14" t="s">
        <v>1509</v>
      </c>
      <c r="F1521" s="14" t="s">
        <v>1002</v>
      </c>
      <c r="G1521" s="14" t="str">
        <f>""</f>
        <v/>
      </c>
      <c r="H1521" s="14" t="str">
        <f>" 00"</f>
        <v xml:space="preserve"> 00</v>
      </c>
      <c r="I1521" s="14">
        <v>0.01</v>
      </c>
      <c r="J1521" s="14">
        <v>9999999.9900000002</v>
      </c>
      <c r="K1521" s="14" t="s">
        <v>228</v>
      </c>
      <c r="P1521" s="14" t="s">
        <v>260</v>
      </c>
      <c r="Q1521" s="14" t="s">
        <v>260</v>
      </c>
      <c r="R1521" s="14" t="s">
        <v>229</v>
      </c>
    </row>
    <row r="1522" spans="1:18" s="14" customFormat="1" x14ac:dyDescent="0.25">
      <c r="A1522" s="14" t="str">
        <f>"83805"</f>
        <v>83805</v>
      </c>
      <c r="B1522" s="14" t="str">
        <f>"07010"</f>
        <v>07010</v>
      </c>
      <c r="C1522" s="14" t="str">
        <f>"1800"</f>
        <v>1800</v>
      </c>
      <c r="D1522" s="14" t="str">
        <f>""</f>
        <v/>
      </c>
      <c r="E1522" s="14" t="s">
        <v>1510</v>
      </c>
      <c r="F1522" s="14" t="s">
        <v>1002</v>
      </c>
      <c r="G1522" s="14" t="str">
        <f>""</f>
        <v/>
      </c>
      <c r="H1522" s="14" t="str">
        <f>" 00"</f>
        <v xml:space="preserve"> 00</v>
      </c>
      <c r="I1522" s="14">
        <v>0.01</v>
      </c>
      <c r="J1522" s="14">
        <v>9999999.9900000002</v>
      </c>
      <c r="K1522" s="14" t="s">
        <v>228</v>
      </c>
      <c r="P1522" s="14" t="s">
        <v>260</v>
      </c>
      <c r="Q1522" s="14" t="s">
        <v>260</v>
      </c>
      <c r="R1522" s="14" t="s">
        <v>229</v>
      </c>
    </row>
    <row r="1523" spans="1:18" s="14" customFormat="1" x14ac:dyDescent="0.25">
      <c r="A1523" s="14" t="str">
        <f>"83806"</f>
        <v>83806</v>
      </c>
      <c r="B1523" s="14" t="str">
        <f>"07010"</f>
        <v>07010</v>
      </c>
      <c r="C1523" s="14" t="str">
        <f>"1800"</f>
        <v>1800</v>
      </c>
      <c r="D1523" s="14" t="str">
        <f>""</f>
        <v/>
      </c>
      <c r="E1523" s="14" t="s">
        <v>1511</v>
      </c>
      <c r="F1523" s="14" t="s">
        <v>1002</v>
      </c>
      <c r="G1523" s="14" t="str">
        <f>""</f>
        <v/>
      </c>
      <c r="H1523" s="14" t="str">
        <f>" 00"</f>
        <v xml:space="preserve"> 00</v>
      </c>
      <c r="I1523" s="14">
        <v>0.01</v>
      </c>
      <c r="J1523" s="14">
        <v>9999999.9900000002</v>
      </c>
      <c r="K1523" s="14" t="s">
        <v>228</v>
      </c>
      <c r="P1523" s="14" t="s">
        <v>260</v>
      </c>
      <c r="Q1523" s="14" t="s">
        <v>260</v>
      </c>
      <c r="R1523" s="14" t="s">
        <v>229</v>
      </c>
    </row>
    <row r="1524" spans="1:18" s="14" customFormat="1" x14ac:dyDescent="0.25">
      <c r="A1524" s="14" t="str">
        <f>"83807"</f>
        <v>83807</v>
      </c>
      <c r="B1524" s="14" t="str">
        <f>"07010"</f>
        <v>07010</v>
      </c>
      <c r="C1524" s="14" t="str">
        <f>"1800"</f>
        <v>1800</v>
      </c>
      <c r="D1524" s="14" t="str">
        <f>""</f>
        <v/>
      </c>
      <c r="E1524" s="14" t="s">
        <v>1512</v>
      </c>
      <c r="F1524" s="14" t="s">
        <v>1002</v>
      </c>
      <c r="G1524" s="14" t="str">
        <f>""</f>
        <v/>
      </c>
      <c r="H1524" s="14" t="str">
        <f>" 00"</f>
        <v xml:space="preserve"> 00</v>
      </c>
      <c r="I1524" s="14">
        <v>0.01</v>
      </c>
      <c r="J1524" s="14">
        <v>9999999.9900000002</v>
      </c>
      <c r="K1524" s="14" t="s">
        <v>228</v>
      </c>
      <c r="P1524" s="14" t="s">
        <v>260</v>
      </c>
      <c r="Q1524" s="14" t="s">
        <v>260</v>
      </c>
      <c r="R1524" s="14" t="s">
        <v>229</v>
      </c>
    </row>
    <row r="1525" spans="1:18" s="14" customFormat="1" x14ac:dyDescent="0.25">
      <c r="A1525" s="14" t="str">
        <f>"83808"</f>
        <v>83808</v>
      </c>
      <c r="B1525" s="14" t="str">
        <f>"07010"</f>
        <v>07010</v>
      </c>
      <c r="C1525" s="14" t="str">
        <f>"1800"</f>
        <v>1800</v>
      </c>
      <c r="D1525" s="14" t="str">
        <f>""</f>
        <v/>
      </c>
      <c r="E1525" s="14" t="s">
        <v>1513</v>
      </c>
      <c r="F1525" s="14" t="s">
        <v>1002</v>
      </c>
      <c r="G1525" s="14" t="str">
        <f>""</f>
        <v/>
      </c>
      <c r="H1525" s="14" t="str">
        <f>" 00"</f>
        <v xml:space="preserve"> 00</v>
      </c>
      <c r="I1525" s="14">
        <v>0.01</v>
      </c>
      <c r="J1525" s="14">
        <v>9999999.9900000002</v>
      </c>
      <c r="K1525" s="14" t="s">
        <v>228</v>
      </c>
      <c r="P1525" s="14" t="s">
        <v>260</v>
      </c>
      <c r="Q1525" s="14" t="s">
        <v>260</v>
      </c>
      <c r="R1525" s="14" t="s">
        <v>229</v>
      </c>
    </row>
    <row r="1526" spans="1:18" s="14" customFormat="1" x14ac:dyDescent="0.25">
      <c r="A1526" s="14" t="str">
        <f>"83809"</f>
        <v>83809</v>
      </c>
      <c r="B1526" s="14" t="str">
        <f>"07010"</f>
        <v>07010</v>
      </c>
      <c r="C1526" s="14" t="str">
        <f>"1800"</f>
        <v>1800</v>
      </c>
      <c r="D1526" s="14" t="str">
        <f>""</f>
        <v/>
      </c>
      <c r="E1526" s="14" t="s">
        <v>1514</v>
      </c>
      <c r="F1526" s="14" t="s">
        <v>1002</v>
      </c>
      <c r="G1526" s="14" t="str">
        <f>""</f>
        <v/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228</v>
      </c>
      <c r="P1526" s="14" t="s">
        <v>260</v>
      </c>
      <c r="Q1526" s="14" t="s">
        <v>260</v>
      </c>
      <c r="R1526" s="14" t="s">
        <v>229</v>
      </c>
    </row>
    <row r="1527" spans="1:18" s="14" customFormat="1" x14ac:dyDescent="0.25">
      <c r="A1527" s="14" t="str">
        <f>"83810"</f>
        <v>83810</v>
      </c>
      <c r="B1527" s="14" t="str">
        <f>"07010"</f>
        <v>07010</v>
      </c>
      <c r="C1527" s="14" t="str">
        <f>"1800"</f>
        <v>1800</v>
      </c>
      <c r="D1527" s="14" t="str">
        <f>""</f>
        <v/>
      </c>
      <c r="E1527" s="14" t="s">
        <v>1515</v>
      </c>
      <c r="F1527" s="14" t="s">
        <v>1002</v>
      </c>
      <c r="G1527" s="14" t="str">
        <f>""</f>
        <v/>
      </c>
      <c r="H1527" s="14" t="str">
        <f>" 00"</f>
        <v xml:space="preserve"> 00</v>
      </c>
      <c r="I1527" s="14">
        <v>0.01</v>
      </c>
      <c r="J1527" s="14">
        <v>9999999.9900000002</v>
      </c>
      <c r="K1527" s="14" t="s">
        <v>228</v>
      </c>
      <c r="P1527" s="14" t="s">
        <v>260</v>
      </c>
      <c r="Q1527" s="14" t="s">
        <v>260</v>
      </c>
      <c r="R1527" s="14" t="s">
        <v>229</v>
      </c>
    </row>
    <row r="1528" spans="1:18" s="14" customFormat="1" x14ac:dyDescent="0.25">
      <c r="A1528" s="14" t="str">
        <f>"83811"</f>
        <v>83811</v>
      </c>
      <c r="B1528" s="14" t="str">
        <f>"07010"</f>
        <v>07010</v>
      </c>
      <c r="C1528" s="14" t="str">
        <f>"1800"</f>
        <v>1800</v>
      </c>
      <c r="D1528" s="14" t="str">
        <f>""</f>
        <v/>
      </c>
      <c r="E1528" s="14" t="s">
        <v>1516</v>
      </c>
      <c r="F1528" s="14" t="s">
        <v>1002</v>
      </c>
      <c r="G1528" s="14" t="str">
        <f>""</f>
        <v/>
      </c>
      <c r="H1528" s="14" t="str">
        <f>" 00"</f>
        <v xml:space="preserve"> 00</v>
      </c>
      <c r="I1528" s="14">
        <v>0.01</v>
      </c>
      <c r="J1528" s="14">
        <v>9999999.9900000002</v>
      </c>
      <c r="K1528" s="14" t="s">
        <v>228</v>
      </c>
      <c r="P1528" s="14" t="s">
        <v>260</v>
      </c>
      <c r="Q1528" s="14" t="s">
        <v>260</v>
      </c>
      <c r="R1528" s="14" t="s">
        <v>229</v>
      </c>
    </row>
    <row r="1529" spans="1:18" s="14" customFormat="1" x14ac:dyDescent="0.25">
      <c r="A1529" s="14" t="str">
        <f>"83812"</f>
        <v>83812</v>
      </c>
      <c r="B1529" s="14" t="str">
        <f>"07010"</f>
        <v>07010</v>
      </c>
      <c r="C1529" s="14" t="str">
        <f>"1800"</f>
        <v>1800</v>
      </c>
      <c r="D1529" s="14" t="str">
        <f>""</f>
        <v/>
      </c>
      <c r="E1529" s="14" t="s">
        <v>1517</v>
      </c>
      <c r="F1529" s="14" t="s">
        <v>1002</v>
      </c>
      <c r="G1529" s="14" t="str">
        <f>""</f>
        <v/>
      </c>
      <c r="H1529" s="14" t="str">
        <f>" 00"</f>
        <v xml:space="preserve"> 00</v>
      </c>
      <c r="I1529" s="14">
        <v>0.01</v>
      </c>
      <c r="J1529" s="14">
        <v>9999999.9900000002</v>
      </c>
      <c r="K1529" s="14" t="s">
        <v>228</v>
      </c>
      <c r="P1529" s="14" t="s">
        <v>260</v>
      </c>
      <c r="Q1529" s="14" t="s">
        <v>260</v>
      </c>
      <c r="R1529" s="14" t="s">
        <v>229</v>
      </c>
    </row>
    <row r="1530" spans="1:18" s="14" customFormat="1" x14ac:dyDescent="0.25">
      <c r="A1530" s="14" t="str">
        <f>"83813"</f>
        <v>83813</v>
      </c>
      <c r="B1530" s="14" t="str">
        <f>"07010"</f>
        <v>07010</v>
      </c>
      <c r="C1530" s="14" t="str">
        <f>"1800"</f>
        <v>1800</v>
      </c>
      <c r="D1530" s="14" t="str">
        <f>""</f>
        <v/>
      </c>
      <c r="E1530" s="14" t="s">
        <v>1518</v>
      </c>
      <c r="F1530" s="14" t="s">
        <v>1002</v>
      </c>
      <c r="G1530" s="14" t="str">
        <f>""</f>
        <v/>
      </c>
      <c r="H1530" s="14" t="str">
        <f>" 00"</f>
        <v xml:space="preserve"> 00</v>
      </c>
      <c r="I1530" s="14">
        <v>0.01</v>
      </c>
      <c r="J1530" s="14">
        <v>9999999.9900000002</v>
      </c>
      <c r="K1530" s="14" t="s">
        <v>228</v>
      </c>
      <c r="P1530" s="14" t="s">
        <v>260</v>
      </c>
      <c r="Q1530" s="14" t="s">
        <v>260</v>
      </c>
      <c r="R1530" s="14" t="s">
        <v>229</v>
      </c>
    </row>
    <row r="1531" spans="1:18" s="14" customFormat="1" x14ac:dyDescent="0.25">
      <c r="A1531" s="14" t="str">
        <f>"83814"</f>
        <v>83814</v>
      </c>
      <c r="B1531" s="14" t="str">
        <f>"07010"</f>
        <v>07010</v>
      </c>
      <c r="C1531" s="14" t="str">
        <f>"1800"</f>
        <v>1800</v>
      </c>
      <c r="D1531" s="14" t="str">
        <f>""</f>
        <v/>
      </c>
      <c r="E1531" s="14" t="s">
        <v>1519</v>
      </c>
      <c r="F1531" s="14" t="s">
        <v>1002</v>
      </c>
      <c r="G1531" s="14" t="str">
        <f>""</f>
        <v/>
      </c>
      <c r="H1531" s="14" t="str">
        <f>" 00"</f>
        <v xml:space="preserve"> 00</v>
      </c>
      <c r="I1531" s="14">
        <v>0.01</v>
      </c>
      <c r="J1531" s="14">
        <v>9999999.9900000002</v>
      </c>
      <c r="K1531" s="14" t="s">
        <v>228</v>
      </c>
      <c r="P1531" s="14" t="s">
        <v>260</v>
      </c>
      <c r="Q1531" s="14" t="s">
        <v>260</v>
      </c>
      <c r="R1531" s="14" t="s">
        <v>229</v>
      </c>
    </row>
    <row r="1532" spans="1:18" s="14" customFormat="1" x14ac:dyDescent="0.25">
      <c r="A1532" s="14" t="str">
        <f>"83815"</f>
        <v>83815</v>
      </c>
      <c r="B1532" s="14" t="str">
        <f>"07010"</f>
        <v>07010</v>
      </c>
      <c r="C1532" s="14" t="str">
        <f>"1800"</f>
        <v>1800</v>
      </c>
      <c r="D1532" s="14" t="str">
        <f>""</f>
        <v/>
      </c>
      <c r="E1532" s="14" t="s">
        <v>1520</v>
      </c>
      <c r="F1532" s="14" t="s">
        <v>1002</v>
      </c>
      <c r="G1532" s="14" t="str">
        <f>""</f>
        <v/>
      </c>
      <c r="H1532" s="14" t="str">
        <f>" 00"</f>
        <v xml:space="preserve"> 00</v>
      </c>
      <c r="I1532" s="14">
        <v>0.01</v>
      </c>
      <c r="J1532" s="14">
        <v>9999999.9900000002</v>
      </c>
      <c r="K1532" s="14" t="s">
        <v>228</v>
      </c>
      <c r="P1532" s="14" t="s">
        <v>260</v>
      </c>
      <c r="Q1532" s="14" t="s">
        <v>260</v>
      </c>
      <c r="R1532" s="14" t="s">
        <v>229</v>
      </c>
    </row>
    <row r="1533" spans="1:18" s="14" customFormat="1" x14ac:dyDescent="0.25">
      <c r="A1533" s="14" t="str">
        <f>"83816"</f>
        <v>83816</v>
      </c>
      <c r="B1533" s="14" t="str">
        <f>"07010"</f>
        <v>07010</v>
      </c>
      <c r="C1533" s="14" t="str">
        <f>"1800"</f>
        <v>1800</v>
      </c>
      <c r="D1533" s="14" t="str">
        <f>""</f>
        <v/>
      </c>
      <c r="E1533" s="14" t="s">
        <v>1521</v>
      </c>
      <c r="F1533" s="14" t="s">
        <v>1002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228</v>
      </c>
      <c r="P1533" s="14" t="s">
        <v>260</v>
      </c>
      <c r="Q1533" s="14" t="s">
        <v>260</v>
      </c>
      <c r="R1533" s="14" t="s">
        <v>229</v>
      </c>
    </row>
    <row r="1534" spans="1:18" s="14" customFormat="1" x14ac:dyDescent="0.25">
      <c r="A1534" s="14" t="str">
        <f>"83817"</f>
        <v>83817</v>
      </c>
      <c r="B1534" s="14" t="str">
        <f>"07010"</f>
        <v>07010</v>
      </c>
      <c r="C1534" s="14" t="str">
        <f>"1800"</f>
        <v>1800</v>
      </c>
      <c r="D1534" s="14" t="str">
        <f>""</f>
        <v/>
      </c>
      <c r="E1534" s="14" t="s">
        <v>1522</v>
      </c>
      <c r="F1534" s="14" t="s">
        <v>1002</v>
      </c>
      <c r="G1534" s="14" t="str">
        <f>""</f>
        <v/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228</v>
      </c>
      <c r="P1534" s="14" t="s">
        <v>260</v>
      </c>
      <c r="Q1534" s="14" t="s">
        <v>260</v>
      </c>
      <c r="R1534" s="14" t="s">
        <v>229</v>
      </c>
    </row>
    <row r="1535" spans="1:18" s="14" customFormat="1" x14ac:dyDescent="0.25">
      <c r="A1535" s="14" t="str">
        <f>"83818"</f>
        <v>83818</v>
      </c>
      <c r="B1535" s="14" t="str">
        <f>"07010"</f>
        <v>07010</v>
      </c>
      <c r="C1535" s="14" t="str">
        <f>"1800"</f>
        <v>1800</v>
      </c>
      <c r="D1535" s="14" t="str">
        <f>""</f>
        <v/>
      </c>
      <c r="E1535" s="14" t="s">
        <v>1523</v>
      </c>
      <c r="F1535" s="14" t="s">
        <v>1002</v>
      </c>
      <c r="G1535" s="14" t="str">
        <f>""</f>
        <v/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228</v>
      </c>
      <c r="P1535" s="14" t="s">
        <v>260</v>
      </c>
      <c r="Q1535" s="14" t="s">
        <v>260</v>
      </c>
      <c r="R1535" s="14" t="s">
        <v>229</v>
      </c>
    </row>
    <row r="1536" spans="1:18" s="14" customFormat="1" x14ac:dyDescent="0.25">
      <c r="A1536" s="14" t="str">
        <f>"83819"</f>
        <v>83819</v>
      </c>
      <c r="B1536" s="14" t="str">
        <f>"07010"</f>
        <v>07010</v>
      </c>
      <c r="C1536" s="14" t="str">
        <f>"1800"</f>
        <v>1800</v>
      </c>
      <c r="D1536" s="14" t="str">
        <f>""</f>
        <v/>
      </c>
      <c r="E1536" s="14" t="s">
        <v>1524</v>
      </c>
      <c r="F1536" s="14" t="s">
        <v>1002</v>
      </c>
      <c r="G1536" s="14" t="str">
        <f>""</f>
        <v/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228</v>
      </c>
      <c r="P1536" s="14" t="s">
        <v>260</v>
      </c>
      <c r="Q1536" s="14" t="s">
        <v>260</v>
      </c>
      <c r="R1536" s="14" t="s">
        <v>229</v>
      </c>
    </row>
    <row r="1537" spans="1:18" s="14" customFormat="1" x14ac:dyDescent="0.25">
      <c r="A1537" s="14" t="str">
        <f>"83820"</f>
        <v>83820</v>
      </c>
      <c r="B1537" s="14" t="str">
        <f>"07010"</f>
        <v>07010</v>
      </c>
      <c r="C1537" s="14" t="str">
        <f>"1800"</f>
        <v>1800</v>
      </c>
      <c r="D1537" s="14" t="str">
        <f>""</f>
        <v/>
      </c>
      <c r="E1537" s="14" t="s">
        <v>1525</v>
      </c>
      <c r="F1537" s="14" t="s">
        <v>1002</v>
      </c>
      <c r="G1537" s="14" t="str">
        <f>""</f>
        <v/>
      </c>
      <c r="H1537" s="14" t="str">
        <f>" 00"</f>
        <v xml:space="preserve"> 00</v>
      </c>
      <c r="I1537" s="14">
        <v>0.01</v>
      </c>
      <c r="J1537" s="14">
        <v>9999999.9900000002</v>
      </c>
      <c r="K1537" s="14" t="s">
        <v>228</v>
      </c>
      <c r="P1537" s="14" t="s">
        <v>260</v>
      </c>
      <c r="Q1537" s="14" t="s">
        <v>260</v>
      </c>
      <c r="R1537" s="14" t="s">
        <v>229</v>
      </c>
    </row>
    <row r="1538" spans="1:18" s="14" customFormat="1" x14ac:dyDescent="0.25">
      <c r="A1538" s="14" t="str">
        <f>"83821"</f>
        <v>83821</v>
      </c>
      <c r="B1538" s="14" t="str">
        <f>"07010"</f>
        <v>07010</v>
      </c>
      <c r="C1538" s="14" t="str">
        <f>"1800"</f>
        <v>1800</v>
      </c>
      <c r="D1538" s="14" t="str">
        <f>""</f>
        <v/>
      </c>
      <c r="E1538" s="14" t="s">
        <v>1526</v>
      </c>
      <c r="F1538" s="14" t="s">
        <v>1002</v>
      </c>
      <c r="G1538" s="14" t="str">
        <f>""</f>
        <v/>
      </c>
      <c r="H1538" s="14" t="str">
        <f>" 00"</f>
        <v xml:space="preserve"> 00</v>
      </c>
      <c r="I1538" s="14">
        <v>0.01</v>
      </c>
      <c r="J1538" s="14">
        <v>9999999.9900000002</v>
      </c>
      <c r="K1538" s="14" t="s">
        <v>228</v>
      </c>
      <c r="P1538" s="14" t="s">
        <v>260</v>
      </c>
      <c r="Q1538" s="14" t="s">
        <v>260</v>
      </c>
      <c r="R1538" s="14" t="s">
        <v>229</v>
      </c>
    </row>
    <row r="1539" spans="1:18" s="14" customFormat="1" x14ac:dyDescent="0.25">
      <c r="A1539" s="14" t="str">
        <f>"83822"</f>
        <v>83822</v>
      </c>
      <c r="B1539" s="14" t="str">
        <f>"07010"</f>
        <v>07010</v>
      </c>
      <c r="C1539" s="14" t="str">
        <f>"1800"</f>
        <v>1800</v>
      </c>
      <c r="D1539" s="14" t="str">
        <f>""</f>
        <v/>
      </c>
      <c r="E1539" s="14" t="s">
        <v>1527</v>
      </c>
      <c r="F1539" s="14" t="s">
        <v>1002</v>
      </c>
      <c r="G1539" s="14" t="str">
        <f>""</f>
        <v/>
      </c>
      <c r="H1539" s="14" t="str">
        <f>" 00"</f>
        <v xml:space="preserve"> 00</v>
      </c>
      <c r="I1539" s="14">
        <v>0.01</v>
      </c>
      <c r="J1539" s="14">
        <v>9999999.9900000002</v>
      </c>
      <c r="K1539" s="14" t="s">
        <v>228</v>
      </c>
      <c r="P1539" s="14" t="s">
        <v>260</v>
      </c>
      <c r="Q1539" s="14" t="s">
        <v>260</v>
      </c>
      <c r="R1539" s="14" t="s">
        <v>229</v>
      </c>
    </row>
    <row r="1540" spans="1:18" s="14" customFormat="1" x14ac:dyDescent="0.25">
      <c r="A1540" s="14" t="str">
        <f>"83823"</f>
        <v>83823</v>
      </c>
      <c r="B1540" s="14" t="str">
        <f>"07010"</f>
        <v>07010</v>
      </c>
      <c r="C1540" s="14" t="str">
        <f>"1800"</f>
        <v>1800</v>
      </c>
      <c r="D1540" s="14" t="str">
        <f>""</f>
        <v/>
      </c>
      <c r="E1540" s="14" t="s">
        <v>1528</v>
      </c>
      <c r="F1540" s="14" t="s">
        <v>1002</v>
      </c>
      <c r="G1540" s="14" t="str">
        <f>""</f>
        <v/>
      </c>
      <c r="H1540" s="14" t="str">
        <f>" 00"</f>
        <v xml:space="preserve"> 00</v>
      </c>
      <c r="I1540" s="14">
        <v>0.01</v>
      </c>
      <c r="J1540" s="14">
        <v>9999999.9900000002</v>
      </c>
      <c r="K1540" s="14" t="s">
        <v>228</v>
      </c>
      <c r="P1540" s="14" t="s">
        <v>260</v>
      </c>
      <c r="Q1540" s="14" t="s">
        <v>260</v>
      </c>
      <c r="R1540" s="14" t="s">
        <v>229</v>
      </c>
    </row>
    <row r="1541" spans="1:18" s="14" customFormat="1" x14ac:dyDescent="0.25">
      <c r="A1541" s="14" t="str">
        <f>"83824"</f>
        <v>83824</v>
      </c>
      <c r="B1541" s="14" t="str">
        <f>"07010"</f>
        <v>07010</v>
      </c>
      <c r="C1541" s="14" t="str">
        <f>"1800"</f>
        <v>1800</v>
      </c>
      <c r="D1541" s="14" t="str">
        <f>""</f>
        <v/>
      </c>
      <c r="E1541" s="14" t="s">
        <v>1529</v>
      </c>
      <c r="F1541" s="14" t="s">
        <v>1002</v>
      </c>
      <c r="G1541" s="14" t="str">
        <f>""</f>
        <v/>
      </c>
      <c r="H1541" s="14" t="str">
        <f>" 00"</f>
        <v xml:space="preserve"> 00</v>
      </c>
      <c r="I1541" s="14">
        <v>0.01</v>
      </c>
      <c r="J1541" s="14">
        <v>9999999.9900000002</v>
      </c>
      <c r="K1541" s="14" t="s">
        <v>228</v>
      </c>
      <c r="P1541" s="14" t="s">
        <v>260</v>
      </c>
      <c r="Q1541" s="14" t="s">
        <v>260</v>
      </c>
      <c r="R1541" s="14" t="s">
        <v>229</v>
      </c>
    </row>
    <row r="1542" spans="1:18" s="14" customFormat="1" x14ac:dyDescent="0.25">
      <c r="A1542" s="14" t="str">
        <f>"83950"</f>
        <v>83950</v>
      </c>
      <c r="B1542" s="14" t="str">
        <f>"07010"</f>
        <v>07010</v>
      </c>
      <c r="C1542" s="14" t="str">
        <f>"1800"</f>
        <v>1800</v>
      </c>
      <c r="D1542" s="14" t="str">
        <f>""</f>
        <v/>
      </c>
      <c r="E1542" s="14" t="s">
        <v>1530</v>
      </c>
      <c r="F1542" s="14" t="s">
        <v>1002</v>
      </c>
      <c r="G1542" s="14" t="str">
        <f>""</f>
        <v/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228</v>
      </c>
      <c r="P1542" s="14" t="s">
        <v>260</v>
      </c>
      <c r="Q1542" s="14" t="s">
        <v>260</v>
      </c>
      <c r="R1542" s="14" t="s">
        <v>229</v>
      </c>
    </row>
    <row r="1543" spans="1:18" s="14" customFormat="1" x14ac:dyDescent="0.25">
      <c r="A1543" s="14" t="str">
        <f>"83999"</f>
        <v>83999</v>
      </c>
      <c r="B1543" s="14" t="str">
        <f>"07010"</f>
        <v>07010</v>
      </c>
      <c r="C1543" s="14" t="str">
        <f>"1800"</f>
        <v>1800</v>
      </c>
      <c r="D1543" s="14" t="str">
        <f>""</f>
        <v/>
      </c>
      <c r="E1543" s="14" t="s">
        <v>496</v>
      </c>
      <c r="F1543" s="14" t="s">
        <v>1002</v>
      </c>
      <c r="G1543" s="14" t="str">
        <f>""</f>
        <v/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228</v>
      </c>
      <c r="P1543" s="14" t="s">
        <v>260</v>
      </c>
      <c r="Q1543" s="14" t="s">
        <v>260</v>
      </c>
      <c r="R1543" s="14" t="s">
        <v>229</v>
      </c>
    </row>
    <row r="1544" spans="1:18" s="14" customFormat="1" x14ac:dyDescent="0.25">
      <c r="A1544" s="14" t="str">
        <f>"84002"</f>
        <v>84002</v>
      </c>
      <c r="B1544" s="14" t="str">
        <f>"07020"</f>
        <v>07020</v>
      </c>
      <c r="C1544" s="14" t="str">
        <f>"1700"</f>
        <v>1700</v>
      </c>
      <c r="D1544" s="14" t="str">
        <f>"84002"</f>
        <v>84002</v>
      </c>
      <c r="E1544" s="14" t="s">
        <v>1531</v>
      </c>
      <c r="F1544" s="14" t="s">
        <v>1532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392</v>
      </c>
      <c r="L1544" s="14" t="s">
        <v>526</v>
      </c>
      <c r="P1544" s="14" t="s">
        <v>31</v>
      </c>
      <c r="Q1544" s="14" t="s">
        <v>31</v>
      </c>
      <c r="R1544" s="14" t="s">
        <v>392</v>
      </c>
    </row>
    <row r="1545" spans="1:18" s="14" customFormat="1" x14ac:dyDescent="0.25">
      <c r="A1545" s="14" t="str">
        <f>"84004"</f>
        <v>84004</v>
      </c>
      <c r="B1545" s="14" t="str">
        <f>"07020"</f>
        <v>07020</v>
      </c>
      <c r="C1545" s="14" t="str">
        <f>"1700"</f>
        <v>1700</v>
      </c>
      <c r="D1545" s="14" t="str">
        <f>"84004"</f>
        <v>84004</v>
      </c>
      <c r="E1545" s="14" t="s">
        <v>1533</v>
      </c>
      <c r="F1545" s="14" t="s">
        <v>1532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386</v>
      </c>
      <c r="L1545" s="14" t="s">
        <v>1534</v>
      </c>
      <c r="M1545" s="14" t="s">
        <v>387</v>
      </c>
      <c r="P1545" s="14" t="s">
        <v>31</v>
      </c>
      <c r="Q1545" s="14" t="s">
        <v>31</v>
      </c>
      <c r="R1545" s="14" t="s">
        <v>388</v>
      </c>
    </row>
    <row r="1546" spans="1:18" s="14" customFormat="1" x14ac:dyDescent="0.25">
      <c r="A1546" s="14" t="str">
        <f>"84005"</f>
        <v>84005</v>
      </c>
      <c r="B1546" s="14" t="str">
        <f>"07020"</f>
        <v>07020</v>
      </c>
      <c r="C1546" s="14" t="str">
        <f>"1700"</f>
        <v>1700</v>
      </c>
      <c r="D1546" s="14" t="str">
        <f>"84005"</f>
        <v>84005</v>
      </c>
      <c r="E1546" s="14" t="s">
        <v>1535</v>
      </c>
      <c r="F1546" s="14" t="s">
        <v>1532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1536</v>
      </c>
      <c r="L1546" s="14" t="s">
        <v>789</v>
      </c>
      <c r="M1546" s="14" t="s">
        <v>181</v>
      </c>
      <c r="P1546" s="14" t="s">
        <v>31</v>
      </c>
      <c r="Q1546" s="14" t="s">
        <v>31</v>
      </c>
      <c r="R1546" s="14" t="s">
        <v>392</v>
      </c>
    </row>
    <row r="1547" spans="1:18" s="14" customFormat="1" x14ac:dyDescent="0.25">
      <c r="A1547" s="14" t="str">
        <f>"84006"</f>
        <v>84006</v>
      </c>
      <c r="B1547" s="14" t="str">
        <f>"07020"</f>
        <v>07020</v>
      </c>
      <c r="C1547" s="14" t="str">
        <f>"1700"</f>
        <v>1700</v>
      </c>
      <c r="D1547" s="14" t="str">
        <f>"84006"</f>
        <v>84006</v>
      </c>
      <c r="E1547" s="14" t="s">
        <v>1537</v>
      </c>
      <c r="F1547" s="14" t="s">
        <v>1532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392</v>
      </c>
      <c r="L1547" s="14" t="s">
        <v>526</v>
      </c>
      <c r="P1547" s="14" t="s">
        <v>31</v>
      </c>
      <c r="Q1547" s="14" t="s">
        <v>31</v>
      </c>
      <c r="R1547" s="14" t="s">
        <v>392</v>
      </c>
    </row>
    <row r="1548" spans="1:18" s="14" customFormat="1" x14ac:dyDescent="0.25">
      <c r="A1548" s="14" t="str">
        <f>"84007"</f>
        <v>84007</v>
      </c>
      <c r="B1548" s="14" t="str">
        <f>"07020"</f>
        <v>07020</v>
      </c>
      <c r="C1548" s="14" t="str">
        <f>"1700"</f>
        <v>1700</v>
      </c>
      <c r="D1548" s="14" t="str">
        <f>"84007"</f>
        <v>84007</v>
      </c>
      <c r="E1548" s="14" t="s">
        <v>1538</v>
      </c>
      <c r="F1548" s="14" t="s">
        <v>1532</v>
      </c>
      <c r="G1548" s="14" t="str">
        <f>""</f>
        <v/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48</v>
      </c>
      <c r="L1548" s="14" t="s">
        <v>97</v>
      </c>
      <c r="M1548" s="14" t="s">
        <v>98</v>
      </c>
      <c r="P1548" s="14" t="s">
        <v>31</v>
      </c>
      <c r="Q1548" s="14" t="s">
        <v>31</v>
      </c>
      <c r="R1548" s="14" t="s">
        <v>49</v>
      </c>
    </row>
    <row r="1549" spans="1:18" s="14" customFormat="1" x14ac:dyDescent="0.25">
      <c r="A1549" s="14" t="str">
        <f>"84008"</f>
        <v>84008</v>
      </c>
      <c r="B1549" s="14" t="str">
        <f>"07020"</f>
        <v>07020</v>
      </c>
      <c r="C1549" s="14" t="str">
        <f>"1700"</f>
        <v>1700</v>
      </c>
      <c r="D1549" s="14" t="str">
        <f>"84008"</f>
        <v>84008</v>
      </c>
      <c r="E1549" s="14" t="s">
        <v>1539</v>
      </c>
      <c r="F1549" s="14" t="s">
        <v>1532</v>
      </c>
      <c r="G1549" s="14" t="str">
        <f>""</f>
        <v/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70</v>
      </c>
      <c r="L1549" s="14" t="s">
        <v>1540</v>
      </c>
      <c r="M1549" s="14" t="s">
        <v>72</v>
      </c>
      <c r="P1549" s="14" t="s">
        <v>31</v>
      </c>
      <c r="Q1549" s="14" t="s">
        <v>31</v>
      </c>
      <c r="R1549" s="14" t="s">
        <v>70</v>
      </c>
    </row>
    <row r="1550" spans="1:18" s="14" customFormat="1" x14ac:dyDescent="0.25">
      <c r="A1550" s="14" t="str">
        <f>"84009"</f>
        <v>84009</v>
      </c>
      <c r="B1550" s="14" t="str">
        <f>"07020"</f>
        <v>07020</v>
      </c>
      <c r="C1550" s="14" t="str">
        <f>"1700"</f>
        <v>1700</v>
      </c>
      <c r="D1550" s="14" t="str">
        <f>"84009"</f>
        <v>84009</v>
      </c>
      <c r="E1550" s="14" t="s">
        <v>1541</v>
      </c>
      <c r="F1550" s="14" t="s">
        <v>1532</v>
      </c>
      <c r="G1550" s="14" t="str">
        <f>""</f>
        <v/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154</v>
      </c>
      <c r="L1550" s="14" t="s">
        <v>147</v>
      </c>
      <c r="M1550" s="14" t="s">
        <v>166</v>
      </c>
      <c r="P1550" s="14" t="s">
        <v>31</v>
      </c>
      <c r="Q1550" s="14" t="s">
        <v>31</v>
      </c>
      <c r="R1550" s="14" t="s">
        <v>146</v>
      </c>
    </row>
    <row r="1551" spans="1:18" s="14" customFormat="1" x14ac:dyDescent="0.25">
      <c r="A1551" s="14" t="str">
        <f>"84010"</f>
        <v>84010</v>
      </c>
      <c r="B1551" s="14" t="str">
        <f>"07020"</f>
        <v>07020</v>
      </c>
      <c r="C1551" s="14" t="str">
        <f>"1700"</f>
        <v>1700</v>
      </c>
      <c r="D1551" s="14" t="str">
        <f>"84010"</f>
        <v>84010</v>
      </c>
      <c r="E1551" s="14" t="s">
        <v>1542</v>
      </c>
      <c r="F1551" s="14" t="s">
        <v>1532</v>
      </c>
      <c r="G1551" s="14" t="str">
        <f>""</f>
        <v/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186</v>
      </c>
      <c r="P1551" s="14" t="s">
        <v>31</v>
      </c>
      <c r="Q1551" s="14" t="s">
        <v>31</v>
      </c>
      <c r="R1551" s="14" t="s">
        <v>115</v>
      </c>
    </row>
    <row r="1552" spans="1:18" s="14" customFormat="1" x14ac:dyDescent="0.25">
      <c r="A1552" s="14" t="str">
        <f>"84012"</f>
        <v>84012</v>
      </c>
      <c r="B1552" s="14" t="str">
        <f>"07020"</f>
        <v>07020</v>
      </c>
      <c r="C1552" s="14" t="str">
        <f>"1700"</f>
        <v>1700</v>
      </c>
      <c r="D1552" s="14" t="str">
        <f>"84012"</f>
        <v>84012</v>
      </c>
      <c r="E1552" s="14" t="s">
        <v>1543</v>
      </c>
      <c r="F1552" s="14" t="s">
        <v>1532</v>
      </c>
      <c r="G1552" s="14" t="str">
        <f>""</f>
        <v/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1544</v>
      </c>
      <c r="P1552" s="14" t="s">
        <v>31</v>
      </c>
      <c r="Q1552" s="14" t="s">
        <v>31</v>
      </c>
      <c r="R1552" s="14" t="s">
        <v>1545</v>
      </c>
    </row>
    <row r="1553" spans="1:18" s="14" customFormat="1" x14ac:dyDescent="0.25">
      <c r="A1553" s="14" t="str">
        <f>"84013"</f>
        <v>84013</v>
      </c>
      <c r="B1553" s="14" t="str">
        <f>"07020"</f>
        <v>07020</v>
      </c>
      <c r="C1553" s="14" t="str">
        <f>"1700"</f>
        <v>1700</v>
      </c>
      <c r="D1553" s="14" t="str">
        <f>"84013"</f>
        <v>84013</v>
      </c>
      <c r="E1553" s="14" t="s">
        <v>1546</v>
      </c>
      <c r="F1553" s="14" t="s">
        <v>1532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1547</v>
      </c>
      <c r="L1553" s="14" t="s">
        <v>1548</v>
      </c>
      <c r="M1553" s="14" t="s">
        <v>72</v>
      </c>
      <c r="P1553" s="14" t="s">
        <v>31</v>
      </c>
      <c r="Q1553" s="14" t="s">
        <v>31</v>
      </c>
      <c r="R1553" s="14" t="s">
        <v>1549</v>
      </c>
    </row>
    <row r="1554" spans="1:18" s="14" customFormat="1" x14ac:dyDescent="0.25">
      <c r="A1554" s="14" t="str">
        <f>"84014"</f>
        <v>84014</v>
      </c>
      <c r="B1554" s="14" t="str">
        <f>"07020"</f>
        <v>07020</v>
      </c>
      <c r="C1554" s="14" t="str">
        <f>"1700"</f>
        <v>1700</v>
      </c>
      <c r="D1554" s="14" t="str">
        <f>"84014"</f>
        <v>84014</v>
      </c>
      <c r="E1554" s="14" t="s">
        <v>1550</v>
      </c>
      <c r="F1554" s="14" t="s">
        <v>1532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173</v>
      </c>
      <c r="P1554" s="14" t="s">
        <v>31</v>
      </c>
      <c r="Q1554" s="14" t="s">
        <v>31</v>
      </c>
      <c r="R1554" s="14" t="s">
        <v>1551</v>
      </c>
    </row>
    <row r="1555" spans="1:18" s="14" customFormat="1" x14ac:dyDescent="0.25">
      <c r="A1555" s="14" t="str">
        <f>"84016"</f>
        <v>84016</v>
      </c>
      <c r="B1555" s="14" t="str">
        <f>"07020"</f>
        <v>07020</v>
      </c>
      <c r="C1555" s="14" t="str">
        <f>"1700"</f>
        <v>1700</v>
      </c>
      <c r="D1555" s="14" t="str">
        <f>"84016"</f>
        <v>84016</v>
      </c>
      <c r="E1555" s="14" t="s">
        <v>1552</v>
      </c>
      <c r="F1555" s="14" t="s">
        <v>1532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1553</v>
      </c>
      <c r="L1555" s="14" t="s">
        <v>755</v>
      </c>
      <c r="M1555" s="14" t="s">
        <v>72</v>
      </c>
      <c r="P1555" s="14" t="s">
        <v>31</v>
      </c>
      <c r="Q1555" s="14" t="s">
        <v>31</v>
      </c>
      <c r="R1555" s="14" t="s">
        <v>1553</v>
      </c>
    </row>
    <row r="1556" spans="1:18" s="14" customFormat="1" x14ac:dyDescent="0.25">
      <c r="A1556" s="14" t="str">
        <f>"84017"</f>
        <v>84017</v>
      </c>
      <c r="B1556" s="14" t="str">
        <f>"07020"</f>
        <v>07020</v>
      </c>
      <c r="C1556" s="14" t="str">
        <f>"1700"</f>
        <v>1700</v>
      </c>
      <c r="D1556" s="14" t="str">
        <f>"84017"</f>
        <v>84017</v>
      </c>
      <c r="E1556" s="14" t="s">
        <v>1554</v>
      </c>
      <c r="F1556" s="14" t="s">
        <v>1532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109</v>
      </c>
      <c r="L1556" s="14" t="s">
        <v>1555</v>
      </c>
      <c r="M1556" s="14" t="s">
        <v>72</v>
      </c>
      <c r="P1556" s="14" t="s">
        <v>31</v>
      </c>
      <c r="Q1556" s="14" t="s">
        <v>31</v>
      </c>
      <c r="R1556" s="14" t="s">
        <v>109</v>
      </c>
    </row>
    <row r="1557" spans="1:18" s="14" customFormat="1" x14ac:dyDescent="0.25">
      <c r="A1557" s="14" t="str">
        <f>"84018"</f>
        <v>84018</v>
      </c>
      <c r="B1557" s="14" t="str">
        <f>"07020"</f>
        <v>07020</v>
      </c>
      <c r="C1557" s="14" t="str">
        <f>"1700"</f>
        <v>1700</v>
      </c>
      <c r="D1557" s="14" t="str">
        <f>"84018"</f>
        <v>84018</v>
      </c>
      <c r="E1557" s="14" t="s">
        <v>1556</v>
      </c>
      <c r="F1557" s="14" t="s">
        <v>1532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147</v>
      </c>
      <c r="L1557" s="14" t="s">
        <v>148</v>
      </c>
      <c r="P1557" s="14" t="s">
        <v>31</v>
      </c>
      <c r="Q1557" s="14" t="s">
        <v>31</v>
      </c>
      <c r="R1557" s="14" t="s">
        <v>146</v>
      </c>
    </row>
    <row r="1558" spans="1:18" s="14" customFormat="1" x14ac:dyDescent="0.25">
      <c r="A1558" s="14" t="str">
        <f>"84020"</f>
        <v>84020</v>
      </c>
      <c r="B1558" s="14" t="str">
        <f>"07020"</f>
        <v>07020</v>
      </c>
      <c r="C1558" s="14" t="str">
        <f>"1700"</f>
        <v>1700</v>
      </c>
      <c r="D1558" s="14" t="str">
        <f>"84020"</f>
        <v>84020</v>
      </c>
      <c r="E1558" s="14" t="s">
        <v>1557</v>
      </c>
      <c r="F1558" s="14" t="s">
        <v>1532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1558</v>
      </c>
      <c r="L1558" s="14" t="s">
        <v>113</v>
      </c>
      <c r="P1558" s="14" t="s">
        <v>31</v>
      </c>
      <c r="Q1558" s="14" t="s">
        <v>31</v>
      </c>
      <c r="R1558" s="14" t="s">
        <v>1558</v>
      </c>
    </row>
    <row r="1559" spans="1:18" s="14" customFormat="1" x14ac:dyDescent="0.25">
      <c r="A1559" s="14" t="str">
        <f>"84021"</f>
        <v>84021</v>
      </c>
      <c r="B1559" s="14" t="str">
        <f>"07020"</f>
        <v>07020</v>
      </c>
      <c r="C1559" s="14" t="str">
        <f>"1700"</f>
        <v>1700</v>
      </c>
      <c r="D1559" s="14" t="str">
        <f>"84021"</f>
        <v>84021</v>
      </c>
      <c r="E1559" s="14" t="s">
        <v>1559</v>
      </c>
      <c r="F1559" s="14" t="s">
        <v>1532</v>
      </c>
      <c r="G1559" s="14" t="str">
        <f>""</f>
        <v/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1560</v>
      </c>
      <c r="L1559" s="14" t="s">
        <v>181</v>
      </c>
      <c r="P1559" s="14" t="s">
        <v>31</v>
      </c>
      <c r="Q1559" s="14" t="s">
        <v>31</v>
      </c>
      <c r="R1559" s="14" t="s">
        <v>1560</v>
      </c>
    </row>
    <row r="1560" spans="1:18" s="14" customFormat="1" x14ac:dyDescent="0.25">
      <c r="A1560" s="14" t="str">
        <f>"84023"</f>
        <v>84023</v>
      </c>
      <c r="B1560" s="14" t="str">
        <f>"07020"</f>
        <v>07020</v>
      </c>
      <c r="C1560" s="14" t="str">
        <f>"1700"</f>
        <v>1700</v>
      </c>
      <c r="D1560" s="14" t="str">
        <f>"84023"</f>
        <v>84023</v>
      </c>
      <c r="E1560" s="14" t="s">
        <v>1561</v>
      </c>
      <c r="F1560" s="14" t="s">
        <v>1532</v>
      </c>
      <c r="G1560" s="14" t="str">
        <f>""</f>
        <v/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48</v>
      </c>
      <c r="L1560" s="14" t="s">
        <v>97</v>
      </c>
      <c r="M1560" s="14" t="s">
        <v>1562</v>
      </c>
      <c r="P1560" s="14" t="s">
        <v>31</v>
      </c>
      <c r="Q1560" s="14" t="s">
        <v>31</v>
      </c>
      <c r="R1560" s="14" t="s">
        <v>49</v>
      </c>
    </row>
    <row r="1561" spans="1:18" s="14" customFormat="1" x14ac:dyDescent="0.25">
      <c r="A1561" s="14" t="str">
        <f>"84024"</f>
        <v>84024</v>
      </c>
      <c r="B1561" s="14" t="str">
        <f>"07020"</f>
        <v>07020</v>
      </c>
      <c r="C1561" s="14" t="str">
        <f>"1700"</f>
        <v>1700</v>
      </c>
      <c r="D1561" s="14" t="str">
        <f>"84024"</f>
        <v>84024</v>
      </c>
      <c r="E1561" s="14" t="s">
        <v>1563</v>
      </c>
      <c r="F1561" s="14" t="s">
        <v>1532</v>
      </c>
      <c r="G1561" s="14" t="str">
        <f>""</f>
        <v/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392</v>
      </c>
      <c r="L1561" s="14" t="s">
        <v>526</v>
      </c>
      <c r="P1561" s="14" t="s">
        <v>31</v>
      </c>
      <c r="Q1561" s="14" t="s">
        <v>31</v>
      </c>
      <c r="R1561" s="14" t="s">
        <v>392</v>
      </c>
    </row>
    <row r="1562" spans="1:18" s="14" customFormat="1" x14ac:dyDescent="0.25">
      <c r="A1562" s="14" t="str">
        <f>"84025"</f>
        <v>84025</v>
      </c>
      <c r="B1562" s="14" t="str">
        <f>"07020"</f>
        <v>07020</v>
      </c>
      <c r="C1562" s="14" t="str">
        <f>"1700"</f>
        <v>1700</v>
      </c>
      <c r="D1562" s="14" t="str">
        <f>"84025"</f>
        <v>84025</v>
      </c>
      <c r="E1562" s="14" t="s">
        <v>1564</v>
      </c>
      <c r="F1562" s="14" t="s">
        <v>1532</v>
      </c>
      <c r="G1562" s="14" t="str">
        <f>""</f>
        <v/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1565</v>
      </c>
      <c r="L1562" s="14" t="s">
        <v>1566</v>
      </c>
      <c r="P1562" s="14" t="s">
        <v>31</v>
      </c>
      <c r="Q1562" s="14" t="s">
        <v>31</v>
      </c>
      <c r="R1562" s="14" t="s">
        <v>1565</v>
      </c>
    </row>
    <row r="1563" spans="1:18" s="14" customFormat="1" x14ac:dyDescent="0.25">
      <c r="A1563" s="14" t="str">
        <f>"84026"</f>
        <v>84026</v>
      </c>
      <c r="B1563" s="14" t="str">
        <f>"07020"</f>
        <v>07020</v>
      </c>
      <c r="C1563" s="14" t="str">
        <f>"1700"</f>
        <v>1700</v>
      </c>
      <c r="D1563" s="14" t="str">
        <f>"84026"</f>
        <v>84026</v>
      </c>
      <c r="E1563" s="14" t="s">
        <v>1567</v>
      </c>
      <c r="F1563" s="14" t="s">
        <v>1532</v>
      </c>
      <c r="G1563" s="14" t="str">
        <f>""</f>
        <v/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1568</v>
      </c>
      <c r="P1563" s="14" t="s">
        <v>31</v>
      </c>
      <c r="Q1563" s="14" t="s">
        <v>31</v>
      </c>
      <c r="R1563" s="14" t="s">
        <v>115</v>
      </c>
    </row>
    <row r="1564" spans="1:18" s="14" customFormat="1" x14ac:dyDescent="0.25">
      <c r="A1564" s="14" t="str">
        <f>"84028"</f>
        <v>84028</v>
      </c>
      <c r="B1564" s="14" t="str">
        <f>"07020"</f>
        <v>07020</v>
      </c>
      <c r="C1564" s="14" t="str">
        <f>"1700"</f>
        <v>1700</v>
      </c>
      <c r="D1564" s="14" t="str">
        <f>"84028"</f>
        <v>84028</v>
      </c>
      <c r="E1564" s="14" t="s">
        <v>1569</v>
      </c>
      <c r="F1564" s="14" t="s">
        <v>1532</v>
      </c>
      <c r="G1564" s="14" t="str">
        <f>""</f>
        <v/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1570</v>
      </c>
      <c r="L1564" s="14" t="s">
        <v>392</v>
      </c>
      <c r="P1564" s="14" t="s">
        <v>31</v>
      </c>
      <c r="Q1564" s="14" t="s">
        <v>25</v>
      </c>
      <c r="R1564" s="14" t="s">
        <v>392</v>
      </c>
    </row>
    <row r="1565" spans="1:18" s="14" customFormat="1" x14ac:dyDescent="0.25">
      <c r="A1565" s="14" t="str">
        <f>"84030"</f>
        <v>84030</v>
      </c>
      <c r="B1565" s="14" t="str">
        <f>"07020"</f>
        <v>07020</v>
      </c>
      <c r="C1565" s="14" t="str">
        <f>"1700"</f>
        <v>1700</v>
      </c>
      <c r="D1565" s="14" t="str">
        <f>"84030"</f>
        <v>84030</v>
      </c>
      <c r="E1565" s="14" t="s">
        <v>1571</v>
      </c>
      <c r="F1565" s="14" t="s">
        <v>1532</v>
      </c>
      <c r="G1565" s="14" t="str">
        <f>""</f>
        <v/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392</v>
      </c>
      <c r="L1565" s="14" t="s">
        <v>526</v>
      </c>
      <c r="P1565" s="14" t="s">
        <v>31</v>
      </c>
      <c r="Q1565" s="14" t="s">
        <v>31</v>
      </c>
      <c r="R1565" s="14" t="s">
        <v>392</v>
      </c>
    </row>
    <row r="1566" spans="1:18" s="14" customFormat="1" x14ac:dyDescent="0.25">
      <c r="A1566" s="14" t="str">
        <f>"84031"</f>
        <v>84031</v>
      </c>
      <c r="B1566" s="14" t="str">
        <f>"07020"</f>
        <v>07020</v>
      </c>
      <c r="C1566" s="14" t="str">
        <f>"1700"</f>
        <v>1700</v>
      </c>
      <c r="D1566" s="14" t="str">
        <f>"84031"</f>
        <v>84031</v>
      </c>
      <c r="E1566" s="14" t="s">
        <v>1572</v>
      </c>
      <c r="F1566" s="14" t="s">
        <v>1532</v>
      </c>
      <c r="G1566" s="14" t="str">
        <f>""</f>
        <v/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392</v>
      </c>
      <c r="L1566" s="14" t="s">
        <v>526</v>
      </c>
      <c r="P1566" s="14" t="s">
        <v>31</v>
      </c>
      <c r="Q1566" s="14" t="s">
        <v>31</v>
      </c>
      <c r="R1566" s="14" t="s">
        <v>392</v>
      </c>
    </row>
    <row r="1567" spans="1:18" s="14" customFormat="1" x14ac:dyDescent="0.25">
      <c r="A1567" s="14" t="str">
        <f>"84032"</f>
        <v>84032</v>
      </c>
      <c r="B1567" s="14" t="str">
        <f>"07020"</f>
        <v>07020</v>
      </c>
      <c r="C1567" s="14" t="str">
        <f>"1700"</f>
        <v>1700</v>
      </c>
      <c r="D1567" s="14" t="str">
        <f>"84032"</f>
        <v>84032</v>
      </c>
      <c r="E1567" s="14" t="s">
        <v>1573</v>
      </c>
      <c r="F1567" s="14" t="s">
        <v>1532</v>
      </c>
      <c r="G1567" s="14" t="str">
        <f>""</f>
        <v/>
      </c>
      <c r="H1567" s="14" t="str">
        <f>" 00"</f>
        <v xml:space="preserve"> 00</v>
      </c>
      <c r="I1567" s="14">
        <v>0.01</v>
      </c>
      <c r="J1567" s="14">
        <v>9999999.9900000002</v>
      </c>
      <c r="K1567" s="14" t="s">
        <v>1574</v>
      </c>
      <c r="P1567" s="14" t="s">
        <v>31</v>
      </c>
      <c r="Q1567" s="14" t="s">
        <v>31</v>
      </c>
      <c r="R1567" s="14" t="s">
        <v>1575</v>
      </c>
    </row>
    <row r="1568" spans="1:18" s="14" customFormat="1" x14ac:dyDescent="0.25">
      <c r="A1568" s="14" t="str">
        <f>"84033"</f>
        <v>84033</v>
      </c>
      <c r="B1568" s="14" t="str">
        <f>"07020"</f>
        <v>07020</v>
      </c>
      <c r="C1568" s="14" t="str">
        <f>"1700"</f>
        <v>1700</v>
      </c>
      <c r="D1568" s="14" t="str">
        <f>"84033"</f>
        <v>84033</v>
      </c>
      <c r="E1568" s="14" t="s">
        <v>1576</v>
      </c>
      <c r="F1568" s="14" t="s">
        <v>1532</v>
      </c>
      <c r="G1568" s="14" t="str">
        <f>""</f>
        <v/>
      </c>
      <c r="H1568" s="14" t="str">
        <f>" 00"</f>
        <v xml:space="preserve"> 00</v>
      </c>
      <c r="I1568" s="14">
        <v>0.01</v>
      </c>
      <c r="J1568" s="14">
        <v>9999999.9900000002</v>
      </c>
      <c r="K1568" s="14" t="s">
        <v>381</v>
      </c>
      <c r="L1568" s="14" t="s">
        <v>382</v>
      </c>
      <c r="M1568" s="14" t="s">
        <v>1570</v>
      </c>
      <c r="P1568" s="14" t="s">
        <v>31</v>
      </c>
      <c r="Q1568" s="14" t="s">
        <v>31</v>
      </c>
      <c r="R1568" s="14" t="s">
        <v>383</v>
      </c>
    </row>
    <row r="1569" spans="1:18" s="14" customFormat="1" x14ac:dyDescent="0.25">
      <c r="A1569" s="14" t="str">
        <f>"84034"</f>
        <v>84034</v>
      </c>
      <c r="B1569" s="14" t="str">
        <f>"07020"</f>
        <v>07020</v>
      </c>
      <c r="C1569" s="14" t="str">
        <f>"1700"</f>
        <v>1700</v>
      </c>
      <c r="D1569" s="14" t="str">
        <f>"84034"</f>
        <v>84034</v>
      </c>
      <c r="E1569" s="14" t="s">
        <v>1577</v>
      </c>
      <c r="F1569" s="14" t="s">
        <v>1532</v>
      </c>
      <c r="G1569" s="14" t="str">
        <f>""</f>
        <v/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166</v>
      </c>
      <c r="L1569" s="14" t="s">
        <v>147</v>
      </c>
      <c r="P1569" s="14" t="s">
        <v>31</v>
      </c>
      <c r="Q1569" s="14" t="s">
        <v>31</v>
      </c>
      <c r="R1569" s="14" t="s">
        <v>166</v>
      </c>
    </row>
    <row r="1570" spans="1:18" s="14" customFormat="1" x14ac:dyDescent="0.25">
      <c r="A1570" s="14" t="str">
        <f>"84036"</f>
        <v>84036</v>
      </c>
      <c r="B1570" s="14" t="str">
        <f>"07020"</f>
        <v>07020</v>
      </c>
      <c r="C1570" s="14" t="str">
        <f>"1700"</f>
        <v>1700</v>
      </c>
      <c r="D1570" s="14" t="str">
        <f>"84036"</f>
        <v>84036</v>
      </c>
      <c r="E1570" s="14" t="s">
        <v>1578</v>
      </c>
      <c r="F1570" s="14" t="s">
        <v>1532</v>
      </c>
      <c r="G1570" s="14" t="str">
        <f>""</f>
        <v/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1579</v>
      </c>
      <c r="L1570" s="14" t="s">
        <v>824</v>
      </c>
      <c r="M1570" s="14" t="s">
        <v>72</v>
      </c>
      <c r="P1570" s="14" t="s">
        <v>31</v>
      </c>
      <c r="Q1570" s="14" t="s">
        <v>31</v>
      </c>
      <c r="R1570" s="14" t="s">
        <v>1579</v>
      </c>
    </row>
    <row r="1571" spans="1:18" s="14" customFormat="1" x14ac:dyDescent="0.25">
      <c r="A1571" s="14" t="str">
        <f>"84037"</f>
        <v>84037</v>
      </c>
      <c r="B1571" s="14" t="str">
        <f>"07020"</f>
        <v>07020</v>
      </c>
      <c r="C1571" s="14" t="str">
        <f>"1700"</f>
        <v>1700</v>
      </c>
      <c r="D1571" s="14" t="str">
        <f>"84037"</f>
        <v>84037</v>
      </c>
      <c r="E1571" s="14" t="s">
        <v>1580</v>
      </c>
      <c r="F1571" s="14" t="s">
        <v>1532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392</v>
      </c>
      <c r="L1571" s="14" t="s">
        <v>526</v>
      </c>
      <c r="P1571" s="14" t="s">
        <v>31</v>
      </c>
      <c r="Q1571" s="14" t="s">
        <v>31</v>
      </c>
      <c r="R1571" s="14" t="s">
        <v>392</v>
      </c>
    </row>
    <row r="1572" spans="1:18" s="14" customFormat="1" x14ac:dyDescent="0.25">
      <c r="A1572" s="14" t="str">
        <f>"84040"</f>
        <v>84040</v>
      </c>
      <c r="B1572" s="14" t="str">
        <f>"07020"</f>
        <v>07020</v>
      </c>
      <c r="C1572" s="14" t="str">
        <f>"1700"</f>
        <v>1700</v>
      </c>
      <c r="D1572" s="14" t="str">
        <f>"84040"</f>
        <v>84040</v>
      </c>
      <c r="E1572" s="14" t="s">
        <v>1581</v>
      </c>
      <c r="F1572" s="14" t="s">
        <v>1532</v>
      </c>
      <c r="G1572" s="14" t="str">
        <f>""</f>
        <v/>
      </c>
      <c r="H1572" s="14" t="str">
        <f>" 10"</f>
        <v xml:space="preserve"> 10</v>
      </c>
      <c r="I1572" s="14">
        <v>0.01</v>
      </c>
      <c r="J1572" s="14">
        <v>500</v>
      </c>
      <c r="K1572" s="14" t="s">
        <v>146</v>
      </c>
      <c r="L1572" s="14" t="s">
        <v>147</v>
      </c>
      <c r="P1572" s="14" t="s">
        <v>31</v>
      </c>
      <c r="Q1572" s="14" t="s">
        <v>31</v>
      </c>
      <c r="R1572" s="14" t="s">
        <v>146</v>
      </c>
    </row>
    <row r="1573" spans="1:18" s="14" customFormat="1" x14ac:dyDescent="0.25">
      <c r="A1573" s="14" t="str">
        <f>"84040"</f>
        <v>84040</v>
      </c>
      <c r="B1573" s="14" t="str">
        <f>"07020"</f>
        <v>07020</v>
      </c>
      <c r="C1573" s="14" t="str">
        <f>"1700"</f>
        <v>1700</v>
      </c>
      <c r="D1573" s="14" t="str">
        <f>"84040"</f>
        <v>84040</v>
      </c>
      <c r="E1573" s="14" t="s">
        <v>1581</v>
      </c>
      <c r="F1573" s="14" t="s">
        <v>1532</v>
      </c>
      <c r="G1573" s="14" t="str">
        <f>""</f>
        <v/>
      </c>
      <c r="H1573" s="14" t="str">
        <f>" 20"</f>
        <v xml:space="preserve"> 20</v>
      </c>
      <c r="I1573" s="14">
        <v>500.01</v>
      </c>
      <c r="J1573" s="14">
        <v>9999999.9900000002</v>
      </c>
      <c r="K1573" s="14" t="s">
        <v>147</v>
      </c>
      <c r="L1573" s="14" t="s">
        <v>148</v>
      </c>
      <c r="P1573" s="14" t="s">
        <v>31</v>
      </c>
      <c r="Q1573" s="14" t="s">
        <v>31</v>
      </c>
      <c r="R1573" s="14" t="s">
        <v>146</v>
      </c>
    </row>
    <row r="1574" spans="1:18" s="14" customFormat="1" x14ac:dyDescent="0.25">
      <c r="A1574" s="14" t="str">
        <f>"84041"</f>
        <v>84041</v>
      </c>
      <c r="B1574" s="14" t="str">
        <f>"07020"</f>
        <v>07020</v>
      </c>
      <c r="C1574" s="14" t="str">
        <f>"1700"</f>
        <v>1700</v>
      </c>
      <c r="D1574" s="14" t="str">
        <f>"84041"</f>
        <v>84041</v>
      </c>
      <c r="E1574" s="14" t="s">
        <v>1582</v>
      </c>
      <c r="F1574" s="14" t="s">
        <v>1532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1583</v>
      </c>
      <c r="M1574" s="14" t="s">
        <v>72</v>
      </c>
      <c r="P1574" s="14" t="s">
        <v>31</v>
      </c>
      <c r="Q1574" s="14" t="s">
        <v>31</v>
      </c>
      <c r="R1574" s="14" t="s">
        <v>72</v>
      </c>
    </row>
    <row r="1575" spans="1:18" s="14" customFormat="1" x14ac:dyDescent="0.25">
      <c r="A1575" s="14" t="str">
        <f>"84042"</f>
        <v>84042</v>
      </c>
      <c r="B1575" s="14" t="str">
        <f>"07020"</f>
        <v>07020</v>
      </c>
      <c r="C1575" s="14" t="str">
        <f>"1700"</f>
        <v>1700</v>
      </c>
      <c r="D1575" s="14" t="str">
        <f>"84042"</f>
        <v>84042</v>
      </c>
      <c r="E1575" s="14" t="s">
        <v>1584</v>
      </c>
      <c r="F1575" s="14" t="s">
        <v>1532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993</v>
      </c>
      <c r="P1575" s="14" t="s">
        <v>31</v>
      </c>
      <c r="Q1575" s="14" t="s">
        <v>31</v>
      </c>
      <c r="R1575" s="14" t="s">
        <v>993</v>
      </c>
    </row>
    <row r="1576" spans="1:18" s="14" customFormat="1" x14ac:dyDescent="0.25">
      <c r="A1576" s="14" t="str">
        <f>"84044"</f>
        <v>84044</v>
      </c>
      <c r="B1576" s="14" t="str">
        <f>"07020"</f>
        <v>07020</v>
      </c>
      <c r="C1576" s="14" t="str">
        <f>"1700"</f>
        <v>1700</v>
      </c>
      <c r="D1576" s="14" t="str">
        <f>"84044"</f>
        <v>84044</v>
      </c>
      <c r="E1576" s="14" t="s">
        <v>1585</v>
      </c>
      <c r="F1576" s="14" t="s">
        <v>1532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1586</v>
      </c>
      <c r="P1576" s="14" t="s">
        <v>31</v>
      </c>
      <c r="Q1576" s="14" t="s">
        <v>31</v>
      </c>
      <c r="R1576" s="14" t="s">
        <v>1586</v>
      </c>
    </row>
    <row r="1577" spans="1:18" s="14" customFormat="1" x14ac:dyDescent="0.25">
      <c r="A1577" s="14" t="str">
        <f>"84045"</f>
        <v>84045</v>
      </c>
      <c r="B1577" s="14" t="str">
        <f>"07020"</f>
        <v>07020</v>
      </c>
      <c r="C1577" s="14" t="str">
        <f>"1700"</f>
        <v>1700</v>
      </c>
      <c r="D1577" s="14" t="str">
        <f>"84045"</f>
        <v>84045</v>
      </c>
      <c r="E1577" s="14" t="s">
        <v>1587</v>
      </c>
      <c r="F1577" s="14" t="s">
        <v>1532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109</v>
      </c>
      <c r="L1577" s="14" t="s">
        <v>72</v>
      </c>
      <c r="P1577" s="14" t="s">
        <v>31</v>
      </c>
      <c r="Q1577" s="14" t="s">
        <v>31</v>
      </c>
      <c r="R1577" s="14" t="s">
        <v>72</v>
      </c>
    </row>
    <row r="1578" spans="1:18" s="14" customFormat="1" x14ac:dyDescent="0.25">
      <c r="A1578" s="14" t="str">
        <f>"84047"</f>
        <v>84047</v>
      </c>
      <c r="B1578" s="14" t="str">
        <f>"07020"</f>
        <v>07020</v>
      </c>
      <c r="C1578" s="14" t="str">
        <f>"1700"</f>
        <v>1700</v>
      </c>
      <c r="D1578" s="14" t="str">
        <f>"84047"</f>
        <v>84047</v>
      </c>
      <c r="E1578" s="14" t="s">
        <v>1588</v>
      </c>
      <c r="F1578" s="14" t="s">
        <v>1532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404</v>
      </c>
      <c r="L1578" s="14" t="s">
        <v>405</v>
      </c>
      <c r="P1578" s="14" t="s">
        <v>31</v>
      </c>
      <c r="Q1578" s="14" t="s">
        <v>31</v>
      </c>
      <c r="R1578" s="14" t="s">
        <v>403</v>
      </c>
    </row>
    <row r="1579" spans="1:18" s="14" customFormat="1" x14ac:dyDescent="0.25">
      <c r="A1579" s="14" t="str">
        <f>"84048"</f>
        <v>84048</v>
      </c>
      <c r="B1579" s="14" t="str">
        <f>"07020"</f>
        <v>07020</v>
      </c>
      <c r="C1579" s="14" t="str">
        <f>"1700"</f>
        <v>1700</v>
      </c>
      <c r="D1579" s="14" t="str">
        <f>"84048"</f>
        <v>84048</v>
      </c>
      <c r="E1579" s="14" t="s">
        <v>1589</v>
      </c>
      <c r="F1579" s="14" t="s">
        <v>1532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69</v>
      </c>
      <c r="L1579" s="14" t="s">
        <v>71</v>
      </c>
      <c r="M1579" s="14" t="s">
        <v>70</v>
      </c>
      <c r="N1579" s="14" t="s">
        <v>72</v>
      </c>
      <c r="P1579" s="14" t="s">
        <v>31</v>
      </c>
      <c r="Q1579" s="14" t="s">
        <v>31</v>
      </c>
      <c r="R1579" s="14" t="s">
        <v>69</v>
      </c>
    </row>
    <row r="1580" spans="1:18" s="14" customFormat="1" x14ac:dyDescent="0.25">
      <c r="A1580" s="14" t="str">
        <f>"84050"</f>
        <v>84050</v>
      </c>
      <c r="B1580" s="14" t="str">
        <f>"07020"</f>
        <v>07020</v>
      </c>
      <c r="C1580" s="14" t="str">
        <f>"1700"</f>
        <v>1700</v>
      </c>
      <c r="D1580" s="14" t="str">
        <f>"84050"</f>
        <v>84050</v>
      </c>
      <c r="E1580" s="14" t="s">
        <v>1590</v>
      </c>
      <c r="F1580" s="14" t="s">
        <v>1532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392</v>
      </c>
      <c r="L1580" s="14" t="s">
        <v>526</v>
      </c>
      <c r="P1580" s="14" t="s">
        <v>31</v>
      </c>
      <c r="Q1580" s="14" t="s">
        <v>31</v>
      </c>
      <c r="R1580" s="14" t="s">
        <v>392</v>
      </c>
    </row>
    <row r="1581" spans="1:18" s="14" customFormat="1" x14ac:dyDescent="0.25">
      <c r="A1581" s="14" t="str">
        <f>"84051"</f>
        <v>84051</v>
      </c>
      <c r="B1581" s="14" t="str">
        <f>"07020"</f>
        <v>07020</v>
      </c>
      <c r="C1581" s="14" t="str">
        <f>"1700"</f>
        <v>1700</v>
      </c>
      <c r="D1581" s="14" t="str">
        <f>"84051"</f>
        <v>84051</v>
      </c>
      <c r="E1581" s="14" t="s">
        <v>1591</v>
      </c>
      <c r="F1581" s="14" t="s">
        <v>1532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392</v>
      </c>
      <c r="L1581" s="14" t="s">
        <v>526</v>
      </c>
      <c r="P1581" s="14" t="s">
        <v>31</v>
      </c>
      <c r="Q1581" s="14" t="s">
        <v>31</v>
      </c>
      <c r="R1581" s="14" t="s">
        <v>392</v>
      </c>
    </row>
    <row r="1582" spans="1:18" s="14" customFormat="1" x14ac:dyDescent="0.25">
      <c r="A1582" s="14" t="str">
        <f>"84052"</f>
        <v>84052</v>
      </c>
      <c r="B1582" s="14" t="str">
        <f>"07020"</f>
        <v>07020</v>
      </c>
      <c r="C1582" s="14" t="str">
        <f>"1700"</f>
        <v>1700</v>
      </c>
      <c r="D1582" s="14" t="str">
        <f>"84052"</f>
        <v>84052</v>
      </c>
      <c r="E1582" s="14" t="s">
        <v>1592</v>
      </c>
      <c r="F1582" s="14" t="s">
        <v>1532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48</v>
      </c>
      <c r="L1582" s="14" t="s">
        <v>97</v>
      </c>
      <c r="M1582" s="14" t="s">
        <v>98</v>
      </c>
      <c r="P1582" s="14" t="s">
        <v>31</v>
      </c>
      <c r="Q1582" s="14" t="s">
        <v>31</v>
      </c>
      <c r="R1582" s="14" t="s">
        <v>49</v>
      </c>
    </row>
    <row r="1583" spans="1:18" s="14" customFormat="1" x14ac:dyDescent="0.25">
      <c r="A1583" s="14" t="str">
        <f>"84054"</f>
        <v>84054</v>
      </c>
      <c r="B1583" s="14" t="str">
        <f>"07020"</f>
        <v>07020</v>
      </c>
      <c r="C1583" s="14" t="str">
        <f>"1700"</f>
        <v>1700</v>
      </c>
      <c r="D1583" s="14" t="str">
        <f>"84054"</f>
        <v>84054</v>
      </c>
      <c r="E1583" s="14" t="s">
        <v>1593</v>
      </c>
      <c r="F1583" s="14" t="s">
        <v>1532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755</v>
      </c>
      <c r="L1583" s="14" t="s">
        <v>751</v>
      </c>
      <c r="M1583" s="14" t="s">
        <v>72</v>
      </c>
      <c r="P1583" s="14" t="s">
        <v>31</v>
      </c>
      <c r="Q1583" s="14" t="s">
        <v>31</v>
      </c>
      <c r="R1583" s="14" t="s">
        <v>755</v>
      </c>
    </row>
    <row r="1584" spans="1:18" s="14" customFormat="1" x14ac:dyDescent="0.25">
      <c r="A1584" s="14" t="str">
        <f>"84055"</f>
        <v>84055</v>
      </c>
      <c r="B1584" s="14" t="str">
        <f>"07020"</f>
        <v>07020</v>
      </c>
      <c r="C1584" s="14" t="str">
        <f>"1700"</f>
        <v>1700</v>
      </c>
      <c r="D1584" s="14" t="str">
        <f>"84055"</f>
        <v>84055</v>
      </c>
      <c r="E1584" s="14" t="s">
        <v>1594</v>
      </c>
      <c r="F1584" s="14" t="s">
        <v>1532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392</v>
      </c>
      <c r="P1584" s="14" t="s">
        <v>31</v>
      </c>
      <c r="Q1584" s="14" t="s">
        <v>31</v>
      </c>
      <c r="R1584" s="14" t="s">
        <v>392</v>
      </c>
    </row>
    <row r="1585" spans="1:18" s="14" customFormat="1" x14ac:dyDescent="0.25">
      <c r="A1585" s="14" t="str">
        <f>"84056"</f>
        <v>84056</v>
      </c>
      <c r="B1585" s="14" t="str">
        <f>"07020"</f>
        <v>07020</v>
      </c>
      <c r="C1585" s="14" t="str">
        <f>"1700"</f>
        <v>1700</v>
      </c>
      <c r="D1585" s="14" t="str">
        <f>"84056"</f>
        <v>84056</v>
      </c>
      <c r="E1585" s="14" t="s">
        <v>1595</v>
      </c>
      <c r="F1585" s="14" t="s">
        <v>1532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70</v>
      </c>
      <c r="L1585" s="14" t="s">
        <v>72</v>
      </c>
      <c r="P1585" s="14" t="s">
        <v>31</v>
      </c>
      <c r="Q1585" s="14" t="s">
        <v>31</v>
      </c>
      <c r="R1585" s="14" t="s">
        <v>70</v>
      </c>
    </row>
    <row r="1586" spans="1:18" s="14" customFormat="1" x14ac:dyDescent="0.25">
      <c r="A1586" s="14" t="str">
        <f>"84058"</f>
        <v>84058</v>
      </c>
      <c r="B1586" s="14" t="str">
        <f>"07020"</f>
        <v>07020</v>
      </c>
      <c r="C1586" s="14" t="str">
        <f>"1700"</f>
        <v>1700</v>
      </c>
      <c r="D1586" s="14" t="str">
        <f>"84058"</f>
        <v>84058</v>
      </c>
      <c r="E1586" s="14" t="s">
        <v>1596</v>
      </c>
      <c r="F1586" s="14" t="s">
        <v>1532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1597</v>
      </c>
      <c r="L1586" s="14" t="s">
        <v>1598</v>
      </c>
      <c r="M1586" s="14" t="s">
        <v>72</v>
      </c>
      <c r="P1586" s="14" t="s">
        <v>31</v>
      </c>
      <c r="Q1586" s="14" t="s">
        <v>31</v>
      </c>
      <c r="R1586" s="14" t="s">
        <v>72</v>
      </c>
    </row>
    <row r="1587" spans="1:18" s="14" customFormat="1" x14ac:dyDescent="0.25">
      <c r="A1587" s="14" t="str">
        <f>"84059"</f>
        <v>84059</v>
      </c>
      <c r="B1587" s="14" t="str">
        <f>"07020"</f>
        <v>07020</v>
      </c>
      <c r="C1587" s="14" t="str">
        <f>"1700"</f>
        <v>1700</v>
      </c>
      <c r="D1587" s="14" t="str">
        <f>"84059"</f>
        <v>84059</v>
      </c>
      <c r="E1587" s="14" t="s">
        <v>1599</v>
      </c>
      <c r="F1587" s="14" t="s">
        <v>1532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1600</v>
      </c>
      <c r="L1587" s="14" t="s">
        <v>392</v>
      </c>
      <c r="P1587" s="14" t="s">
        <v>31</v>
      </c>
      <c r="Q1587" s="14" t="s">
        <v>31</v>
      </c>
      <c r="R1587" s="14" t="s">
        <v>1600</v>
      </c>
    </row>
    <row r="1588" spans="1:18" s="14" customFormat="1" x14ac:dyDescent="0.25">
      <c r="A1588" s="14" t="str">
        <f>"84060"</f>
        <v>84060</v>
      </c>
      <c r="B1588" s="14" t="str">
        <f>"07020"</f>
        <v>07020</v>
      </c>
      <c r="C1588" s="14" t="str">
        <f>"1700"</f>
        <v>1700</v>
      </c>
      <c r="D1588" s="14" t="str">
        <f>"84060"</f>
        <v>84060</v>
      </c>
      <c r="E1588" s="14" t="s">
        <v>1601</v>
      </c>
      <c r="F1588" s="14" t="s">
        <v>1532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1602</v>
      </c>
      <c r="L1588" s="14" t="s">
        <v>181</v>
      </c>
      <c r="P1588" s="14" t="s">
        <v>31</v>
      </c>
      <c r="Q1588" s="14" t="s">
        <v>31</v>
      </c>
      <c r="R1588" s="14" t="s">
        <v>1602</v>
      </c>
    </row>
    <row r="1589" spans="1:18" s="14" customFormat="1" x14ac:dyDescent="0.25">
      <c r="A1589" s="14" t="str">
        <f>"84061"</f>
        <v>84061</v>
      </c>
      <c r="B1589" s="14" t="str">
        <f>"07020"</f>
        <v>07020</v>
      </c>
      <c r="C1589" s="14" t="str">
        <f>"1700"</f>
        <v>1700</v>
      </c>
      <c r="D1589" s="14" t="str">
        <f>"84061"</f>
        <v>84061</v>
      </c>
      <c r="E1589" s="14" t="s">
        <v>1603</v>
      </c>
      <c r="F1589" s="14" t="s">
        <v>1532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141</v>
      </c>
      <c r="L1589" s="14" t="s">
        <v>71</v>
      </c>
      <c r="M1589" s="14" t="s">
        <v>72</v>
      </c>
      <c r="P1589" s="14" t="s">
        <v>31</v>
      </c>
      <c r="Q1589" s="14" t="s">
        <v>31</v>
      </c>
      <c r="R1589" s="14" t="s">
        <v>141</v>
      </c>
    </row>
    <row r="1590" spans="1:18" s="14" customFormat="1" x14ac:dyDescent="0.25">
      <c r="A1590" s="14" t="str">
        <f>"84063"</f>
        <v>84063</v>
      </c>
      <c r="B1590" s="14" t="str">
        <f>"07020"</f>
        <v>07020</v>
      </c>
      <c r="C1590" s="14" t="str">
        <f>"1700"</f>
        <v>1700</v>
      </c>
      <c r="D1590" s="14" t="str">
        <f>"84063"</f>
        <v>84063</v>
      </c>
      <c r="E1590" s="14" t="s">
        <v>1604</v>
      </c>
      <c r="F1590" s="14" t="s">
        <v>1532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392</v>
      </c>
      <c r="L1590" s="14" t="s">
        <v>526</v>
      </c>
      <c r="P1590" s="14" t="s">
        <v>31</v>
      </c>
      <c r="Q1590" s="14" t="s">
        <v>31</v>
      </c>
      <c r="R1590" s="14" t="s">
        <v>392</v>
      </c>
    </row>
    <row r="1591" spans="1:18" s="14" customFormat="1" x14ac:dyDescent="0.25">
      <c r="A1591" s="14" t="str">
        <f>"84064"</f>
        <v>84064</v>
      </c>
      <c r="B1591" s="14" t="str">
        <f>"07020"</f>
        <v>07020</v>
      </c>
      <c r="C1591" s="14" t="str">
        <f>"1700"</f>
        <v>1700</v>
      </c>
      <c r="D1591" s="14" t="str">
        <f>"84064"</f>
        <v>84064</v>
      </c>
      <c r="E1591" s="14" t="s">
        <v>1605</v>
      </c>
      <c r="F1591" s="14" t="s">
        <v>1532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379</v>
      </c>
      <c r="L1591" s="14" t="s">
        <v>394</v>
      </c>
      <c r="M1591" s="14" t="s">
        <v>395</v>
      </c>
      <c r="P1591" s="14" t="s">
        <v>31</v>
      </c>
      <c r="Q1591" s="14" t="s">
        <v>31</v>
      </c>
      <c r="R1591" s="14" t="s">
        <v>394</v>
      </c>
    </row>
    <row r="1592" spans="1:18" s="14" customFormat="1" x14ac:dyDescent="0.25">
      <c r="A1592" s="14" t="str">
        <f>"84065"</f>
        <v>84065</v>
      </c>
      <c r="B1592" s="14" t="str">
        <f>"07020"</f>
        <v>07020</v>
      </c>
      <c r="C1592" s="14" t="str">
        <f>"1700"</f>
        <v>1700</v>
      </c>
      <c r="D1592" s="14" t="str">
        <f>"84065"</f>
        <v>84065</v>
      </c>
      <c r="E1592" s="14" t="s">
        <v>1606</v>
      </c>
      <c r="F1592" s="14" t="s">
        <v>1532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1544</v>
      </c>
      <c r="L1592" s="14" t="s">
        <v>1607</v>
      </c>
      <c r="P1592" s="14" t="s">
        <v>31</v>
      </c>
      <c r="Q1592" s="14" t="s">
        <v>31</v>
      </c>
      <c r="R1592" s="14" t="s">
        <v>1544</v>
      </c>
    </row>
    <row r="1593" spans="1:18" s="14" customFormat="1" x14ac:dyDescent="0.25">
      <c r="A1593" s="14" t="str">
        <f>"84067"</f>
        <v>84067</v>
      </c>
      <c r="B1593" s="14" t="str">
        <f>"07020"</f>
        <v>07020</v>
      </c>
      <c r="C1593" s="14" t="str">
        <f>"1700"</f>
        <v>1700</v>
      </c>
      <c r="D1593" s="14" t="str">
        <f>"84067"</f>
        <v>84067</v>
      </c>
      <c r="E1593" s="14" t="s">
        <v>1608</v>
      </c>
      <c r="F1593" s="14" t="s">
        <v>1532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192</v>
      </c>
      <c r="L1593" s="14" t="s">
        <v>194</v>
      </c>
      <c r="P1593" s="14" t="s">
        <v>31</v>
      </c>
      <c r="Q1593" s="14" t="s">
        <v>31</v>
      </c>
      <c r="R1593" s="14" t="s">
        <v>192</v>
      </c>
    </row>
    <row r="1594" spans="1:18" s="14" customFormat="1" x14ac:dyDescent="0.25">
      <c r="A1594" s="14" t="str">
        <f>"84068"</f>
        <v>84068</v>
      </c>
      <c r="B1594" s="14" t="str">
        <f>"07020"</f>
        <v>07020</v>
      </c>
      <c r="C1594" s="14" t="str">
        <f>"1700"</f>
        <v>1700</v>
      </c>
      <c r="D1594" s="14" t="str">
        <f>"84068"</f>
        <v>84068</v>
      </c>
      <c r="E1594" s="14" t="s">
        <v>1609</v>
      </c>
      <c r="F1594" s="14" t="s">
        <v>1532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1607</v>
      </c>
      <c r="L1594" s="14" t="s">
        <v>141</v>
      </c>
      <c r="M1594" s="14" t="s">
        <v>72</v>
      </c>
      <c r="P1594" s="14" t="s">
        <v>31</v>
      </c>
      <c r="Q1594" s="14" t="s">
        <v>31</v>
      </c>
      <c r="R1594" s="14" t="s">
        <v>1607</v>
      </c>
    </row>
    <row r="1595" spans="1:18" s="14" customFormat="1" x14ac:dyDescent="0.25">
      <c r="A1595" s="14" t="str">
        <f>"84069"</f>
        <v>84069</v>
      </c>
      <c r="B1595" s="14" t="str">
        <f>"07020"</f>
        <v>07020</v>
      </c>
      <c r="C1595" s="14" t="str">
        <f>"1700"</f>
        <v>1700</v>
      </c>
      <c r="D1595" s="14" t="str">
        <f>"84069"</f>
        <v>84069</v>
      </c>
      <c r="E1595" s="14" t="s">
        <v>1610</v>
      </c>
      <c r="F1595" s="14" t="s">
        <v>1532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381</v>
      </c>
      <c r="L1595" s="14" t="s">
        <v>382</v>
      </c>
      <c r="M1595" s="14" t="s">
        <v>1570</v>
      </c>
      <c r="P1595" s="14" t="s">
        <v>31</v>
      </c>
      <c r="Q1595" s="14" t="s">
        <v>31</v>
      </c>
      <c r="R1595" s="14" t="s">
        <v>383</v>
      </c>
    </row>
    <row r="1596" spans="1:18" s="14" customFormat="1" x14ac:dyDescent="0.25">
      <c r="A1596" s="14" t="str">
        <f>"84070"</f>
        <v>84070</v>
      </c>
      <c r="B1596" s="14" t="str">
        <f>"07020"</f>
        <v>07020</v>
      </c>
      <c r="C1596" s="14" t="str">
        <f>"1700"</f>
        <v>1700</v>
      </c>
      <c r="D1596" s="14" t="str">
        <f>"84070"</f>
        <v>84070</v>
      </c>
      <c r="E1596" s="14" t="s">
        <v>1611</v>
      </c>
      <c r="F1596" s="14" t="s">
        <v>1532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1534</v>
      </c>
      <c r="L1596" s="14" t="s">
        <v>387</v>
      </c>
      <c r="M1596" s="14" t="s">
        <v>386</v>
      </c>
      <c r="P1596" s="14" t="s">
        <v>31</v>
      </c>
      <c r="Q1596" s="14" t="s">
        <v>31</v>
      </c>
      <c r="R1596" s="14" t="s">
        <v>1534</v>
      </c>
    </row>
    <row r="1597" spans="1:18" s="14" customFormat="1" x14ac:dyDescent="0.25">
      <c r="A1597" s="14" t="str">
        <f>"84071"</f>
        <v>84071</v>
      </c>
      <c r="B1597" s="14" t="str">
        <f>"07020"</f>
        <v>07020</v>
      </c>
      <c r="C1597" s="14" t="str">
        <f>"1700"</f>
        <v>1700</v>
      </c>
      <c r="D1597" s="14" t="str">
        <f>"84071"</f>
        <v>84071</v>
      </c>
      <c r="E1597" s="14" t="s">
        <v>1612</v>
      </c>
      <c r="F1597" s="14" t="s">
        <v>1532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890</v>
      </c>
      <c r="L1597" s="14" t="s">
        <v>109</v>
      </c>
      <c r="M1597" s="14" t="s">
        <v>72</v>
      </c>
      <c r="P1597" s="14" t="s">
        <v>31</v>
      </c>
      <c r="Q1597" s="14" t="s">
        <v>31</v>
      </c>
      <c r="R1597" s="14" t="s">
        <v>890</v>
      </c>
    </row>
    <row r="1598" spans="1:18" s="14" customFormat="1" x14ac:dyDescent="0.25">
      <c r="A1598" s="14" t="str">
        <f>"84072"</f>
        <v>84072</v>
      </c>
      <c r="B1598" s="14" t="str">
        <f>"07020"</f>
        <v>07020</v>
      </c>
      <c r="C1598" s="14" t="str">
        <f>"1700"</f>
        <v>1700</v>
      </c>
      <c r="D1598" s="14" t="str">
        <f>"84072"</f>
        <v>84072</v>
      </c>
      <c r="E1598" s="14" t="s">
        <v>1613</v>
      </c>
      <c r="F1598" s="14" t="s">
        <v>1532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1614</v>
      </c>
      <c r="L1598" s="14" t="s">
        <v>69</v>
      </c>
      <c r="M1598" s="14" t="s">
        <v>70</v>
      </c>
      <c r="N1598" s="14" t="s">
        <v>71</v>
      </c>
      <c r="P1598" s="14" t="s">
        <v>31</v>
      </c>
      <c r="Q1598" s="14" t="s">
        <v>31</v>
      </c>
      <c r="R1598" s="14" t="s">
        <v>72</v>
      </c>
    </row>
    <row r="1599" spans="1:18" s="14" customFormat="1" x14ac:dyDescent="0.25">
      <c r="A1599" s="14" t="str">
        <f>"84074"</f>
        <v>84074</v>
      </c>
      <c r="B1599" s="14" t="str">
        <f>"07020"</f>
        <v>07020</v>
      </c>
      <c r="C1599" s="14" t="str">
        <f>"1700"</f>
        <v>1700</v>
      </c>
      <c r="D1599" s="14" t="str">
        <f>"84074"</f>
        <v>84074</v>
      </c>
      <c r="E1599" s="14" t="s">
        <v>1615</v>
      </c>
      <c r="F1599" s="14" t="s">
        <v>1532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392</v>
      </c>
      <c r="L1599" s="14" t="s">
        <v>526</v>
      </c>
      <c r="P1599" s="14" t="s">
        <v>31</v>
      </c>
      <c r="Q1599" s="14" t="s">
        <v>31</v>
      </c>
      <c r="R1599" s="14" t="s">
        <v>392</v>
      </c>
    </row>
    <row r="1600" spans="1:18" s="14" customFormat="1" x14ac:dyDescent="0.25">
      <c r="A1600" s="14" t="str">
        <f>"84079"</f>
        <v>84079</v>
      </c>
      <c r="B1600" s="14" t="str">
        <f>"07020"</f>
        <v>07020</v>
      </c>
      <c r="C1600" s="14" t="str">
        <f>"1700"</f>
        <v>1700</v>
      </c>
      <c r="D1600" s="14" t="str">
        <f>"84079"</f>
        <v>84079</v>
      </c>
      <c r="E1600" s="14" t="s">
        <v>1616</v>
      </c>
      <c r="F1600" s="14" t="s">
        <v>1532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1540</v>
      </c>
      <c r="L1600" s="14" t="s">
        <v>1617</v>
      </c>
      <c r="M1600" s="14" t="s">
        <v>72</v>
      </c>
      <c r="P1600" s="14" t="s">
        <v>31</v>
      </c>
      <c r="Q1600" s="14" t="s">
        <v>31</v>
      </c>
      <c r="R1600" s="14" t="s">
        <v>1540</v>
      </c>
    </row>
    <row r="1601" spans="1:18" s="14" customFormat="1" x14ac:dyDescent="0.25">
      <c r="A1601" s="14" t="str">
        <f>"84080"</f>
        <v>84080</v>
      </c>
      <c r="B1601" s="14" t="str">
        <f>"07020"</f>
        <v>07020</v>
      </c>
      <c r="C1601" s="14" t="str">
        <f>"1700"</f>
        <v>1700</v>
      </c>
      <c r="D1601" s="14" t="str">
        <f>"84080"</f>
        <v>84080</v>
      </c>
      <c r="E1601" s="14" t="s">
        <v>1618</v>
      </c>
      <c r="F1601" s="14" t="s">
        <v>1532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1619</v>
      </c>
      <c r="L1601" s="14" t="s">
        <v>862</v>
      </c>
      <c r="M1601" s="14" t="s">
        <v>72</v>
      </c>
      <c r="P1601" s="14" t="s">
        <v>31</v>
      </c>
      <c r="Q1601" s="14" t="s">
        <v>31</v>
      </c>
      <c r="R1601" s="14" t="s">
        <v>1619</v>
      </c>
    </row>
    <row r="1602" spans="1:18" s="14" customFormat="1" x14ac:dyDescent="0.25">
      <c r="A1602" s="14" t="str">
        <f>"84081"</f>
        <v>84081</v>
      </c>
      <c r="B1602" s="14" t="str">
        <f>"07020"</f>
        <v>07020</v>
      </c>
      <c r="C1602" s="14" t="str">
        <f>"1700"</f>
        <v>1700</v>
      </c>
      <c r="D1602" s="14" t="str">
        <f>"84081"</f>
        <v>84081</v>
      </c>
      <c r="E1602" s="14" t="s">
        <v>1620</v>
      </c>
      <c r="F1602" s="14" t="s">
        <v>1532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401</v>
      </c>
      <c r="L1602" s="14" t="s">
        <v>392</v>
      </c>
      <c r="P1602" s="14" t="s">
        <v>31</v>
      </c>
      <c r="Q1602" s="14" t="s">
        <v>31</v>
      </c>
      <c r="R1602" s="14" t="s">
        <v>401</v>
      </c>
    </row>
    <row r="1603" spans="1:18" s="14" customFormat="1" x14ac:dyDescent="0.25">
      <c r="A1603" s="14" t="str">
        <f>"84084"</f>
        <v>84084</v>
      </c>
      <c r="B1603" s="14" t="str">
        <f>"07020"</f>
        <v>07020</v>
      </c>
      <c r="C1603" s="14" t="str">
        <f>"1700"</f>
        <v>1700</v>
      </c>
      <c r="D1603" s="14" t="str">
        <f>"84084"</f>
        <v>84084</v>
      </c>
      <c r="E1603" s="14" t="s">
        <v>1621</v>
      </c>
      <c r="F1603" s="14" t="s">
        <v>1532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381</v>
      </c>
      <c r="L1603" s="14" t="s">
        <v>382</v>
      </c>
      <c r="M1603" s="14" t="s">
        <v>1570</v>
      </c>
      <c r="P1603" s="14" t="s">
        <v>31</v>
      </c>
      <c r="Q1603" s="14" t="s">
        <v>31</v>
      </c>
      <c r="R1603" s="14" t="s">
        <v>383</v>
      </c>
    </row>
    <row r="1604" spans="1:18" s="14" customFormat="1" x14ac:dyDescent="0.25">
      <c r="A1604" s="14" t="str">
        <f>"84086"</f>
        <v>84086</v>
      </c>
      <c r="B1604" s="14" t="str">
        <f>"07020"</f>
        <v>07020</v>
      </c>
      <c r="C1604" s="14" t="str">
        <f>"1700"</f>
        <v>1700</v>
      </c>
      <c r="D1604" s="14" t="str">
        <f>"84086"</f>
        <v>84086</v>
      </c>
      <c r="E1604" s="14" t="s">
        <v>1622</v>
      </c>
      <c r="F1604" s="14" t="s">
        <v>1532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184</v>
      </c>
      <c r="L1604" s="14" t="s">
        <v>37</v>
      </c>
      <c r="P1604" s="14" t="s">
        <v>31</v>
      </c>
      <c r="Q1604" s="14" t="s">
        <v>31</v>
      </c>
      <c r="R1604" s="14" t="s">
        <v>115</v>
      </c>
    </row>
    <row r="1605" spans="1:18" s="14" customFormat="1" x14ac:dyDescent="0.25">
      <c r="A1605" s="14" t="str">
        <f>"84088"</f>
        <v>84088</v>
      </c>
      <c r="B1605" s="14" t="str">
        <f>"07020"</f>
        <v>07020</v>
      </c>
      <c r="C1605" s="14" t="str">
        <f>"1700"</f>
        <v>1700</v>
      </c>
      <c r="D1605" s="14" t="str">
        <f>"84088"</f>
        <v>84088</v>
      </c>
      <c r="E1605" s="14" t="s">
        <v>1623</v>
      </c>
      <c r="F1605" s="14" t="s">
        <v>1532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60</v>
      </c>
      <c r="L1605" s="14" t="s">
        <v>53</v>
      </c>
      <c r="P1605" s="14" t="s">
        <v>31</v>
      </c>
      <c r="Q1605" s="14" t="s">
        <v>31</v>
      </c>
      <c r="R1605" s="14" t="s">
        <v>60</v>
      </c>
    </row>
    <row r="1606" spans="1:18" s="14" customFormat="1" x14ac:dyDescent="0.25">
      <c r="A1606" s="14" t="str">
        <f>"84090"</f>
        <v>84090</v>
      </c>
      <c r="B1606" s="14" t="str">
        <f>"07020"</f>
        <v>07020</v>
      </c>
      <c r="C1606" s="14" t="str">
        <f>"1700"</f>
        <v>1700</v>
      </c>
      <c r="D1606" s="14" t="str">
        <f>"84090"</f>
        <v>84090</v>
      </c>
      <c r="E1606" s="14" t="s">
        <v>1624</v>
      </c>
      <c r="F1606" s="14" t="s">
        <v>1532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386</v>
      </c>
      <c r="L1606" s="14" t="s">
        <v>392</v>
      </c>
      <c r="M1606" s="14" t="s">
        <v>1625</v>
      </c>
      <c r="P1606" s="14" t="s">
        <v>31</v>
      </c>
      <c r="Q1606" s="14" t="s">
        <v>31</v>
      </c>
      <c r="R1606" s="14" t="s">
        <v>388</v>
      </c>
    </row>
    <row r="1607" spans="1:18" s="14" customFormat="1" x14ac:dyDescent="0.25">
      <c r="A1607" s="14" t="str">
        <f>"84091"</f>
        <v>84091</v>
      </c>
      <c r="B1607" s="14" t="str">
        <f>"07020"</f>
        <v>07020</v>
      </c>
      <c r="C1607" s="14" t="str">
        <f>"1700"</f>
        <v>1700</v>
      </c>
      <c r="D1607" s="14" t="str">
        <f>"84091"</f>
        <v>84091</v>
      </c>
      <c r="E1607" s="14" t="s">
        <v>1626</v>
      </c>
      <c r="F1607" s="14" t="s">
        <v>1532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188</v>
      </c>
      <c r="L1607" s="14" t="s">
        <v>1627</v>
      </c>
      <c r="M1607" s="14" t="s">
        <v>853</v>
      </c>
      <c r="N1607" s="14" t="s">
        <v>1628</v>
      </c>
      <c r="P1607" s="14" t="s">
        <v>31</v>
      </c>
      <c r="Q1607" s="14" t="s">
        <v>31</v>
      </c>
      <c r="R1607" s="14" t="s">
        <v>115</v>
      </c>
    </row>
    <row r="1608" spans="1:18" s="14" customFormat="1" x14ac:dyDescent="0.25">
      <c r="A1608" s="14" t="str">
        <f>"84092"</f>
        <v>84092</v>
      </c>
      <c r="B1608" s="14" t="str">
        <f>"07020"</f>
        <v>07020</v>
      </c>
      <c r="C1608" s="14" t="str">
        <f>"1700"</f>
        <v>1700</v>
      </c>
      <c r="D1608" s="14" t="str">
        <f>"84092"</f>
        <v>84092</v>
      </c>
      <c r="E1608" s="14" t="s">
        <v>1629</v>
      </c>
      <c r="F1608" s="14" t="s">
        <v>1532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601</v>
      </c>
      <c r="L1608" s="14" t="s">
        <v>1630</v>
      </c>
      <c r="P1608" s="14" t="s">
        <v>31</v>
      </c>
      <c r="Q1608" s="14" t="s">
        <v>31</v>
      </c>
      <c r="R1608" s="14" t="s">
        <v>601</v>
      </c>
    </row>
    <row r="1609" spans="1:18" s="14" customFormat="1" x14ac:dyDescent="0.25">
      <c r="A1609" s="14" t="str">
        <f>"84093"</f>
        <v>84093</v>
      </c>
      <c r="B1609" s="14" t="str">
        <f>"07020"</f>
        <v>07020</v>
      </c>
      <c r="C1609" s="14" t="str">
        <f>"1700"</f>
        <v>1700</v>
      </c>
      <c r="D1609" s="14" t="str">
        <f>"84093"</f>
        <v>84093</v>
      </c>
      <c r="E1609" s="14" t="s">
        <v>1631</v>
      </c>
      <c r="F1609" s="14" t="s">
        <v>1532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48</v>
      </c>
      <c r="L1609" s="14" t="s">
        <v>97</v>
      </c>
      <c r="M1609" s="14" t="s">
        <v>98</v>
      </c>
      <c r="P1609" s="14" t="s">
        <v>31</v>
      </c>
      <c r="Q1609" s="14" t="s">
        <v>31</v>
      </c>
      <c r="R1609" s="14" t="s">
        <v>49</v>
      </c>
    </row>
    <row r="1610" spans="1:18" s="14" customFormat="1" x14ac:dyDescent="0.25">
      <c r="A1610" s="14" t="str">
        <f>"84094"</f>
        <v>84094</v>
      </c>
      <c r="B1610" s="14" t="str">
        <f>"07020"</f>
        <v>07020</v>
      </c>
      <c r="C1610" s="14" t="str">
        <f>"1700"</f>
        <v>1700</v>
      </c>
      <c r="D1610" s="14" t="str">
        <f>"84094"</f>
        <v>84094</v>
      </c>
      <c r="E1610" s="14" t="s">
        <v>1632</v>
      </c>
      <c r="F1610" s="14" t="s">
        <v>1532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1633</v>
      </c>
      <c r="P1610" s="14" t="s">
        <v>31</v>
      </c>
      <c r="Q1610" s="14" t="s">
        <v>31</v>
      </c>
      <c r="R1610" s="14" t="s">
        <v>1633</v>
      </c>
    </row>
    <row r="1611" spans="1:18" s="14" customFormat="1" x14ac:dyDescent="0.25">
      <c r="A1611" s="14" t="str">
        <f>"84095"</f>
        <v>84095</v>
      </c>
      <c r="B1611" s="14" t="str">
        <f>"07020"</f>
        <v>07020</v>
      </c>
      <c r="C1611" s="14" t="str">
        <f>"1700"</f>
        <v>1700</v>
      </c>
      <c r="D1611" s="14" t="str">
        <f>"84095"</f>
        <v>84095</v>
      </c>
      <c r="E1611" s="14" t="s">
        <v>1634</v>
      </c>
      <c r="F1611" s="14" t="s">
        <v>1532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801</v>
      </c>
      <c r="L1611" s="14" t="s">
        <v>779</v>
      </c>
      <c r="M1611" s="14" t="s">
        <v>72</v>
      </c>
      <c r="P1611" s="14" t="s">
        <v>31</v>
      </c>
      <c r="Q1611" s="14" t="s">
        <v>31</v>
      </c>
      <c r="R1611" s="14" t="s">
        <v>801</v>
      </c>
    </row>
    <row r="1612" spans="1:18" s="14" customFormat="1" x14ac:dyDescent="0.25">
      <c r="A1612" s="14" t="str">
        <f>"84096"</f>
        <v>84096</v>
      </c>
      <c r="B1612" s="14" t="str">
        <f>"07020"</f>
        <v>07020</v>
      </c>
      <c r="C1612" s="14" t="str">
        <f>"1700"</f>
        <v>1700</v>
      </c>
      <c r="D1612" s="14" t="str">
        <f>"84096"</f>
        <v>84096</v>
      </c>
      <c r="E1612" s="14" t="s">
        <v>1635</v>
      </c>
      <c r="F1612" s="14" t="s">
        <v>1532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1562</v>
      </c>
      <c r="P1612" s="14" t="s">
        <v>31</v>
      </c>
      <c r="Q1612" s="14" t="s">
        <v>31</v>
      </c>
      <c r="R1612" s="14" t="s">
        <v>1636</v>
      </c>
    </row>
    <row r="1613" spans="1:18" s="14" customFormat="1" x14ac:dyDescent="0.25">
      <c r="A1613" s="14" t="str">
        <f>"84098"</f>
        <v>84098</v>
      </c>
      <c r="B1613" s="14" t="str">
        <f>"07020"</f>
        <v>07020</v>
      </c>
      <c r="C1613" s="14" t="str">
        <f>"1700"</f>
        <v>1700</v>
      </c>
      <c r="D1613" s="14" t="str">
        <f>"84098"</f>
        <v>84098</v>
      </c>
      <c r="E1613" s="14" t="s">
        <v>1637</v>
      </c>
      <c r="F1613" s="14" t="s">
        <v>1532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1638</v>
      </c>
      <c r="L1613" s="14" t="s">
        <v>1639</v>
      </c>
      <c r="P1613" s="14" t="s">
        <v>31</v>
      </c>
      <c r="Q1613" s="14" t="s">
        <v>31</v>
      </c>
      <c r="R1613" s="14" t="s">
        <v>111</v>
      </c>
    </row>
    <row r="1614" spans="1:18" s="14" customFormat="1" x14ac:dyDescent="0.25">
      <c r="A1614" s="14" t="str">
        <f>"84099"</f>
        <v>84099</v>
      </c>
      <c r="B1614" s="14" t="str">
        <f>"07020"</f>
        <v>07020</v>
      </c>
      <c r="C1614" s="14" t="str">
        <f>"1700"</f>
        <v>1700</v>
      </c>
      <c r="D1614" s="14" t="str">
        <f>"84099"</f>
        <v>84099</v>
      </c>
      <c r="E1614" s="14" t="s">
        <v>1640</v>
      </c>
      <c r="F1614" s="14" t="s">
        <v>1532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1641</v>
      </c>
      <c r="L1614" s="14" t="s">
        <v>392</v>
      </c>
      <c r="M1614" s="14" t="s">
        <v>72</v>
      </c>
      <c r="P1614" s="14" t="s">
        <v>31</v>
      </c>
      <c r="Q1614" s="14" t="s">
        <v>31</v>
      </c>
      <c r="R1614" s="14" t="s">
        <v>1641</v>
      </c>
    </row>
    <row r="1615" spans="1:18" s="14" customFormat="1" x14ac:dyDescent="0.25">
      <c r="A1615" s="14" t="str">
        <f>"84101"</f>
        <v>84101</v>
      </c>
      <c r="B1615" s="14" t="str">
        <f>"07020"</f>
        <v>07020</v>
      </c>
      <c r="C1615" s="14" t="str">
        <f>"1700"</f>
        <v>1700</v>
      </c>
      <c r="D1615" s="14" t="str">
        <f>"84101"</f>
        <v>84101</v>
      </c>
      <c r="E1615" s="14" t="s">
        <v>1642</v>
      </c>
      <c r="F1615" s="14" t="s">
        <v>1532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48</v>
      </c>
      <c r="L1615" s="14" t="s">
        <v>97</v>
      </c>
      <c r="M1615" s="14" t="s">
        <v>102</v>
      </c>
      <c r="P1615" s="14" t="s">
        <v>31</v>
      </c>
      <c r="Q1615" s="14" t="s">
        <v>31</v>
      </c>
      <c r="R1615" s="14" t="s">
        <v>49</v>
      </c>
    </row>
    <row r="1616" spans="1:18" s="14" customFormat="1" x14ac:dyDescent="0.25">
      <c r="A1616" s="14" t="str">
        <f>"84102"</f>
        <v>84102</v>
      </c>
      <c r="B1616" s="14" t="str">
        <f>"07020"</f>
        <v>07020</v>
      </c>
      <c r="C1616" s="14" t="str">
        <f>"1700"</f>
        <v>1700</v>
      </c>
      <c r="D1616" s="14" t="str">
        <f>"84102"</f>
        <v>84102</v>
      </c>
      <c r="E1616" s="14" t="s">
        <v>1643</v>
      </c>
      <c r="F1616" s="14" t="s">
        <v>1532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156</v>
      </c>
      <c r="P1616" s="14" t="s">
        <v>31</v>
      </c>
      <c r="Q1616" s="14" t="s">
        <v>31</v>
      </c>
      <c r="R1616" s="14" t="s">
        <v>156</v>
      </c>
    </row>
    <row r="1617" spans="1:18" s="14" customFormat="1" x14ac:dyDescent="0.25">
      <c r="A1617" s="14" t="str">
        <f>"84103"</f>
        <v>84103</v>
      </c>
      <c r="B1617" s="14" t="str">
        <f>"07020"</f>
        <v>07020</v>
      </c>
      <c r="C1617" s="14" t="str">
        <f>"1700"</f>
        <v>1700</v>
      </c>
      <c r="D1617" s="14" t="str">
        <f>"84103"</f>
        <v>84103</v>
      </c>
      <c r="E1617" s="14" t="s">
        <v>1644</v>
      </c>
      <c r="F1617" s="14" t="s">
        <v>1532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70</v>
      </c>
      <c r="L1617" s="14" t="s">
        <v>1645</v>
      </c>
      <c r="M1617" s="14" t="s">
        <v>72</v>
      </c>
      <c r="P1617" s="14" t="s">
        <v>31</v>
      </c>
      <c r="Q1617" s="14" t="s">
        <v>31</v>
      </c>
      <c r="R1617" s="14" t="s">
        <v>1645</v>
      </c>
    </row>
    <row r="1618" spans="1:18" s="14" customFormat="1" x14ac:dyDescent="0.25">
      <c r="A1618" s="14" t="str">
        <f>"84107"</f>
        <v>84107</v>
      </c>
      <c r="B1618" s="14" t="str">
        <f>"07020"</f>
        <v>07020</v>
      </c>
      <c r="C1618" s="14" t="str">
        <f>"1700"</f>
        <v>1700</v>
      </c>
      <c r="D1618" s="14" t="str">
        <f>"84107"</f>
        <v>84107</v>
      </c>
      <c r="E1618" s="14" t="s">
        <v>1646</v>
      </c>
      <c r="F1618" s="14" t="s">
        <v>1532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37</v>
      </c>
      <c r="L1618" s="14" t="s">
        <v>1619</v>
      </c>
      <c r="P1618" s="14" t="s">
        <v>31</v>
      </c>
      <c r="Q1618" s="14" t="s">
        <v>31</v>
      </c>
      <c r="R1618" s="14" t="s">
        <v>38</v>
      </c>
    </row>
    <row r="1619" spans="1:18" s="14" customFormat="1" x14ac:dyDescent="0.25">
      <c r="A1619" s="14" t="str">
        <f>"84108"</f>
        <v>84108</v>
      </c>
      <c r="B1619" s="14" t="str">
        <f>"07020"</f>
        <v>07020</v>
      </c>
      <c r="C1619" s="14" t="str">
        <f>"1700"</f>
        <v>1700</v>
      </c>
      <c r="D1619" s="14" t="str">
        <f>"84108"</f>
        <v>84108</v>
      </c>
      <c r="E1619" s="14" t="s">
        <v>1647</v>
      </c>
      <c r="F1619" s="14" t="s">
        <v>1532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601</v>
      </c>
      <c r="L1619" s="14" t="s">
        <v>72</v>
      </c>
      <c r="P1619" s="14" t="s">
        <v>31</v>
      </c>
      <c r="Q1619" s="14" t="s">
        <v>31</v>
      </c>
      <c r="R1619" s="14" t="s">
        <v>72</v>
      </c>
    </row>
    <row r="1620" spans="1:18" s="14" customFormat="1" x14ac:dyDescent="0.25">
      <c r="A1620" s="14" t="str">
        <f>"84110"</f>
        <v>84110</v>
      </c>
      <c r="B1620" s="14" t="str">
        <f>"07020"</f>
        <v>07020</v>
      </c>
      <c r="C1620" s="14" t="str">
        <f>"1700"</f>
        <v>1700</v>
      </c>
      <c r="D1620" s="14" t="str">
        <f>"84110"</f>
        <v>84110</v>
      </c>
      <c r="E1620" s="14" t="s">
        <v>1648</v>
      </c>
      <c r="F1620" s="14" t="s">
        <v>1532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1649</v>
      </c>
      <c r="L1620" s="14" t="s">
        <v>1650</v>
      </c>
      <c r="P1620" s="14" t="s">
        <v>31</v>
      </c>
      <c r="Q1620" s="14" t="s">
        <v>31</v>
      </c>
      <c r="R1620" s="14" t="s">
        <v>1649</v>
      </c>
    </row>
    <row r="1621" spans="1:18" s="14" customFormat="1" x14ac:dyDescent="0.25">
      <c r="A1621" s="14" t="str">
        <f>"84113"</f>
        <v>84113</v>
      </c>
      <c r="B1621" s="14" t="str">
        <f>"07020"</f>
        <v>07020</v>
      </c>
      <c r="C1621" s="14" t="str">
        <f>"1700"</f>
        <v>1700</v>
      </c>
      <c r="D1621" s="14" t="str">
        <f>"84113"</f>
        <v>84113</v>
      </c>
      <c r="E1621" s="14" t="s">
        <v>1651</v>
      </c>
      <c r="F1621" s="14" t="s">
        <v>1532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69</v>
      </c>
      <c r="L1621" s="14" t="s">
        <v>1652</v>
      </c>
      <c r="M1621" s="14" t="s">
        <v>70</v>
      </c>
      <c r="N1621" s="14" t="s">
        <v>71</v>
      </c>
      <c r="P1621" s="14" t="s">
        <v>31</v>
      </c>
      <c r="Q1621" s="14" t="s">
        <v>31</v>
      </c>
      <c r="R1621" s="14" t="s">
        <v>72</v>
      </c>
    </row>
    <row r="1622" spans="1:18" s="14" customFormat="1" x14ac:dyDescent="0.25">
      <c r="A1622" s="14" t="str">
        <f>"84114"</f>
        <v>84114</v>
      </c>
      <c r="B1622" s="14" t="str">
        <f>"07020"</f>
        <v>07020</v>
      </c>
      <c r="C1622" s="14" t="str">
        <f>"1700"</f>
        <v>1700</v>
      </c>
      <c r="D1622" s="14" t="str">
        <f>"84114"</f>
        <v>84114</v>
      </c>
      <c r="E1622" s="14" t="s">
        <v>1653</v>
      </c>
      <c r="F1622" s="14" t="s">
        <v>1532</v>
      </c>
      <c r="G1622" s="14" t="str">
        <f>""</f>
        <v/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392</v>
      </c>
      <c r="L1622" s="14" t="s">
        <v>526</v>
      </c>
      <c r="P1622" s="14" t="s">
        <v>31</v>
      </c>
      <c r="Q1622" s="14" t="s">
        <v>31</v>
      </c>
      <c r="R1622" s="14" t="s">
        <v>392</v>
      </c>
    </row>
    <row r="1623" spans="1:18" s="14" customFormat="1" x14ac:dyDescent="0.25">
      <c r="A1623" s="14" t="str">
        <f>"84117"</f>
        <v>84117</v>
      </c>
      <c r="B1623" s="14" t="str">
        <f>"07020"</f>
        <v>07020</v>
      </c>
      <c r="C1623" s="14" t="str">
        <f>"1700"</f>
        <v>1700</v>
      </c>
      <c r="D1623" s="14" t="str">
        <f>"84117"</f>
        <v>84117</v>
      </c>
      <c r="E1623" s="14" t="s">
        <v>1654</v>
      </c>
      <c r="F1623" s="14" t="s">
        <v>1532</v>
      </c>
      <c r="G1623" s="14" t="str">
        <f>""</f>
        <v/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162</v>
      </c>
      <c r="L1623" s="14" t="s">
        <v>164</v>
      </c>
      <c r="M1623" s="14" t="s">
        <v>147</v>
      </c>
      <c r="P1623" s="14" t="s">
        <v>31</v>
      </c>
      <c r="Q1623" s="14" t="s">
        <v>31</v>
      </c>
      <c r="R1623" s="14" t="s">
        <v>162</v>
      </c>
    </row>
    <row r="1624" spans="1:18" s="14" customFormat="1" x14ac:dyDescent="0.25">
      <c r="A1624" s="14" t="str">
        <f>"84118"</f>
        <v>84118</v>
      </c>
      <c r="B1624" s="14" t="str">
        <f>"07020"</f>
        <v>07020</v>
      </c>
      <c r="C1624" s="14" t="str">
        <f>"1700"</f>
        <v>1700</v>
      </c>
      <c r="D1624" s="14" t="str">
        <f>"84118"</f>
        <v>84118</v>
      </c>
      <c r="E1624" s="14" t="s">
        <v>1655</v>
      </c>
      <c r="F1624" s="14" t="s">
        <v>1532</v>
      </c>
      <c r="G1624" s="14" t="str">
        <f>""</f>
        <v/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388</v>
      </c>
      <c r="L1624" s="14" t="s">
        <v>387</v>
      </c>
      <c r="M1624" s="14" t="s">
        <v>1656</v>
      </c>
      <c r="N1624" s="14" t="s">
        <v>386</v>
      </c>
      <c r="P1624" s="14" t="s">
        <v>31</v>
      </c>
      <c r="Q1624" s="14" t="s">
        <v>31</v>
      </c>
      <c r="R1624" s="14" t="s">
        <v>388</v>
      </c>
    </row>
    <row r="1625" spans="1:18" s="14" customFormat="1" x14ac:dyDescent="0.25">
      <c r="A1625" s="14" t="str">
        <f>"84119"</f>
        <v>84119</v>
      </c>
      <c r="B1625" s="14" t="str">
        <f>"07020"</f>
        <v>07020</v>
      </c>
      <c r="C1625" s="14" t="str">
        <f>"1700"</f>
        <v>1700</v>
      </c>
      <c r="D1625" s="14" t="str">
        <f>"84119"</f>
        <v>84119</v>
      </c>
      <c r="E1625" s="14" t="s">
        <v>1657</v>
      </c>
      <c r="F1625" s="14" t="s">
        <v>1532</v>
      </c>
      <c r="G1625" s="14" t="str">
        <f>""</f>
        <v/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762</v>
      </c>
      <c r="P1625" s="14" t="s">
        <v>31</v>
      </c>
      <c r="Q1625" s="14" t="s">
        <v>31</v>
      </c>
      <c r="R1625" s="14" t="s">
        <v>762</v>
      </c>
    </row>
    <row r="1626" spans="1:18" s="14" customFormat="1" x14ac:dyDescent="0.25">
      <c r="A1626" s="14" t="str">
        <f>"84122"</f>
        <v>84122</v>
      </c>
      <c r="B1626" s="14" t="str">
        <f>"07020"</f>
        <v>07020</v>
      </c>
      <c r="C1626" s="14" t="str">
        <f>"1700"</f>
        <v>1700</v>
      </c>
      <c r="D1626" s="14" t="str">
        <f>"84122"</f>
        <v>84122</v>
      </c>
      <c r="E1626" s="14" t="s">
        <v>1658</v>
      </c>
      <c r="F1626" s="14" t="s">
        <v>1532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1540</v>
      </c>
      <c r="L1626" s="14" t="s">
        <v>70</v>
      </c>
      <c r="M1626" s="14" t="s">
        <v>72</v>
      </c>
      <c r="P1626" s="14" t="s">
        <v>31</v>
      </c>
      <c r="Q1626" s="14" t="s">
        <v>31</v>
      </c>
      <c r="R1626" s="14" t="s">
        <v>1540</v>
      </c>
    </row>
    <row r="1627" spans="1:18" s="14" customFormat="1" x14ac:dyDescent="0.25">
      <c r="A1627" s="14" t="str">
        <f>"84124"</f>
        <v>84124</v>
      </c>
      <c r="B1627" s="14" t="str">
        <f>"07020"</f>
        <v>07020</v>
      </c>
      <c r="C1627" s="14" t="str">
        <f>"1700"</f>
        <v>1700</v>
      </c>
      <c r="D1627" s="14" t="str">
        <f>"84124"</f>
        <v>84124</v>
      </c>
      <c r="E1627" s="14" t="s">
        <v>159</v>
      </c>
      <c r="F1627" s="14" t="s">
        <v>1532</v>
      </c>
      <c r="G1627" s="14" t="str">
        <f>""</f>
        <v/>
      </c>
      <c r="H1627" s="14" t="str">
        <f>" 10"</f>
        <v xml:space="preserve"> 10</v>
      </c>
      <c r="I1627" s="14">
        <v>0.01</v>
      </c>
      <c r="J1627" s="14">
        <v>500</v>
      </c>
      <c r="K1627" s="14" t="s">
        <v>1659</v>
      </c>
      <c r="L1627" s="14" t="s">
        <v>147</v>
      </c>
      <c r="P1627" s="14" t="s">
        <v>31</v>
      </c>
      <c r="Q1627" s="14" t="s">
        <v>31</v>
      </c>
      <c r="R1627" s="14" t="s">
        <v>1659</v>
      </c>
    </row>
    <row r="1628" spans="1:18" s="14" customFormat="1" x14ac:dyDescent="0.25">
      <c r="A1628" s="14" t="str">
        <f>"84124"</f>
        <v>84124</v>
      </c>
      <c r="B1628" s="14" t="str">
        <f>"07020"</f>
        <v>07020</v>
      </c>
      <c r="C1628" s="14" t="str">
        <f>"1700"</f>
        <v>1700</v>
      </c>
      <c r="D1628" s="14" t="str">
        <f>"84124"</f>
        <v>84124</v>
      </c>
      <c r="E1628" s="14" t="s">
        <v>159</v>
      </c>
      <c r="F1628" s="14" t="s">
        <v>1532</v>
      </c>
      <c r="G1628" s="14" t="str">
        <f>""</f>
        <v/>
      </c>
      <c r="H1628" s="14" t="str">
        <f>" 20"</f>
        <v xml:space="preserve"> 20</v>
      </c>
      <c r="I1628" s="14">
        <v>500.01</v>
      </c>
      <c r="J1628" s="14">
        <v>9999999.9900000002</v>
      </c>
      <c r="K1628" s="14" t="s">
        <v>160</v>
      </c>
      <c r="L1628" s="14" t="s">
        <v>147</v>
      </c>
      <c r="P1628" s="14" t="s">
        <v>31</v>
      </c>
      <c r="Q1628" s="14" t="s">
        <v>31</v>
      </c>
      <c r="R1628" s="14" t="s">
        <v>146</v>
      </c>
    </row>
    <row r="1629" spans="1:18" s="14" customFormat="1" x14ac:dyDescent="0.25">
      <c r="A1629" s="14" t="str">
        <f>"84131"</f>
        <v>84131</v>
      </c>
      <c r="B1629" s="14" t="str">
        <f>"07020"</f>
        <v>07020</v>
      </c>
      <c r="C1629" s="14" t="str">
        <f>"1700"</f>
        <v>1700</v>
      </c>
      <c r="D1629" s="14" t="str">
        <f>"84131"</f>
        <v>84131</v>
      </c>
      <c r="E1629" s="14" t="s">
        <v>1660</v>
      </c>
      <c r="F1629" s="14" t="s">
        <v>1532</v>
      </c>
      <c r="G1629" s="14" t="str">
        <f>""</f>
        <v/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1661</v>
      </c>
      <c r="L1629" s="14" t="s">
        <v>181</v>
      </c>
      <c r="M1629" s="14" t="s">
        <v>37</v>
      </c>
      <c r="P1629" s="14" t="s">
        <v>31</v>
      </c>
      <c r="Q1629" s="14" t="s">
        <v>31</v>
      </c>
      <c r="R1629" s="14" t="s">
        <v>1661</v>
      </c>
    </row>
    <row r="1630" spans="1:18" s="14" customFormat="1" x14ac:dyDescent="0.25">
      <c r="A1630" s="14" t="str">
        <f>"84134"</f>
        <v>84134</v>
      </c>
      <c r="B1630" s="14" t="str">
        <f>"07020"</f>
        <v>07020</v>
      </c>
      <c r="C1630" s="14" t="str">
        <f>"1700"</f>
        <v>1700</v>
      </c>
      <c r="D1630" s="14" t="str">
        <f>"84134"</f>
        <v>84134</v>
      </c>
      <c r="E1630" s="14" t="s">
        <v>1662</v>
      </c>
      <c r="F1630" s="14" t="s">
        <v>1532</v>
      </c>
      <c r="G1630" s="14" t="str">
        <f>""</f>
        <v/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1663</v>
      </c>
      <c r="L1630" s="14" t="s">
        <v>392</v>
      </c>
      <c r="P1630" s="14" t="s">
        <v>31</v>
      </c>
      <c r="Q1630" s="14" t="s">
        <v>31</v>
      </c>
      <c r="R1630" s="14" t="s">
        <v>1663</v>
      </c>
    </row>
    <row r="1631" spans="1:18" s="14" customFormat="1" x14ac:dyDescent="0.25">
      <c r="A1631" s="14" t="str">
        <f>"84136"</f>
        <v>84136</v>
      </c>
      <c r="B1631" s="14" t="str">
        <f>"07020"</f>
        <v>07020</v>
      </c>
      <c r="C1631" s="14" t="str">
        <f>"1700"</f>
        <v>1700</v>
      </c>
      <c r="D1631" s="14" t="str">
        <f>"84136"</f>
        <v>84136</v>
      </c>
      <c r="E1631" s="14" t="s">
        <v>1664</v>
      </c>
      <c r="F1631" s="14" t="s">
        <v>1532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1665</v>
      </c>
      <c r="L1631" s="14" t="s">
        <v>401</v>
      </c>
      <c r="P1631" s="14" t="s">
        <v>31</v>
      </c>
      <c r="Q1631" s="14" t="s">
        <v>31</v>
      </c>
      <c r="R1631" s="14" t="s">
        <v>1665</v>
      </c>
    </row>
    <row r="1632" spans="1:18" s="14" customFormat="1" x14ac:dyDescent="0.25">
      <c r="A1632" s="14" t="str">
        <f>"84139"</f>
        <v>84139</v>
      </c>
      <c r="B1632" s="14" t="str">
        <f>"07020"</f>
        <v>07020</v>
      </c>
      <c r="C1632" s="14" t="str">
        <f>"1700"</f>
        <v>1700</v>
      </c>
      <c r="D1632" s="14" t="str">
        <f>"84139"</f>
        <v>84139</v>
      </c>
      <c r="E1632" s="14" t="s">
        <v>1666</v>
      </c>
      <c r="F1632" s="14" t="s">
        <v>1532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1667</v>
      </c>
      <c r="L1632" s="14" t="s">
        <v>72</v>
      </c>
      <c r="P1632" s="14" t="s">
        <v>31</v>
      </c>
      <c r="Q1632" s="14" t="s">
        <v>31</v>
      </c>
      <c r="R1632" s="14" t="s">
        <v>1667</v>
      </c>
    </row>
    <row r="1633" spans="1:18" s="14" customFormat="1" x14ac:dyDescent="0.25">
      <c r="A1633" s="14" t="str">
        <f>"84141"</f>
        <v>84141</v>
      </c>
      <c r="B1633" s="14" t="str">
        <f>"07020"</f>
        <v>07020</v>
      </c>
      <c r="C1633" s="14" t="str">
        <f>"1700"</f>
        <v>1700</v>
      </c>
      <c r="D1633" s="14" t="str">
        <f>"84141"</f>
        <v>84141</v>
      </c>
      <c r="E1633" s="14" t="s">
        <v>1668</v>
      </c>
      <c r="F1633" s="14" t="s">
        <v>1532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60</v>
      </c>
      <c r="L1633" s="14" t="s">
        <v>53</v>
      </c>
      <c r="M1633" s="14" t="s">
        <v>54</v>
      </c>
      <c r="P1633" s="14" t="s">
        <v>31</v>
      </c>
      <c r="Q1633" s="14" t="s">
        <v>31</v>
      </c>
      <c r="R1633" s="14" t="s">
        <v>60</v>
      </c>
    </row>
    <row r="1634" spans="1:18" s="14" customFormat="1" x14ac:dyDescent="0.25">
      <c r="A1634" s="14" t="str">
        <f>"84142"</f>
        <v>84142</v>
      </c>
      <c r="B1634" s="14" t="str">
        <f>"07020"</f>
        <v>07020</v>
      </c>
      <c r="C1634" s="14" t="str">
        <f>"1700"</f>
        <v>1700</v>
      </c>
      <c r="D1634" s="14" t="str">
        <f>"84142"</f>
        <v>84142</v>
      </c>
      <c r="E1634" s="14" t="s">
        <v>1669</v>
      </c>
      <c r="F1634" s="14" t="s">
        <v>1532</v>
      </c>
      <c r="G1634" s="14" t="str">
        <f>""</f>
        <v/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392</v>
      </c>
      <c r="L1634" s="14" t="s">
        <v>526</v>
      </c>
      <c r="P1634" s="14" t="s">
        <v>31</v>
      </c>
      <c r="Q1634" s="14" t="s">
        <v>31</v>
      </c>
      <c r="R1634" s="14" t="s">
        <v>392</v>
      </c>
    </row>
    <row r="1635" spans="1:18" s="14" customFormat="1" x14ac:dyDescent="0.25">
      <c r="A1635" s="14" t="str">
        <f>"84145"</f>
        <v>84145</v>
      </c>
      <c r="B1635" s="14" t="str">
        <f>"07020"</f>
        <v>07020</v>
      </c>
      <c r="C1635" s="14" t="str">
        <f>"1700"</f>
        <v>1700</v>
      </c>
      <c r="D1635" s="14" t="str">
        <f>"84145"</f>
        <v>84145</v>
      </c>
      <c r="E1635" s="14" t="s">
        <v>1670</v>
      </c>
      <c r="F1635" s="14" t="s">
        <v>1532</v>
      </c>
      <c r="G1635" s="14" t="str">
        <f>""</f>
        <v/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1649</v>
      </c>
      <c r="L1635" s="14" t="s">
        <v>1650</v>
      </c>
      <c r="P1635" s="14" t="s">
        <v>31</v>
      </c>
      <c r="Q1635" s="14" t="s">
        <v>31</v>
      </c>
      <c r="R1635" s="14" t="s">
        <v>1649</v>
      </c>
    </row>
    <row r="1636" spans="1:18" s="14" customFormat="1" x14ac:dyDescent="0.25">
      <c r="A1636" s="14" t="str">
        <f>"84146"</f>
        <v>84146</v>
      </c>
      <c r="B1636" s="14" t="str">
        <f>"07020"</f>
        <v>07020</v>
      </c>
      <c r="C1636" s="14" t="str">
        <f>"1700"</f>
        <v>1700</v>
      </c>
      <c r="D1636" s="14" t="str">
        <f>"84146"</f>
        <v>84146</v>
      </c>
      <c r="E1636" s="14" t="s">
        <v>1671</v>
      </c>
      <c r="F1636" s="14" t="s">
        <v>1532</v>
      </c>
      <c r="G1636" s="14" t="str">
        <f>""</f>
        <v/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1636</v>
      </c>
      <c r="L1636" s="14" t="s">
        <v>390</v>
      </c>
      <c r="P1636" s="14" t="s">
        <v>31</v>
      </c>
      <c r="Q1636" s="14" t="s">
        <v>31</v>
      </c>
      <c r="R1636" s="14" t="s">
        <v>1636</v>
      </c>
    </row>
    <row r="1637" spans="1:18" s="14" customFormat="1" x14ac:dyDescent="0.25">
      <c r="A1637" s="14" t="str">
        <f>"84148"</f>
        <v>84148</v>
      </c>
      <c r="B1637" s="14" t="str">
        <f>"07020"</f>
        <v>07020</v>
      </c>
      <c r="C1637" s="14" t="str">
        <f>"1700"</f>
        <v>1700</v>
      </c>
      <c r="D1637" s="14" t="str">
        <f>"84148"</f>
        <v>84148</v>
      </c>
      <c r="E1637" s="14" t="s">
        <v>1672</v>
      </c>
      <c r="F1637" s="14" t="s">
        <v>1532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1619</v>
      </c>
      <c r="L1637" s="14" t="s">
        <v>862</v>
      </c>
      <c r="M1637" s="14" t="s">
        <v>72</v>
      </c>
      <c r="P1637" s="14" t="s">
        <v>31</v>
      </c>
      <c r="Q1637" s="14" t="s">
        <v>31</v>
      </c>
      <c r="R1637" s="14" t="s">
        <v>1619</v>
      </c>
    </row>
    <row r="1638" spans="1:18" s="14" customFormat="1" x14ac:dyDescent="0.25">
      <c r="A1638" s="14" t="str">
        <f>"84151"</f>
        <v>84151</v>
      </c>
      <c r="B1638" s="14" t="str">
        <f>"07020"</f>
        <v>07020</v>
      </c>
      <c r="C1638" s="14" t="str">
        <f>"1700"</f>
        <v>1700</v>
      </c>
      <c r="D1638" s="14" t="str">
        <f>"84151"</f>
        <v>84151</v>
      </c>
      <c r="E1638" s="14" t="s">
        <v>1673</v>
      </c>
      <c r="F1638" s="14" t="s">
        <v>1532</v>
      </c>
      <c r="G1638" s="14" t="str">
        <f>""</f>
        <v/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71</v>
      </c>
      <c r="L1638" s="14" t="s">
        <v>141</v>
      </c>
      <c r="M1638" s="14" t="s">
        <v>72</v>
      </c>
      <c r="P1638" s="14" t="s">
        <v>31</v>
      </c>
      <c r="Q1638" s="14" t="s">
        <v>31</v>
      </c>
      <c r="R1638" s="14" t="s">
        <v>71</v>
      </c>
    </row>
    <row r="1639" spans="1:18" s="14" customFormat="1" x14ac:dyDescent="0.25">
      <c r="A1639" s="14" t="str">
        <f>"84156"</f>
        <v>84156</v>
      </c>
      <c r="B1639" s="14" t="str">
        <f>"07020"</f>
        <v>07020</v>
      </c>
      <c r="C1639" s="14" t="str">
        <f>"1700"</f>
        <v>1700</v>
      </c>
      <c r="D1639" s="14" t="str">
        <f>"84156"</f>
        <v>84156</v>
      </c>
      <c r="E1639" s="14" t="s">
        <v>1674</v>
      </c>
      <c r="F1639" s="14" t="s">
        <v>1532</v>
      </c>
      <c r="G1639" s="14" t="str">
        <f>""</f>
        <v/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661</v>
      </c>
      <c r="L1639" s="14" t="s">
        <v>147</v>
      </c>
      <c r="P1639" s="14" t="s">
        <v>31</v>
      </c>
      <c r="Q1639" s="14" t="s">
        <v>31</v>
      </c>
      <c r="R1639" s="14" t="s">
        <v>661</v>
      </c>
    </row>
    <row r="1640" spans="1:18" s="14" customFormat="1" x14ac:dyDescent="0.25">
      <c r="A1640" s="14" t="str">
        <f>"84157"</f>
        <v>84157</v>
      </c>
      <c r="B1640" s="14" t="str">
        <f>"07020"</f>
        <v>07020</v>
      </c>
      <c r="C1640" s="14" t="str">
        <f>"1700"</f>
        <v>1700</v>
      </c>
      <c r="D1640" s="14" t="str">
        <f>"84157"</f>
        <v>84157</v>
      </c>
      <c r="E1640" s="14" t="s">
        <v>1675</v>
      </c>
      <c r="F1640" s="14" t="s">
        <v>1532</v>
      </c>
      <c r="G1640" s="14" t="str">
        <f>""</f>
        <v/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392</v>
      </c>
      <c r="L1640" s="14" t="s">
        <v>526</v>
      </c>
      <c r="P1640" s="14" t="s">
        <v>31</v>
      </c>
      <c r="Q1640" s="14" t="s">
        <v>31</v>
      </c>
      <c r="R1640" s="14" t="s">
        <v>392</v>
      </c>
    </row>
    <row r="1641" spans="1:18" s="14" customFormat="1" x14ac:dyDescent="0.25">
      <c r="A1641" s="14" t="str">
        <f>"84158"</f>
        <v>84158</v>
      </c>
      <c r="B1641" s="14" t="str">
        <f>"07020"</f>
        <v>07020</v>
      </c>
      <c r="C1641" s="14" t="str">
        <f>"1700"</f>
        <v>1700</v>
      </c>
      <c r="D1641" s="14" t="str">
        <f>"84158"</f>
        <v>84158</v>
      </c>
      <c r="E1641" s="14" t="s">
        <v>1676</v>
      </c>
      <c r="F1641" s="14" t="s">
        <v>1532</v>
      </c>
      <c r="G1641" s="14" t="str">
        <f>""</f>
        <v/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1597</v>
      </c>
      <c r="L1641" s="14" t="s">
        <v>1677</v>
      </c>
      <c r="M1641" s="14" t="s">
        <v>72</v>
      </c>
      <c r="P1641" s="14" t="s">
        <v>31</v>
      </c>
      <c r="Q1641" s="14" t="s">
        <v>31</v>
      </c>
      <c r="R1641" s="14" t="s">
        <v>1597</v>
      </c>
    </row>
    <row r="1642" spans="1:18" s="14" customFormat="1" x14ac:dyDescent="0.25">
      <c r="A1642" s="14" t="str">
        <f>"84160"</f>
        <v>84160</v>
      </c>
      <c r="B1642" s="14" t="str">
        <f>"07020"</f>
        <v>07020</v>
      </c>
      <c r="C1642" s="14" t="str">
        <f>"1700"</f>
        <v>1700</v>
      </c>
      <c r="D1642" s="14" t="str">
        <f>"84160"</f>
        <v>84160</v>
      </c>
      <c r="E1642" s="14" t="s">
        <v>1678</v>
      </c>
      <c r="F1642" s="14" t="s">
        <v>1532</v>
      </c>
      <c r="G1642" s="14" t="str">
        <f>""</f>
        <v/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1679</v>
      </c>
      <c r="L1642" s="14" t="s">
        <v>146</v>
      </c>
      <c r="M1642" s="14" t="s">
        <v>1680</v>
      </c>
      <c r="P1642" s="14" t="s">
        <v>31</v>
      </c>
      <c r="Q1642" s="14" t="s">
        <v>31</v>
      </c>
      <c r="R1642" s="14" t="s">
        <v>1679</v>
      </c>
    </row>
    <row r="1643" spans="1:18" s="14" customFormat="1" x14ac:dyDescent="0.25">
      <c r="A1643" s="14" t="str">
        <f>"84162"</f>
        <v>84162</v>
      </c>
      <c r="B1643" s="14" t="str">
        <f>"07020"</f>
        <v>07020</v>
      </c>
      <c r="C1643" s="14" t="str">
        <f>"1700"</f>
        <v>1700</v>
      </c>
      <c r="D1643" s="14" t="str">
        <f>"84162"</f>
        <v>84162</v>
      </c>
      <c r="E1643" s="14" t="s">
        <v>1681</v>
      </c>
      <c r="F1643" s="14" t="s">
        <v>1532</v>
      </c>
      <c r="G1643" s="14" t="str">
        <f>""</f>
        <v/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1679</v>
      </c>
      <c r="L1643" s="14" t="s">
        <v>146</v>
      </c>
      <c r="P1643" s="14" t="s">
        <v>31</v>
      </c>
      <c r="Q1643" s="14" t="s">
        <v>31</v>
      </c>
      <c r="R1643" s="14" t="s">
        <v>1679</v>
      </c>
    </row>
    <row r="1644" spans="1:18" s="14" customFormat="1" x14ac:dyDescent="0.25">
      <c r="A1644" s="14" t="str">
        <f>"84164"</f>
        <v>84164</v>
      </c>
      <c r="B1644" s="14" t="str">
        <f>"07020"</f>
        <v>07020</v>
      </c>
      <c r="C1644" s="14" t="str">
        <f>"1700"</f>
        <v>1700</v>
      </c>
      <c r="D1644" s="14" t="str">
        <f>"84164"</f>
        <v>84164</v>
      </c>
      <c r="E1644" s="14" t="s">
        <v>1682</v>
      </c>
      <c r="F1644" s="14" t="s">
        <v>1532</v>
      </c>
      <c r="G1644" s="14" t="str">
        <f>""</f>
        <v/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386</v>
      </c>
      <c r="L1644" s="14" t="s">
        <v>1534</v>
      </c>
      <c r="M1644" s="14" t="s">
        <v>387</v>
      </c>
      <c r="P1644" s="14" t="s">
        <v>31</v>
      </c>
      <c r="Q1644" s="14" t="s">
        <v>31</v>
      </c>
      <c r="R1644" s="14" t="s">
        <v>388</v>
      </c>
    </row>
    <row r="1645" spans="1:18" s="14" customFormat="1" x14ac:dyDescent="0.25">
      <c r="A1645" s="14" t="str">
        <f>"84166"</f>
        <v>84166</v>
      </c>
      <c r="B1645" s="14" t="str">
        <f>"07020"</f>
        <v>07020</v>
      </c>
      <c r="C1645" s="14" t="str">
        <f>"1700"</f>
        <v>1700</v>
      </c>
      <c r="D1645" s="14" t="str">
        <f>"84166"</f>
        <v>84166</v>
      </c>
      <c r="E1645" s="14" t="s">
        <v>1683</v>
      </c>
      <c r="F1645" s="14" t="s">
        <v>1532</v>
      </c>
      <c r="G1645" s="14" t="str">
        <f>""</f>
        <v/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381</v>
      </c>
      <c r="L1645" s="14" t="s">
        <v>382</v>
      </c>
      <c r="M1645" s="14" t="s">
        <v>1570</v>
      </c>
      <c r="P1645" s="14" t="s">
        <v>31</v>
      </c>
      <c r="Q1645" s="14" t="s">
        <v>31</v>
      </c>
      <c r="R1645" s="14" t="s">
        <v>383</v>
      </c>
    </row>
    <row r="1646" spans="1:18" s="14" customFormat="1" x14ac:dyDescent="0.25">
      <c r="A1646" s="14" t="str">
        <f>"84169"</f>
        <v>84169</v>
      </c>
      <c r="B1646" s="14" t="str">
        <f>"07020"</f>
        <v>07020</v>
      </c>
      <c r="C1646" s="14" t="str">
        <f>"1700"</f>
        <v>1700</v>
      </c>
      <c r="D1646" s="14" t="str">
        <f>"84169"</f>
        <v>84169</v>
      </c>
      <c r="E1646" s="14" t="s">
        <v>1684</v>
      </c>
      <c r="F1646" s="14" t="s">
        <v>1532</v>
      </c>
      <c r="G1646" s="14" t="str">
        <f>""</f>
        <v/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146</v>
      </c>
      <c r="P1646" s="14" t="s">
        <v>31</v>
      </c>
      <c r="Q1646" s="14" t="s">
        <v>31</v>
      </c>
      <c r="R1646" s="14" t="s">
        <v>146</v>
      </c>
    </row>
    <row r="1647" spans="1:18" s="14" customFormat="1" x14ac:dyDescent="0.25">
      <c r="A1647" s="14" t="str">
        <f>"84173"</f>
        <v>84173</v>
      </c>
      <c r="B1647" s="14" t="str">
        <f>"07020"</f>
        <v>07020</v>
      </c>
      <c r="C1647" s="14" t="str">
        <f>"1700"</f>
        <v>1700</v>
      </c>
      <c r="D1647" s="14" t="str">
        <f>"84173"</f>
        <v>84173</v>
      </c>
      <c r="E1647" s="14" t="s">
        <v>1685</v>
      </c>
      <c r="F1647" s="14" t="s">
        <v>1532</v>
      </c>
      <c r="G1647" s="14" t="str">
        <f>""</f>
        <v/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1570</v>
      </c>
      <c r="L1647" s="14" t="s">
        <v>1686</v>
      </c>
      <c r="M1647" s="14" t="s">
        <v>1544</v>
      </c>
      <c r="P1647" s="14" t="s">
        <v>31</v>
      </c>
      <c r="Q1647" s="14" t="s">
        <v>31</v>
      </c>
      <c r="R1647" s="14" t="s">
        <v>1570</v>
      </c>
    </row>
    <row r="1648" spans="1:18" s="14" customFormat="1" x14ac:dyDescent="0.25">
      <c r="A1648" s="14" t="str">
        <f>"84176"</f>
        <v>84176</v>
      </c>
      <c r="B1648" s="14" t="str">
        <f>"07020"</f>
        <v>07020</v>
      </c>
      <c r="C1648" s="14" t="str">
        <f>"1700"</f>
        <v>1700</v>
      </c>
      <c r="D1648" s="14" t="str">
        <f>"84176"</f>
        <v>84176</v>
      </c>
      <c r="E1648" s="14" t="s">
        <v>1687</v>
      </c>
      <c r="F1648" s="14" t="s">
        <v>1532</v>
      </c>
      <c r="G1648" s="14" t="str">
        <f>""</f>
        <v/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418</v>
      </c>
      <c r="P1648" s="14" t="s">
        <v>31</v>
      </c>
      <c r="Q1648" s="14" t="s">
        <v>31</v>
      </c>
      <c r="R1648" s="14" t="s">
        <v>414</v>
      </c>
    </row>
    <row r="1649" spans="1:18" s="14" customFormat="1" x14ac:dyDescent="0.25">
      <c r="A1649" s="14" t="str">
        <f>"84178"</f>
        <v>84178</v>
      </c>
      <c r="B1649" s="14" t="str">
        <f>"07020"</f>
        <v>07020</v>
      </c>
      <c r="C1649" s="14" t="str">
        <f>"1700"</f>
        <v>1700</v>
      </c>
      <c r="D1649" s="14" t="str">
        <f>"84178"</f>
        <v>84178</v>
      </c>
      <c r="E1649" s="14" t="s">
        <v>1688</v>
      </c>
      <c r="F1649" s="14" t="s">
        <v>1532</v>
      </c>
      <c r="G1649" s="14" t="str">
        <f>""</f>
        <v/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1689</v>
      </c>
      <c r="L1649" s="14" t="s">
        <v>146</v>
      </c>
      <c r="P1649" s="14" t="s">
        <v>31</v>
      </c>
      <c r="Q1649" s="14" t="s">
        <v>31</v>
      </c>
      <c r="R1649" s="14" t="s">
        <v>1689</v>
      </c>
    </row>
    <row r="1650" spans="1:18" s="14" customFormat="1" x14ac:dyDescent="0.25">
      <c r="A1650" s="14" t="str">
        <f>"84179"</f>
        <v>84179</v>
      </c>
      <c r="B1650" s="14" t="str">
        <f>"07020"</f>
        <v>07020</v>
      </c>
      <c r="C1650" s="14" t="str">
        <f>"1700"</f>
        <v>1700</v>
      </c>
      <c r="D1650" s="14" t="str">
        <f>"84179"</f>
        <v>84179</v>
      </c>
      <c r="E1650" s="14" t="s">
        <v>1690</v>
      </c>
      <c r="F1650" s="14" t="s">
        <v>1532</v>
      </c>
      <c r="G1650" s="14" t="str">
        <f>""</f>
        <v/>
      </c>
      <c r="H1650" s="14" t="str">
        <f>" 10"</f>
        <v xml:space="preserve"> 10</v>
      </c>
      <c r="I1650" s="14">
        <v>0.01</v>
      </c>
      <c r="J1650" s="14">
        <v>500</v>
      </c>
      <c r="K1650" s="14" t="s">
        <v>147</v>
      </c>
      <c r="L1650" s="14" t="s">
        <v>146</v>
      </c>
      <c r="P1650" s="14" t="s">
        <v>31</v>
      </c>
      <c r="Q1650" s="14" t="s">
        <v>31</v>
      </c>
      <c r="R1650" s="14" t="s">
        <v>146</v>
      </c>
    </row>
    <row r="1651" spans="1:18" s="14" customFormat="1" x14ac:dyDescent="0.25">
      <c r="A1651" s="14" t="str">
        <f>"84179"</f>
        <v>84179</v>
      </c>
      <c r="B1651" s="14" t="str">
        <f>"07020"</f>
        <v>07020</v>
      </c>
      <c r="C1651" s="14" t="str">
        <f>"1700"</f>
        <v>1700</v>
      </c>
      <c r="D1651" s="14" t="str">
        <f>"84179"</f>
        <v>84179</v>
      </c>
      <c r="E1651" s="14" t="s">
        <v>1690</v>
      </c>
      <c r="F1651" s="14" t="s">
        <v>1532</v>
      </c>
      <c r="G1651" s="14" t="str">
        <f>""</f>
        <v/>
      </c>
      <c r="H1651" s="14" t="str">
        <f>" 20"</f>
        <v xml:space="preserve"> 20</v>
      </c>
      <c r="I1651" s="14">
        <v>500.01</v>
      </c>
      <c r="J1651" s="14">
        <v>9999999.9900000002</v>
      </c>
      <c r="K1651" s="14" t="s">
        <v>147</v>
      </c>
      <c r="P1651" s="14" t="s">
        <v>31</v>
      </c>
      <c r="Q1651" s="14" t="s">
        <v>31</v>
      </c>
      <c r="R1651" s="14" t="s">
        <v>146</v>
      </c>
    </row>
    <row r="1652" spans="1:18" s="14" customFormat="1" x14ac:dyDescent="0.25">
      <c r="A1652" s="14" t="str">
        <f>"84181"</f>
        <v>84181</v>
      </c>
      <c r="B1652" s="14" t="str">
        <f>"07020"</f>
        <v>07020</v>
      </c>
      <c r="C1652" s="14" t="str">
        <f>"1700"</f>
        <v>1700</v>
      </c>
      <c r="D1652" s="14" t="str">
        <f>"84181"</f>
        <v>84181</v>
      </c>
      <c r="E1652" s="14" t="s">
        <v>1691</v>
      </c>
      <c r="F1652" s="14" t="s">
        <v>1532</v>
      </c>
      <c r="G1652" s="14" t="str">
        <f>""</f>
        <v/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392</v>
      </c>
      <c r="L1652" s="14" t="s">
        <v>71</v>
      </c>
      <c r="P1652" s="14" t="s">
        <v>31</v>
      </c>
      <c r="Q1652" s="14" t="s">
        <v>31</v>
      </c>
      <c r="R1652" s="14" t="s">
        <v>72</v>
      </c>
    </row>
    <row r="1653" spans="1:18" s="14" customFormat="1" x14ac:dyDescent="0.25">
      <c r="A1653" s="14" t="str">
        <f>"84185"</f>
        <v>84185</v>
      </c>
      <c r="B1653" s="14" t="str">
        <f>"07020"</f>
        <v>07020</v>
      </c>
      <c r="C1653" s="14" t="str">
        <f>"1700"</f>
        <v>1700</v>
      </c>
      <c r="D1653" s="14" t="str">
        <f>"84185"</f>
        <v>84185</v>
      </c>
      <c r="E1653" s="14" t="s">
        <v>1692</v>
      </c>
      <c r="F1653" s="14" t="s">
        <v>1532</v>
      </c>
      <c r="G1653" s="14" t="str">
        <f>""</f>
        <v/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50</v>
      </c>
      <c r="P1653" s="14" t="s">
        <v>31</v>
      </c>
      <c r="Q1653" s="14" t="s">
        <v>31</v>
      </c>
      <c r="R1653" s="14" t="s">
        <v>74</v>
      </c>
    </row>
    <row r="1654" spans="1:18" s="14" customFormat="1" x14ac:dyDescent="0.25">
      <c r="A1654" s="14" t="str">
        <f>"84186"</f>
        <v>84186</v>
      </c>
      <c r="B1654" s="14" t="str">
        <f>"07020"</f>
        <v>07020</v>
      </c>
      <c r="C1654" s="14" t="str">
        <f>"1700"</f>
        <v>1700</v>
      </c>
      <c r="D1654" s="14" t="str">
        <f>"84186"</f>
        <v>84186</v>
      </c>
      <c r="E1654" s="14" t="s">
        <v>1693</v>
      </c>
      <c r="F1654" s="14" t="s">
        <v>1532</v>
      </c>
      <c r="G1654" s="14" t="str">
        <f>""</f>
        <v/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370</v>
      </c>
      <c r="L1654" s="14" t="s">
        <v>404</v>
      </c>
      <c r="P1654" s="14" t="s">
        <v>31</v>
      </c>
      <c r="Q1654" s="14" t="s">
        <v>31</v>
      </c>
      <c r="R1654" s="14" t="s">
        <v>370</v>
      </c>
    </row>
    <row r="1655" spans="1:18" s="14" customFormat="1" x14ac:dyDescent="0.25">
      <c r="A1655" s="14" t="str">
        <f>"84188"</f>
        <v>84188</v>
      </c>
      <c r="B1655" s="14" t="str">
        <f>"07020"</f>
        <v>07020</v>
      </c>
      <c r="C1655" s="14" t="str">
        <f>"1700"</f>
        <v>1700</v>
      </c>
      <c r="D1655" s="14" t="str">
        <f>"84188"</f>
        <v>84188</v>
      </c>
      <c r="E1655" s="14" t="s">
        <v>1694</v>
      </c>
      <c r="F1655" s="14" t="s">
        <v>1532</v>
      </c>
      <c r="G1655" s="14" t="str">
        <f>""</f>
        <v/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1695</v>
      </c>
      <c r="P1655" s="14" t="s">
        <v>31</v>
      </c>
      <c r="Q1655" s="14" t="s">
        <v>31</v>
      </c>
      <c r="R1655" s="14" t="s">
        <v>1695</v>
      </c>
    </row>
    <row r="1656" spans="1:18" s="14" customFormat="1" x14ac:dyDescent="0.25">
      <c r="A1656" s="14" t="str">
        <f>"84191"</f>
        <v>84191</v>
      </c>
      <c r="B1656" s="14" t="str">
        <f>"07020"</f>
        <v>07020</v>
      </c>
      <c r="C1656" s="14" t="str">
        <f>"1700"</f>
        <v>1700</v>
      </c>
      <c r="D1656" s="14" t="str">
        <f>"84191"</f>
        <v>84191</v>
      </c>
      <c r="E1656" s="14" t="s">
        <v>1696</v>
      </c>
      <c r="F1656" s="14" t="s">
        <v>1532</v>
      </c>
      <c r="G1656" s="14" t="str">
        <f>""</f>
        <v/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1697</v>
      </c>
      <c r="L1656" s="14" t="s">
        <v>1698</v>
      </c>
      <c r="P1656" s="14" t="s">
        <v>31</v>
      </c>
      <c r="Q1656" s="14" t="s">
        <v>31</v>
      </c>
      <c r="R1656" s="14" t="s">
        <v>392</v>
      </c>
    </row>
    <row r="1657" spans="1:18" s="14" customFormat="1" x14ac:dyDescent="0.25">
      <c r="A1657" s="14" t="str">
        <f>"84194"</f>
        <v>84194</v>
      </c>
      <c r="B1657" s="14" t="str">
        <f>"07020"</f>
        <v>07020</v>
      </c>
      <c r="C1657" s="14" t="str">
        <f>"1700"</f>
        <v>1700</v>
      </c>
      <c r="D1657" s="14" t="str">
        <f>"84194"</f>
        <v>84194</v>
      </c>
      <c r="E1657" s="14" t="s">
        <v>1699</v>
      </c>
      <c r="F1657" s="14" t="s">
        <v>1532</v>
      </c>
      <c r="G1657" s="14" t="str">
        <f>""</f>
        <v/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114</v>
      </c>
      <c r="P1657" s="14" t="s">
        <v>31</v>
      </c>
      <c r="Q1657" s="14" t="s">
        <v>31</v>
      </c>
      <c r="R1657" s="14" t="s">
        <v>115</v>
      </c>
    </row>
    <row r="1658" spans="1:18" s="14" customFormat="1" x14ac:dyDescent="0.25">
      <c r="A1658" s="14" t="str">
        <f>"84195"</f>
        <v>84195</v>
      </c>
      <c r="B1658" s="14" t="str">
        <f>"07020"</f>
        <v>07020</v>
      </c>
      <c r="C1658" s="14" t="str">
        <f>"1700"</f>
        <v>1700</v>
      </c>
      <c r="D1658" s="14" t="str">
        <f>"84195"</f>
        <v>84195</v>
      </c>
      <c r="E1658" s="14" t="s">
        <v>1700</v>
      </c>
      <c r="F1658" s="14" t="s">
        <v>1532</v>
      </c>
      <c r="G1658" s="14" t="str">
        <f>""</f>
        <v/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799</v>
      </c>
      <c r="L1658" s="14" t="s">
        <v>797</v>
      </c>
      <c r="M1658" s="14" t="s">
        <v>72</v>
      </c>
      <c r="P1658" s="14" t="s">
        <v>31</v>
      </c>
      <c r="Q1658" s="14" t="s">
        <v>31</v>
      </c>
      <c r="R1658" s="14" t="s">
        <v>799</v>
      </c>
    </row>
    <row r="1659" spans="1:18" s="14" customFormat="1" x14ac:dyDescent="0.25">
      <c r="A1659" s="14" t="str">
        <f>"84196"</f>
        <v>84196</v>
      </c>
      <c r="B1659" s="14" t="str">
        <f>"07020"</f>
        <v>07020</v>
      </c>
      <c r="C1659" s="14" t="str">
        <f>"1700"</f>
        <v>1700</v>
      </c>
      <c r="D1659" s="14" t="str">
        <f>"84196"</f>
        <v>84196</v>
      </c>
      <c r="E1659" s="14" t="s">
        <v>1701</v>
      </c>
      <c r="F1659" s="14" t="s">
        <v>1532</v>
      </c>
      <c r="G1659" s="14" t="str">
        <f>""</f>
        <v/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1702</v>
      </c>
      <c r="L1659" s="14" t="s">
        <v>757</v>
      </c>
      <c r="P1659" s="14" t="s">
        <v>31</v>
      </c>
      <c r="Q1659" s="14" t="s">
        <v>31</v>
      </c>
      <c r="R1659" s="14" t="s">
        <v>1702</v>
      </c>
    </row>
    <row r="1660" spans="1:18" s="14" customFormat="1" x14ac:dyDescent="0.25">
      <c r="A1660" s="14" t="str">
        <f>"84198"</f>
        <v>84198</v>
      </c>
      <c r="B1660" s="14" t="str">
        <f>"07020"</f>
        <v>07020</v>
      </c>
      <c r="C1660" s="14" t="str">
        <f>"1700"</f>
        <v>1700</v>
      </c>
      <c r="D1660" s="14" t="str">
        <f>"84198"</f>
        <v>84198</v>
      </c>
      <c r="E1660" s="14" t="s">
        <v>1703</v>
      </c>
      <c r="F1660" s="14" t="s">
        <v>1532</v>
      </c>
      <c r="G1660" s="14" t="str">
        <f>""</f>
        <v/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392</v>
      </c>
      <c r="P1660" s="14" t="s">
        <v>31</v>
      </c>
      <c r="Q1660" s="14" t="s">
        <v>31</v>
      </c>
      <c r="R1660" s="14" t="s">
        <v>392</v>
      </c>
    </row>
    <row r="1661" spans="1:18" s="14" customFormat="1" x14ac:dyDescent="0.25">
      <c r="A1661" s="14" t="str">
        <f>"84199"</f>
        <v>84199</v>
      </c>
      <c r="B1661" s="14" t="str">
        <f>"07020"</f>
        <v>07020</v>
      </c>
      <c r="C1661" s="14" t="str">
        <f>"1700"</f>
        <v>1700</v>
      </c>
      <c r="D1661" s="14" t="str">
        <f>"84199"</f>
        <v>84199</v>
      </c>
      <c r="E1661" s="14" t="s">
        <v>1704</v>
      </c>
      <c r="F1661" s="14" t="s">
        <v>1532</v>
      </c>
      <c r="G1661" s="14" t="str">
        <f>""</f>
        <v/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72</v>
      </c>
      <c r="L1661" s="14" t="s">
        <v>797</v>
      </c>
      <c r="P1661" s="14" t="s">
        <v>31</v>
      </c>
      <c r="Q1661" s="14" t="s">
        <v>31</v>
      </c>
      <c r="R1661" s="14" t="s">
        <v>72</v>
      </c>
    </row>
    <row r="1662" spans="1:18" s="14" customFormat="1" x14ac:dyDescent="0.25">
      <c r="A1662" s="14" t="str">
        <f>"84200"</f>
        <v>84200</v>
      </c>
      <c r="B1662" s="14" t="str">
        <f>"07020"</f>
        <v>07020</v>
      </c>
      <c r="C1662" s="14" t="str">
        <f>"1700"</f>
        <v>1700</v>
      </c>
      <c r="D1662" s="14" t="str">
        <f>"84200"</f>
        <v>84200</v>
      </c>
      <c r="E1662" s="14" t="s">
        <v>1705</v>
      </c>
      <c r="F1662" s="14" t="s">
        <v>1532</v>
      </c>
      <c r="G1662" s="14" t="str">
        <f>""</f>
        <v/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1706</v>
      </c>
      <c r="P1662" s="14" t="s">
        <v>31</v>
      </c>
      <c r="Q1662" s="14" t="s">
        <v>31</v>
      </c>
      <c r="R1662" s="14" t="s">
        <v>383</v>
      </c>
    </row>
    <row r="1663" spans="1:18" s="14" customFormat="1" x14ac:dyDescent="0.25">
      <c r="A1663" s="14" t="str">
        <f>"84202"</f>
        <v>84202</v>
      </c>
      <c r="B1663" s="14" t="str">
        <f>"07020"</f>
        <v>07020</v>
      </c>
      <c r="C1663" s="14" t="str">
        <f>"1700"</f>
        <v>1700</v>
      </c>
      <c r="D1663" s="14" t="str">
        <f>"84202"</f>
        <v>84202</v>
      </c>
      <c r="E1663" s="14" t="s">
        <v>1707</v>
      </c>
      <c r="F1663" s="14" t="s">
        <v>1532</v>
      </c>
      <c r="G1663" s="14" t="str">
        <f>""</f>
        <v/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1708</v>
      </c>
      <c r="P1663" s="14" t="s">
        <v>31</v>
      </c>
      <c r="Q1663" s="14" t="s">
        <v>31</v>
      </c>
      <c r="R1663" s="14" t="s">
        <v>1708</v>
      </c>
    </row>
    <row r="1664" spans="1:18" s="14" customFormat="1" x14ac:dyDescent="0.25">
      <c r="A1664" s="14" t="str">
        <f>"84203"</f>
        <v>84203</v>
      </c>
      <c r="B1664" s="14" t="str">
        <f>"07020"</f>
        <v>07020</v>
      </c>
      <c r="C1664" s="14" t="str">
        <f>"1700"</f>
        <v>1700</v>
      </c>
      <c r="D1664" s="14" t="str">
        <f>"84203"</f>
        <v>84203</v>
      </c>
      <c r="E1664" s="14" t="s">
        <v>1709</v>
      </c>
      <c r="F1664" s="14" t="s">
        <v>1532</v>
      </c>
      <c r="G1664" s="14" t="str">
        <f>""</f>
        <v/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381</v>
      </c>
      <c r="L1664" s="14" t="s">
        <v>382</v>
      </c>
      <c r="M1664" s="14" t="s">
        <v>1570</v>
      </c>
      <c r="P1664" s="14" t="s">
        <v>31</v>
      </c>
      <c r="Q1664" s="14" t="s">
        <v>31</v>
      </c>
      <c r="R1664" s="14" t="s">
        <v>383</v>
      </c>
    </row>
    <row r="1665" spans="1:18" s="14" customFormat="1" x14ac:dyDescent="0.25">
      <c r="A1665" s="14" t="str">
        <f>"84204"</f>
        <v>84204</v>
      </c>
      <c r="B1665" s="14" t="str">
        <f>"07020"</f>
        <v>07020</v>
      </c>
      <c r="C1665" s="14" t="str">
        <f>"1700"</f>
        <v>1700</v>
      </c>
      <c r="D1665" s="14" t="str">
        <f>"84204"</f>
        <v>84204</v>
      </c>
      <c r="E1665" s="14" t="s">
        <v>1710</v>
      </c>
      <c r="F1665" s="14" t="s">
        <v>1532</v>
      </c>
      <c r="G1665" s="14" t="str">
        <f>""</f>
        <v/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404</v>
      </c>
      <c r="L1665" s="14" t="s">
        <v>405</v>
      </c>
      <c r="P1665" s="14" t="s">
        <v>31</v>
      </c>
      <c r="Q1665" s="14" t="s">
        <v>31</v>
      </c>
      <c r="R1665" s="14" t="s">
        <v>403</v>
      </c>
    </row>
    <row r="1666" spans="1:18" s="14" customFormat="1" x14ac:dyDescent="0.25">
      <c r="A1666" s="14" t="str">
        <f>"84207"</f>
        <v>84207</v>
      </c>
      <c r="B1666" s="14" t="str">
        <f>"07020"</f>
        <v>07020</v>
      </c>
      <c r="C1666" s="14" t="str">
        <f>"1700"</f>
        <v>1700</v>
      </c>
      <c r="D1666" s="14" t="str">
        <f>"84207"</f>
        <v>84207</v>
      </c>
      <c r="E1666" s="14" t="s">
        <v>1711</v>
      </c>
      <c r="F1666" s="14" t="s">
        <v>1532</v>
      </c>
      <c r="G1666" s="14" t="str">
        <f>""</f>
        <v/>
      </c>
      <c r="H1666" s="14" t="str">
        <f>" 00"</f>
        <v xml:space="preserve"> 00</v>
      </c>
      <c r="I1666" s="14">
        <v>0.01</v>
      </c>
      <c r="J1666" s="14">
        <v>9999999.9900000002</v>
      </c>
      <c r="K1666" s="14" t="s">
        <v>1636</v>
      </c>
      <c r="P1666" s="14" t="s">
        <v>31</v>
      </c>
      <c r="Q1666" s="14" t="s">
        <v>31</v>
      </c>
      <c r="R1666" s="14" t="s">
        <v>1712</v>
      </c>
    </row>
    <row r="1667" spans="1:18" s="14" customFormat="1" x14ac:dyDescent="0.25">
      <c r="A1667" s="14" t="str">
        <f>"84208"</f>
        <v>84208</v>
      </c>
      <c r="B1667" s="14" t="str">
        <f>"07020"</f>
        <v>07020</v>
      </c>
      <c r="C1667" s="14" t="str">
        <f>"1700"</f>
        <v>1700</v>
      </c>
      <c r="D1667" s="14" t="str">
        <f>"84208"</f>
        <v>84208</v>
      </c>
      <c r="E1667" s="14" t="s">
        <v>1713</v>
      </c>
      <c r="F1667" s="14" t="s">
        <v>1532</v>
      </c>
      <c r="G1667" s="14" t="str">
        <f>""</f>
        <v/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1565</v>
      </c>
      <c r="L1667" s="14" t="s">
        <v>392</v>
      </c>
      <c r="P1667" s="14" t="s">
        <v>31</v>
      </c>
      <c r="Q1667" s="14" t="s">
        <v>31</v>
      </c>
      <c r="R1667" s="14" t="s">
        <v>392</v>
      </c>
    </row>
    <row r="1668" spans="1:18" s="14" customFormat="1" x14ac:dyDescent="0.25">
      <c r="A1668" s="14" t="str">
        <f>"84209"</f>
        <v>84209</v>
      </c>
      <c r="B1668" s="14" t="str">
        <f>"07020"</f>
        <v>07020</v>
      </c>
      <c r="C1668" s="14" t="str">
        <f>"1700"</f>
        <v>1700</v>
      </c>
      <c r="D1668" s="14" t="str">
        <f>"84209"</f>
        <v>84209</v>
      </c>
      <c r="E1668" s="14" t="s">
        <v>1714</v>
      </c>
      <c r="F1668" s="14" t="s">
        <v>1532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388</v>
      </c>
      <c r="L1668" s="14" t="s">
        <v>387</v>
      </c>
      <c r="M1668" s="14" t="s">
        <v>392</v>
      </c>
      <c r="N1668" s="14" t="s">
        <v>386</v>
      </c>
      <c r="P1668" s="14" t="s">
        <v>31</v>
      </c>
      <c r="Q1668" s="14" t="s">
        <v>25</v>
      </c>
      <c r="R1668" s="14" t="s">
        <v>388</v>
      </c>
    </row>
    <row r="1669" spans="1:18" s="14" customFormat="1" x14ac:dyDescent="0.25">
      <c r="A1669" s="14" t="str">
        <f>"84210"</f>
        <v>84210</v>
      </c>
      <c r="B1669" s="14" t="str">
        <f>"07020"</f>
        <v>07020</v>
      </c>
      <c r="C1669" s="14" t="str">
        <f>"1700"</f>
        <v>1700</v>
      </c>
      <c r="D1669" s="14" t="str">
        <f>"84210"</f>
        <v>84210</v>
      </c>
      <c r="E1669" s="14" t="s">
        <v>1715</v>
      </c>
      <c r="F1669" s="14" t="s">
        <v>1532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1716</v>
      </c>
      <c r="P1669" s="14" t="s">
        <v>31</v>
      </c>
      <c r="Q1669" s="14" t="s">
        <v>31</v>
      </c>
      <c r="R1669" s="14" t="s">
        <v>1716</v>
      </c>
    </row>
    <row r="1670" spans="1:18" s="14" customFormat="1" x14ac:dyDescent="0.25">
      <c r="A1670" s="14" t="str">
        <f>"84211"</f>
        <v>84211</v>
      </c>
      <c r="B1670" s="14" t="str">
        <f>"07020"</f>
        <v>07020</v>
      </c>
      <c r="C1670" s="14" t="str">
        <f>"1700"</f>
        <v>1700</v>
      </c>
      <c r="D1670" s="14" t="str">
        <f>"84211"</f>
        <v>84211</v>
      </c>
      <c r="E1670" s="14" t="s">
        <v>1717</v>
      </c>
      <c r="F1670" s="14" t="s">
        <v>1532</v>
      </c>
      <c r="G1670" s="14" t="str">
        <f>""</f>
        <v/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392</v>
      </c>
      <c r="P1670" s="14" t="s">
        <v>31</v>
      </c>
      <c r="Q1670" s="14" t="s">
        <v>31</v>
      </c>
      <c r="R1670" s="14" t="s">
        <v>392</v>
      </c>
    </row>
    <row r="1671" spans="1:18" s="14" customFormat="1" x14ac:dyDescent="0.25">
      <c r="A1671" s="14" t="str">
        <f>"84212"</f>
        <v>84212</v>
      </c>
      <c r="B1671" s="14" t="str">
        <f>"07020"</f>
        <v>07020</v>
      </c>
      <c r="C1671" s="14" t="str">
        <f>"1700"</f>
        <v>1700</v>
      </c>
      <c r="D1671" s="14" t="str">
        <f>"84212"</f>
        <v>84212</v>
      </c>
      <c r="E1671" s="14" t="s">
        <v>1718</v>
      </c>
      <c r="F1671" s="14" t="s">
        <v>1532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1719</v>
      </c>
      <c r="L1671" s="14" t="s">
        <v>822</v>
      </c>
      <c r="M1671" s="14" t="s">
        <v>72</v>
      </c>
      <c r="P1671" s="14" t="s">
        <v>31</v>
      </c>
      <c r="Q1671" s="14" t="s">
        <v>31</v>
      </c>
      <c r="R1671" s="14" t="s">
        <v>70</v>
      </c>
    </row>
    <row r="1672" spans="1:18" s="14" customFormat="1" x14ac:dyDescent="0.25">
      <c r="A1672" s="14" t="str">
        <f>"84213"</f>
        <v>84213</v>
      </c>
      <c r="B1672" s="14" t="str">
        <f>"07020"</f>
        <v>07020</v>
      </c>
      <c r="C1672" s="14" t="str">
        <f>"1700"</f>
        <v>1700</v>
      </c>
      <c r="D1672" s="14" t="str">
        <f>"84213"</f>
        <v>84213</v>
      </c>
      <c r="E1672" s="14" t="s">
        <v>1720</v>
      </c>
      <c r="F1672" s="14" t="s">
        <v>1532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1721</v>
      </c>
      <c r="L1672" s="14" t="s">
        <v>1722</v>
      </c>
      <c r="P1672" s="14" t="s">
        <v>31</v>
      </c>
      <c r="Q1672" s="14" t="s">
        <v>31</v>
      </c>
      <c r="R1672" s="14" t="s">
        <v>1721</v>
      </c>
    </row>
    <row r="1673" spans="1:18" s="14" customFormat="1" x14ac:dyDescent="0.25">
      <c r="A1673" s="14" t="str">
        <f>"84215"</f>
        <v>84215</v>
      </c>
      <c r="B1673" s="14" t="str">
        <f>"07020"</f>
        <v>07020</v>
      </c>
      <c r="C1673" s="14" t="str">
        <f>"1700"</f>
        <v>1700</v>
      </c>
      <c r="D1673" s="14" t="str">
        <f>"84215"</f>
        <v>84215</v>
      </c>
      <c r="E1673" s="14" t="s">
        <v>1723</v>
      </c>
      <c r="F1673" s="14" t="s">
        <v>1532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392</v>
      </c>
      <c r="L1673" s="14" t="s">
        <v>47</v>
      </c>
      <c r="P1673" s="14" t="s">
        <v>31</v>
      </c>
      <c r="Q1673" s="14" t="s">
        <v>31</v>
      </c>
      <c r="R1673" s="14" t="s">
        <v>392</v>
      </c>
    </row>
    <row r="1674" spans="1:18" s="14" customFormat="1" x14ac:dyDescent="0.25">
      <c r="A1674" s="14" t="str">
        <f>"84216"</f>
        <v>84216</v>
      </c>
      <c r="B1674" s="14" t="str">
        <f>"07020"</f>
        <v>07020</v>
      </c>
      <c r="C1674" s="14" t="str">
        <f>"1700"</f>
        <v>1700</v>
      </c>
      <c r="D1674" s="14" t="str">
        <f>"84216"</f>
        <v>84216</v>
      </c>
      <c r="E1674" s="14" t="s">
        <v>1724</v>
      </c>
      <c r="F1674" s="14" t="s">
        <v>1532</v>
      </c>
      <c r="G1674" s="14" t="str">
        <f>""</f>
        <v/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601</v>
      </c>
      <c r="L1674" s="14" t="s">
        <v>72</v>
      </c>
      <c r="P1674" s="14" t="s">
        <v>31</v>
      </c>
      <c r="Q1674" s="14" t="s">
        <v>31</v>
      </c>
      <c r="R1674" s="14" t="s">
        <v>1549</v>
      </c>
    </row>
    <row r="1675" spans="1:18" s="14" customFormat="1" x14ac:dyDescent="0.25">
      <c r="A1675" s="14" t="str">
        <f>"84218"</f>
        <v>84218</v>
      </c>
      <c r="B1675" s="14" t="str">
        <f>"07020"</f>
        <v>07020</v>
      </c>
      <c r="C1675" s="14" t="str">
        <f>"1700"</f>
        <v>1700</v>
      </c>
      <c r="D1675" s="14" t="str">
        <f>"84218"</f>
        <v>84218</v>
      </c>
      <c r="E1675" s="14" t="s">
        <v>1725</v>
      </c>
      <c r="F1675" s="14" t="s">
        <v>1532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1726</v>
      </c>
      <c r="L1675" s="14" t="s">
        <v>1727</v>
      </c>
      <c r="P1675" s="14" t="s">
        <v>31</v>
      </c>
      <c r="Q1675" s="14" t="s">
        <v>31</v>
      </c>
      <c r="R1675" s="14" t="s">
        <v>1726</v>
      </c>
    </row>
    <row r="1676" spans="1:18" s="14" customFormat="1" x14ac:dyDescent="0.25">
      <c r="A1676" s="14" t="str">
        <f>"84222"</f>
        <v>84222</v>
      </c>
      <c r="B1676" s="14" t="str">
        <f>"07020"</f>
        <v>07020</v>
      </c>
      <c r="C1676" s="14" t="str">
        <f>"1700"</f>
        <v>1700</v>
      </c>
      <c r="D1676" s="14" t="str">
        <f>"84222"</f>
        <v>84222</v>
      </c>
      <c r="E1676" s="14" t="s">
        <v>1728</v>
      </c>
      <c r="F1676" s="14" t="s">
        <v>1532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381</v>
      </c>
      <c r="L1676" s="14" t="s">
        <v>382</v>
      </c>
      <c r="M1676" s="14" t="s">
        <v>1570</v>
      </c>
      <c r="P1676" s="14" t="s">
        <v>31</v>
      </c>
      <c r="Q1676" s="14" t="s">
        <v>31</v>
      </c>
      <c r="R1676" s="14" t="s">
        <v>383</v>
      </c>
    </row>
    <row r="1677" spans="1:18" s="14" customFormat="1" x14ac:dyDescent="0.25">
      <c r="A1677" s="14" t="str">
        <f>"84223"</f>
        <v>84223</v>
      </c>
      <c r="B1677" s="14" t="str">
        <f>"07020"</f>
        <v>07020</v>
      </c>
      <c r="C1677" s="14" t="str">
        <f>"1700"</f>
        <v>1700</v>
      </c>
      <c r="D1677" s="14" t="str">
        <f>"84223"</f>
        <v>84223</v>
      </c>
      <c r="E1677" s="14" t="s">
        <v>1729</v>
      </c>
      <c r="F1677" s="14" t="s">
        <v>1532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663</v>
      </c>
      <c r="P1677" s="14" t="s">
        <v>31</v>
      </c>
      <c r="Q1677" s="14" t="s">
        <v>31</v>
      </c>
      <c r="R1677" s="14" t="s">
        <v>1730</v>
      </c>
    </row>
    <row r="1678" spans="1:18" s="14" customFormat="1" x14ac:dyDescent="0.25">
      <c r="A1678" s="14" t="str">
        <f>"84224"</f>
        <v>84224</v>
      </c>
      <c r="B1678" s="14" t="str">
        <f>"07020"</f>
        <v>07020</v>
      </c>
      <c r="C1678" s="14" t="str">
        <f>"1700"</f>
        <v>1700</v>
      </c>
      <c r="D1678" s="14" t="str">
        <f>"84224"</f>
        <v>84224</v>
      </c>
      <c r="E1678" s="14" t="s">
        <v>1731</v>
      </c>
      <c r="F1678" s="14" t="s">
        <v>1532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1677</v>
      </c>
      <c r="L1678" s="14" t="s">
        <v>72</v>
      </c>
      <c r="P1678" s="14" t="s">
        <v>31</v>
      </c>
      <c r="Q1678" s="14" t="s">
        <v>31</v>
      </c>
      <c r="R1678" s="14" t="s">
        <v>1597</v>
      </c>
    </row>
    <row r="1679" spans="1:18" s="14" customFormat="1" x14ac:dyDescent="0.25">
      <c r="A1679" s="14" t="str">
        <f>"84225"</f>
        <v>84225</v>
      </c>
      <c r="B1679" s="14" t="str">
        <f>"07020"</f>
        <v>07020</v>
      </c>
      <c r="C1679" s="14" t="str">
        <f>"1700"</f>
        <v>1700</v>
      </c>
      <c r="D1679" s="14" t="str">
        <f>"84225"</f>
        <v>84225</v>
      </c>
      <c r="E1679" s="14" t="s">
        <v>1732</v>
      </c>
      <c r="F1679" s="14" t="s">
        <v>1532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48</v>
      </c>
      <c r="L1679" s="14" t="s">
        <v>97</v>
      </c>
      <c r="M1679" s="14" t="s">
        <v>98</v>
      </c>
      <c r="P1679" s="14" t="s">
        <v>31</v>
      </c>
      <c r="Q1679" s="14" t="s">
        <v>31</v>
      </c>
      <c r="R1679" s="14" t="s">
        <v>49</v>
      </c>
    </row>
    <row r="1680" spans="1:18" s="14" customFormat="1" x14ac:dyDescent="0.25">
      <c r="A1680" s="14" t="str">
        <f>"84226"</f>
        <v>84226</v>
      </c>
      <c r="B1680" s="14" t="str">
        <f>"07020"</f>
        <v>07020</v>
      </c>
      <c r="C1680" s="14" t="str">
        <f>"1700"</f>
        <v>1700</v>
      </c>
      <c r="D1680" s="14" t="str">
        <f>"84226"</f>
        <v>84226</v>
      </c>
      <c r="E1680" s="14" t="s">
        <v>1733</v>
      </c>
      <c r="F1680" s="14" t="s">
        <v>1532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1734</v>
      </c>
      <c r="L1680" s="14" t="s">
        <v>392</v>
      </c>
      <c r="M1680" s="14" t="s">
        <v>72</v>
      </c>
      <c r="P1680" s="14" t="s">
        <v>31</v>
      </c>
      <c r="Q1680" s="14" t="s">
        <v>31</v>
      </c>
      <c r="R1680" s="14" t="s">
        <v>1735</v>
      </c>
    </row>
    <row r="1681" spans="1:18" s="14" customFormat="1" x14ac:dyDescent="0.25">
      <c r="A1681" s="14" t="str">
        <f>"84227"</f>
        <v>84227</v>
      </c>
      <c r="B1681" s="14" t="str">
        <f>"07020"</f>
        <v>07020</v>
      </c>
      <c r="C1681" s="14" t="str">
        <f>"1700"</f>
        <v>1700</v>
      </c>
      <c r="D1681" s="14" t="str">
        <f>"84227"</f>
        <v>84227</v>
      </c>
      <c r="E1681" s="14" t="s">
        <v>1736</v>
      </c>
      <c r="F1681" s="14" t="s">
        <v>1532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1737</v>
      </c>
      <c r="P1681" s="14" t="s">
        <v>31</v>
      </c>
      <c r="Q1681" s="14" t="s">
        <v>31</v>
      </c>
      <c r="R1681" s="14" t="s">
        <v>98</v>
      </c>
    </row>
    <row r="1682" spans="1:18" s="14" customFormat="1" x14ac:dyDescent="0.25">
      <c r="A1682" s="14" t="str">
        <f>"84228"</f>
        <v>84228</v>
      </c>
      <c r="B1682" s="14" t="str">
        <f>"07020"</f>
        <v>07020</v>
      </c>
      <c r="C1682" s="14" t="str">
        <f>"1700"</f>
        <v>1700</v>
      </c>
      <c r="D1682" s="14" t="str">
        <f>"84228"</f>
        <v>84228</v>
      </c>
      <c r="E1682" s="14" t="s">
        <v>1738</v>
      </c>
      <c r="F1682" s="14" t="s">
        <v>1532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1739</v>
      </c>
      <c r="L1682" s="14" t="s">
        <v>1740</v>
      </c>
      <c r="P1682" s="14" t="s">
        <v>31</v>
      </c>
      <c r="Q1682" s="14" t="s">
        <v>31</v>
      </c>
      <c r="R1682" s="14" t="s">
        <v>1739</v>
      </c>
    </row>
    <row r="1683" spans="1:18" s="14" customFormat="1" x14ac:dyDescent="0.25">
      <c r="A1683" s="14" t="str">
        <f>"84229"</f>
        <v>84229</v>
      </c>
      <c r="B1683" s="14" t="str">
        <f>"07020"</f>
        <v>07020</v>
      </c>
      <c r="C1683" s="14" t="str">
        <f>"1700"</f>
        <v>1700</v>
      </c>
      <c r="D1683" s="14" t="str">
        <f>"84229"</f>
        <v>84229</v>
      </c>
      <c r="E1683" s="14" t="s">
        <v>1741</v>
      </c>
      <c r="F1683" s="14" t="s">
        <v>1532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403</v>
      </c>
      <c r="L1683" s="14" t="s">
        <v>404</v>
      </c>
      <c r="P1683" s="14" t="s">
        <v>31</v>
      </c>
      <c r="Q1683" s="14" t="s">
        <v>31</v>
      </c>
      <c r="R1683" s="14" t="s">
        <v>404</v>
      </c>
    </row>
    <row r="1684" spans="1:18" s="14" customFormat="1" x14ac:dyDescent="0.25">
      <c r="A1684" s="14" t="str">
        <f>"84230"</f>
        <v>84230</v>
      </c>
      <c r="B1684" s="14" t="str">
        <f>"07020"</f>
        <v>07020</v>
      </c>
      <c r="C1684" s="14" t="str">
        <f>"1700"</f>
        <v>1700</v>
      </c>
      <c r="D1684" s="14" t="str">
        <f>"84230"</f>
        <v>84230</v>
      </c>
      <c r="E1684" s="14" t="s">
        <v>1742</v>
      </c>
      <c r="F1684" s="14" t="s">
        <v>1532</v>
      </c>
      <c r="G1684" s="14" t="str">
        <f>""</f>
        <v/>
      </c>
      <c r="H1684" s="14" t="str">
        <f>" 10"</f>
        <v xml:space="preserve"> 10</v>
      </c>
      <c r="I1684" s="14">
        <v>0.01</v>
      </c>
      <c r="J1684" s="14">
        <v>500</v>
      </c>
      <c r="K1684" s="14" t="s">
        <v>146</v>
      </c>
      <c r="L1684" s="14" t="s">
        <v>147</v>
      </c>
      <c r="P1684" s="14" t="s">
        <v>31</v>
      </c>
      <c r="Q1684" s="14" t="s">
        <v>31</v>
      </c>
      <c r="R1684" s="14" t="s">
        <v>147</v>
      </c>
    </row>
    <row r="1685" spans="1:18" s="14" customFormat="1" x14ac:dyDescent="0.25">
      <c r="A1685" s="14" t="str">
        <f>"84230"</f>
        <v>84230</v>
      </c>
      <c r="B1685" s="14" t="str">
        <f>"07020"</f>
        <v>07020</v>
      </c>
      <c r="C1685" s="14" t="str">
        <f>"1700"</f>
        <v>1700</v>
      </c>
      <c r="D1685" s="14" t="str">
        <f>"84230"</f>
        <v>84230</v>
      </c>
      <c r="E1685" s="14" t="s">
        <v>1742</v>
      </c>
      <c r="F1685" s="14" t="s">
        <v>1532</v>
      </c>
      <c r="G1685" s="14" t="str">
        <f>""</f>
        <v/>
      </c>
      <c r="H1685" s="14" t="str">
        <f>" 20"</f>
        <v xml:space="preserve"> 20</v>
      </c>
      <c r="I1685" s="14">
        <v>500.01</v>
      </c>
      <c r="J1685" s="14">
        <v>9999999.9900000002</v>
      </c>
      <c r="K1685" s="14" t="s">
        <v>147</v>
      </c>
      <c r="L1685" s="14" t="s">
        <v>158</v>
      </c>
      <c r="P1685" s="14" t="s">
        <v>31</v>
      </c>
      <c r="Q1685" s="14" t="s">
        <v>31</v>
      </c>
      <c r="R1685" s="14" t="s">
        <v>147</v>
      </c>
    </row>
    <row r="1686" spans="1:18" s="14" customFormat="1" x14ac:dyDescent="0.25">
      <c r="A1686" s="14" t="str">
        <f>"84231"</f>
        <v>84231</v>
      </c>
      <c r="B1686" s="14" t="str">
        <f>"07020"</f>
        <v>07020</v>
      </c>
      <c r="C1686" s="14" t="str">
        <f>"1700"</f>
        <v>1700</v>
      </c>
      <c r="D1686" s="14" t="str">
        <f>"84231"</f>
        <v>84231</v>
      </c>
      <c r="E1686" s="14" t="s">
        <v>1743</v>
      </c>
      <c r="F1686" s="14" t="s">
        <v>1532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1619</v>
      </c>
      <c r="L1686" s="14" t="s">
        <v>72</v>
      </c>
      <c r="P1686" s="14" t="s">
        <v>31</v>
      </c>
      <c r="Q1686" s="14" t="s">
        <v>31</v>
      </c>
      <c r="R1686" s="14" t="s">
        <v>862</v>
      </c>
    </row>
    <row r="1687" spans="1:18" s="14" customFormat="1" x14ac:dyDescent="0.25">
      <c r="A1687" s="14" t="str">
        <f>"84232"</f>
        <v>84232</v>
      </c>
      <c r="B1687" s="14" t="str">
        <f>"07020"</f>
        <v>07020</v>
      </c>
      <c r="C1687" s="14" t="str">
        <f>"1700"</f>
        <v>1700</v>
      </c>
      <c r="D1687" s="14" t="str">
        <f>"84232"</f>
        <v>84232</v>
      </c>
      <c r="E1687" s="14" t="s">
        <v>1744</v>
      </c>
      <c r="F1687" s="14" t="s">
        <v>1532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1745</v>
      </c>
      <c r="P1687" s="14" t="s">
        <v>31</v>
      </c>
      <c r="Q1687" s="14" t="s">
        <v>31</v>
      </c>
      <c r="R1687" s="14" t="s">
        <v>1746</v>
      </c>
    </row>
    <row r="1688" spans="1:18" s="14" customFormat="1" x14ac:dyDescent="0.25">
      <c r="A1688" s="14" t="str">
        <f>"84233"</f>
        <v>84233</v>
      </c>
      <c r="B1688" s="14" t="str">
        <f>"07020"</f>
        <v>07020</v>
      </c>
      <c r="C1688" s="14" t="str">
        <f>"1700"</f>
        <v>1700</v>
      </c>
      <c r="D1688" s="14" t="str">
        <f>"84233"</f>
        <v>84233</v>
      </c>
      <c r="E1688" s="14" t="s">
        <v>1747</v>
      </c>
      <c r="F1688" s="14" t="s">
        <v>1532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1748</v>
      </c>
      <c r="L1688" s="14" t="s">
        <v>181</v>
      </c>
      <c r="P1688" s="14" t="s">
        <v>31</v>
      </c>
      <c r="Q1688" s="14" t="s">
        <v>31</v>
      </c>
      <c r="R1688" s="14" t="s">
        <v>1536</v>
      </c>
    </row>
    <row r="1689" spans="1:18" s="14" customFormat="1" x14ac:dyDescent="0.25">
      <c r="A1689" s="14" t="str">
        <f>"84234"</f>
        <v>84234</v>
      </c>
      <c r="B1689" s="14" t="str">
        <f>"07020"</f>
        <v>07020</v>
      </c>
      <c r="C1689" s="14" t="str">
        <f>"1700"</f>
        <v>1700</v>
      </c>
      <c r="D1689" s="14" t="str">
        <f>"84234"</f>
        <v>84234</v>
      </c>
      <c r="E1689" s="14" t="s">
        <v>1749</v>
      </c>
      <c r="F1689" s="14" t="s">
        <v>1532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1663</v>
      </c>
      <c r="P1689" s="14" t="s">
        <v>31</v>
      </c>
      <c r="Q1689" s="14" t="s">
        <v>31</v>
      </c>
      <c r="R1689" s="14" t="s">
        <v>392</v>
      </c>
    </row>
    <row r="1690" spans="1:18" s="14" customFormat="1" x14ac:dyDescent="0.25">
      <c r="A1690" s="14" t="str">
        <f>"84235"</f>
        <v>84235</v>
      </c>
      <c r="B1690" s="14" t="str">
        <f>"07020"</f>
        <v>07020</v>
      </c>
      <c r="C1690" s="14" t="str">
        <f>"1700"</f>
        <v>1700</v>
      </c>
      <c r="D1690" s="14" t="str">
        <f>"84235"</f>
        <v>84235</v>
      </c>
      <c r="E1690" s="14" t="s">
        <v>1750</v>
      </c>
      <c r="F1690" s="14" t="s">
        <v>1532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386</v>
      </c>
      <c r="L1690" s="14" t="s">
        <v>1534</v>
      </c>
      <c r="P1690" s="14" t="s">
        <v>31</v>
      </c>
      <c r="Q1690" s="14" t="s">
        <v>31</v>
      </c>
      <c r="R1690" s="14" t="s">
        <v>388</v>
      </c>
    </row>
    <row r="1691" spans="1:18" s="14" customFormat="1" x14ac:dyDescent="0.25">
      <c r="A1691" s="14" t="str">
        <f>"84236"</f>
        <v>84236</v>
      </c>
      <c r="B1691" s="14" t="str">
        <f>"07020"</f>
        <v>07020</v>
      </c>
      <c r="C1691" s="14" t="str">
        <f>"1700"</f>
        <v>1700</v>
      </c>
      <c r="D1691" s="14" t="str">
        <f>"84236"</f>
        <v>84236</v>
      </c>
      <c r="E1691" s="14" t="s">
        <v>1751</v>
      </c>
      <c r="F1691" s="14" t="s">
        <v>1532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766</v>
      </c>
      <c r="P1691" s="14" t="s">
        <v>31</v>
      </c>
      <c r="Q1691" s="14" t="s">
        <v>31</v>
      </c>
      <c r="R1691" s="14" t="s">
        <v>794</v>
      </c>
    </row>
    <row r="1692" spans="1:18" s="14" customFormat="1" x14ac:dyDescent="0.25">
      <c r="A1692" s="14" t="str">
        <f>"84237"</f>
        <v>84237</v>
      </c>
      <c r="B1692" s="14" t="str">
        <f>"07020"</f>
        <v>07020</v>
      </c>
      <c r="C1692" s="14" t="str">
        <f>"1700"</f>
        <v>1700</v>
      </c>
      <c r="D1692" s="14" t="str">
        <f>"84237"</f>
        <v>84237</v>
      </c>
      <c r="E1692" s="14" t="s">
        <v>1752</v>
      </c>
      <c r="F1692" s="14" t="s">
        <v>1532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392</v>
      </c>
      <c r="L1692" s="14" t="s">
        <v>1753</v>
      </c>
      <c r="M1692" s="14" t="s">
        <v>72</v>
      </c>
      <c r="P1692" s="14" t="s">
        <v>31</v>
      </c>
      <c r="Q1692" s="14" t="s">
        <v>31</v>
      </c>
      <c r="R1692" s="14" t="s">
        <v>392</v>
      </c>
    </row>
    <row r="1693" spans="1:18" s="14" customFormat="1" x14ac:dyDescent="0.25">
      <c r="A1693" s="14" t="str">
        <f>"84238"</f>
        <v>84238</v>
      </c>
      <c r="B1693" s="14" t="str">
        <f>"07020"</f>
        <v>07020</v>
      </c>
      <c r="C1693" s="14" t="str">
        <f>"1700"</f>
        <v>1700</v>
      </c>
      <c r="D1693" s="14" t="str">
        <f>"84238"</f>
        <v>84238</v>
      </c>
      <c r="E1693" s="14" t="s">
        <v>1754</v>
      </c>
      <c r="F1693" s="14" t="s">
        <v>1532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1619</v>
      </c>
      <c r="L1693" s="14" t="s">
        <v>392</v>
      </c>
      <c r="M1693" s="14" t="s">
        <v>72</v>
      </c>
      <c r="P1693" s="14" t="s">
        <v>31</v>
      </c>
      <c r="Q1693" s="14" t="s">
        <v>31</v>
      </c>
      <c r="R1693" s="14" t="s">
        <v>392</v>
      </c>
    </row>
    <row r="1694" spans="1:18" s="14" customFormat="1" x14ac:dyDescent="0.25">
      <c r="A1694" s="14" t="str">
        <f>"84239"</f>
        <v>84239</v>
      </c>
      <c r="B1694" s="14" t="str">
        <f>"07020"</f>
        <v>07020</v>
      </c>
      <c r="C1694" s="14" t="str">
        <f>"1700"</f>
        <v>1700</v>
      </c>
      <c r="D1694" s="14" t="str">
        <f>"84239"</f>
        <v>84239</v>
      </c>
      <c r="E1694" s="14" t="s">
        <v>1755</v>
      </c>
      <c r="F1694" s="14" t="s">
        <v>1532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181</v>
      </c>
      <c r="L1694" s="14" t="s">
        <v>753</v>
      </c>
      <c r="M1694" s="14" t="s">
        <v>873</v>
      </c>
      <c r="P1694" s="14" t="s">
        <v>31</v>
      </c>
      <c r="Q1694" s="14" t="s">
        <v>31</v>
      </c>
      <c r="R1694" s="14" t="s">
        <v>753</v>
      </c>
    </row>
    <row r="1695" spans="1:18" s="14" customFormat="1" x14ac:dyDescent="0.25">
      <c r="A1695" s="14" t="str">
        <f>"84240"</f>
        <v>84240</v>
      </c>
      <c r="B1695" s="14" t="str">
        <f>"07020"</f>
        <v>07020</v>
      </c>
      <c r="C1695" s="14" t="str">
        <f>"1700"</f>
        <v>1700</v>
      </c>
      <c r="D1695" s="14" t="str">
        <f>"84240"</f>
        <v>84240</v>
      </c>
      <c r="E1695" s="14" t="s">
        <v>1756</v>
      </c>
      <c r="F1695" s="14" t="s">
        <v>1532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1757</v>
      </c>
      <c r="L1695" s="14" t="s">
        <v>392</v>
      </c>
      <c r="P1695" s="14" t="s">
        <v>31</v>
      </c>
      <c r="Q1695" s="14" t="s">
        <v>31</v>
      </c>
      <c r="R1695" s="14" t="s">
        <v>1757</v>
      </c>
    </row>
    <row r="1696" spans="1:18" s="14" customFormat="1" x14ac:dyDescent="0.25">
      <c r="A1696" s="14" t="str">
        <f>"84241"</f>
        <v>84241</v>
      </c>
      <c r="B1696" s="14" t="str">
        <f>"07020"</f>
        <v>07020</v>
      </c>
      <c r="C1696" s="14" t="str">
        <f>"1700"</f>
        <v>1700</v>
      </c>
      <c r="D1696" s="14" t="str">
        <f>"84241"</f>
        <v>84241</v>
      </c>
      <c r="E1696" s="14" t="s">
        <v>1758</v>
      </c>
      <c r="F1696" s="14" t="s">
        <v>1532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779</v>
      </c>
      <c r="L1696" s="14" t="s">
        <v>392</v>
      </c>
      <c r="M1696" s="14" t="s">
        <v>72</v>
      </c>
      <c r="P1696" s="14" t="s">
        <v>31</v>
      </c>
      <c r="Q1696" s="14" t="s">
        <v>31</v>
      </c>
      <c r="R1696" s="14" t="s">
        <v>779</v>
      </c>
    </row>
    <row r="1697" spans="1:18" s="14" customFormat="1" x14ac:dyDescent="0.25">
      <c r="A1697" s="14" t="str">
        <f>"84242"</f>
        <v>84242</v>
      </c>
      <c r="B1697" s="14" t="str">
        <f>"07020"</f>
        <v>07020</v>
      </c>
      <c r="C1697" s="14" t="str">
        <f>"1700"</f>
        <v>1700</v>
      </c>
      <c r="D1697" s="14" t="str">
        <f>"84242"</f>
        <v>84242</v>
      </c>
      <c r="E1697" s="14" t="s">
        <v>1759</v>
      </c>
      <c r="F1697" s="14" t="s">
        <v>1532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1760</v>
      </c>
      <c r="P1697" s="14" t="s">
        <v>31</v>
      </c>
      <c r="Q1697" s="14" t="s">
        <v>31</v>
      </c>
      <c r="R1697" s="14" t="s">
        <v>1760</v>
      </c>
    </row>
    <row r="1698" spans="1:18" s="14" customFormat="1" x14ac:dyDescent="0.25">
      <c r="A1698" s="14" t="str">
        <f>"84243"</f>
        <v>84243</v>
      </c>
      <c r="B1698" s="14" t="str">
        <f>"07020"</f>
        <v>07020</v>
      </c>
      <c r="C1698" s="14" t="str">
        <f>"1700"</f>
        <v>1700</v>
      </c>
      <c r="D1698" s="14" t="str">
        <f>"84243"</f>
        <v>84243</v>
      </c>
      <c r="E1698" s="14" t="s">
        <v>1761</v>
      </c>
      <c r="F1698" s="14" t="s">
        <v>1532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766</v>
      </c>
      <c r="L1698" s="14" t="s">
        <v>392</v>
      </c>
      <c r="P1698" s="14" t="s">
        <v>31</v>
      </c>
      <c r="Q1698" s="14" t="s">
        <v>31</v>
      </c>
      <c r="R1698" s="14" t="s">
        <v>766</v>
      </c>
    </row>
    <row r="1699" spans="1:18" s="14" customFormat="1" x14ac:dyDescent="0.25">
      <c r="A1699" s="14" t="str">
        <f>"84244"</f>
        <v>84244</v>
      </c>
      <c r="B1699" s="14" t="str">
        <f>"07020"</f>
        <v>07020</v>
      </c>
      <c r="C1699" s="14" t="str">
        <f>"1700"</f>
        <v>1700</v>
      </c>
      <c r="D1699" s="14" t="str">
        <f>"84244"</f>
        <v>84244</v>
      </c>
      <c r="E1699" s="14" t="s">
        <v>1762</v>
      </c>
      <c r="F1699" s="14" t="s">
        <v>1532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381</v>
      </c>
      <c r="L1699" s="14" t="s">
        <v>382</v>
      </c>
      <c r="M1699" s="14" t="s">
        <v>1570</v>
      </c>
      <c r="P1699" s="14" t="s">
        <v>31</v>
      </c>
      <c r="Q1699" s="14" t="s">
        <v>31</v>
      </c>
      <c r="R1699" s="14" t="s">
        <v>383</v>
      </c>
    </row>
    <row r="1700" spans="1:18" s="14" customFormat="1" x14ac:dyDescent="0.25">
      <c r="A1700" s="14" t="str">
        <f>"84245"</f>
        <v>84245</v>
      </c>
      <c r="B1700" s="14" t="str">
        <f>"07020"</f>
        <v>07020</v>
      </c>
      <c r="C1700" s="14" t="str">
        <f>"1700"</f>
        <v>1700</v>
      </c>
      <c r="D1700" s="14" t="str">
        <f>"84245"</f>
        <v>84245</v>
      </c>
      <c r="E1700" s="14" t="s">
        <v>1763</v>
      </c>
      <c r="F1700" s="14" t="s">
        <v>1532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601</v>
      </c>
      <c r="L1700" s="14" t="s">
        <v>392</v>
      </c>
      <c r="P1700" s="14" t="s">
        <v>31</v>
      </c>
      <c r="Q1700" s="14" t="s">
        <v>31</v>
      </c>
      <c r="R1700" s="14" t="s">
        <v>392</v>
      </c>
    </row>
    <row r="1701" spans="1:18" s="14" customFormat="1" x14ac:dyDescent="0.25">
      <c r="A1701" s="14" t="str">
        <f>"84246"</f>
        <v>84246</v>
      </c>
      <c r="B1701" s="14" t="str">
        <f>"07020"</f>
        <v>07020</v>
      </c>
      <c r="C1701" s="14" t="str">
        <f>"1700"</f>
        <v>1700</v>
      </c>
      <c r="D1701" s="14" t="str">
        <f>"84246"</f>
        <v>84246</v>
      </c>
      <c r="E1701" s="14" t="s">
        <v>1764</v>
      </c>
      <c r="F1701" s="14" t="s">
        <v>1532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1706</v>
      </c>
      <c r="L1701" s="14" t="s">
        <v>392</v>
      </c>
      <c r="P1701" s="14" t="s">
        <v>31</v>
      </c>
      <c r="Q1701" s="14" t="s">
        <v>31</v>
      </c>
      <c r="R1701" s="14" t="s">
        <v>1706</v>
      </c>
    </row>
    <row r="1702" spans="1:18" s="14" customFormat="1" x14ac:dyDescent="0.25">
      <c r="A1702" s="14" t="str">
        <f>"84247"</f>
        <v>84247</v>
      </c>
      <c r="B1702" s="14" t="str">
        <f>"07020"</f>
        <v>07020</v>
      </c>
      <c r="C1702" s="14" t="str">
        <f>"1700"</f>
        <v>1700</v>
      </c>
      <c r="D1702" s="14" t="str">
        <f>"84247"</f>
        <v>84247</v>
      </c>
      <c r="E1702" s="14" t="s">
        <v>1765</v>
      </c>
      <c r="F1702" s="14" t="s">
        <v>1532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824</v>
      </c>
      <c r="L1702" s="14" t="s">
        <v>72</v>
      </c>
      <c r="P1702" s="14" t="s">
        <v>31</v>
      </c>
      <c r="Q1702" s="14" t="s">
        <v>31</v>
      </c>
      <c r="R1702" s="14" t="s">
        <v>392</v>
      </c>
    </row>
    <row r="1703" spans="1:18" s="14" customFormat="1" x14ac:dyDescent="0.25">
      <c r="A1703" s="14" t="str">
        <f>"84248"</f>
        <v>84248</v>
      </c>
      <c r="B1703" s="14" t="str">
        <f>"07020"</f>
        <v>07020</v>
      </c>
      <c r="C1703" s="14" t="str">
        <f>"1700"</f>
        <v>1700</v>
      </c>
      <c r="D1703" s="14" t="str">
        <f>"84248"</f>
        <v>84248</v>
      </c>
      <c r="E1703" s="14" t="s">
        <v>1766</v>
      </c>
      <c r="F1703" s="14" t="s">
        <v>1532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1636</v>
      </c>
      <c r="L1703" s="14" t="s">
        <v>1562</v>
      </c>
      <c r="P1703" s="14" t="s">
        <v>31</v>
      </c>
      <c r="Q1703" s="14" t="s">
        <v>31</v>
      </c>
      <c r="R1703" s="14" t="s">
        <v>390</v>
      </c>
    </row>
    <row r="1704" spans="1:18" s="14" customFormat="1" x14ac:dyDescent="0.25">
      <c r="A1704" s="14" t="str">
        <f>"84249"</f>
        <v>84249</v>
      </c>
      <c r="B1704" s="14" t="str">
        <f>"07020"</f>
        <v>07020</v>
      </c>
      <c r="C1704" s="14" t="str">
        <f>"1700"</f>
        <v>1700</v>
      </c>
      <c r="D1704" s="14" t="str">
        <f>"84249"</f>
        <v>84249</v>
      </c>
      <c r="E1704" s="14" t="s">
        <v>1767</v>
      </c>
      <c r="F1704" s="14" t="s">
        <v>1532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762</v>
      </c>
      <c r="L1704" s="14" t="s">
        <v>392</v>
      </c>
      <c r="P1704" s="14" t="s">
        <v>31</v>
      </c>
      <c r="Q1704" s="14" t="s">
        <v>25</v>
      </c>
      <c r="R1704" s="14" t="s">
        <v>762</v>
      </c>
    </row>
    <row r="1705" spans="1:18" s="14" customFormat="1" x14ac:dyDescent="0.25">
      <c r="A1705" s="14" t="str">
        <f>"84250"</f>
        <v>84250</v>
      </c>
      <c r="B1705" s="14" t="str">
        <f>"07020"</f>
        <v>07020</v>
      </c>
      <c r="C1705" s="14" t="str">
        <f>"1700"</f>
        <v>1700</v>
      </c>
      <c r="D1705" s="14" t="str">
        <f>"84250"</f>
        <v>84250</v>
      </c>
      <c r="E1705" s="14" t="s">
        <v>1768</v>
      </c>
      <c r="F1705" s="14" t="s">
        <v>1532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1697</v>
      </c>
      <c r="L1705" s="14" t="s">
        <v>1698</v>
      </c>
      <c r="P1705" s="14" t="s">
        <v>31</v>
      </c>
      <c r="Q1705" s="14" t="s">
        <v>25</v>
      </c>
      <c r="R1705" s="14" t="s">
        <v>392</v>
      </c>
    </row>
    <row r="1706" spans="1:18" s="14" customFormat="1" x14ac:dyDescent="0.25">
      <c r="A1706" s="14" t="str">
        <f>"84251"</f>
        <v>84251</v>
      </c>
      <c r="B1706" s="14" t="str">
        <f>"07020"</f>
        <v>07020</v>
      </c>
      <c r="C1706" s="14" t="str">
        <f>"1700"</f>
        <v>1700</v>
      </c>
      <c r="D1706" s="14" t="str">
        <f>"84251"</f>
        <v>84251</v>
      </c>
      <c r="E1706" s="14" t="s">
        <v>1769</v>
      </c>
      <c r="F1706" s="14" t="s">
        <v>1532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1630</v>
      </c>
      <c r="L1706" s="14" t="s">
        <v>392</v>
      </c>
      <c r="M1706" s="14" t="s">
        <v>72</v>
      </c>
      <c r="P1706" s="14" t="s">
        <v>31</v>
      </c>
      <c r="Q1706" s="14" t="s">
        <v>25</v>
      </c>
      <c r="R1706" s="14" t="s">
        <v>392</v>
      </c>
    </row>
    <row r="1707" spans="1:18" s="14" customFormat="1" x14ac:dyDescent="0.25">
      <c r="A1707" s="14" t="str">
        <f>"84252"</f>
        <v>84252</v>
      </c>
      <c r="B1707" s="14" t="str">
        <f>"07020"</f>
        <v>07020</v>
      </c>
      <c r="C1707" s="14" t="str">
        <f>"1700"</f>
        <v>1700</v>
      </c>
      <c r="D1707" s="14" t="str">
        <f>"84252"</f>
        <v>84252</v>
      </c>
      <c r="E1707" s="14" t="s">
        <v>1770</v>
      </c>
      <c r="F1707" s="14" t="s">
        <v>1532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1544</v>
      </c>
      <c r="L1707" s="14" t="s">
        <v>392</v>
      </c>
      <c r="P1707" s="14" t="s">
        <v>31</v>
      </c>
      <c r="Q1707" s="14" t="s">
        <v>31</v>
      </c>
      <c r="R1707" s="14" t="s">
        <v>1544</v>
      </c>
    </row>
    <row r="1708" spans="1:18" s="14" customFormat="1" x14ac:dyDescent="0.25">
      <c r="A1708" s="14" t="str">
        <f>"84253"</f>
        <v>84253</v>
      </c>
      <c r="B1708" s="14" t="str">
        <f>"07020"</f>
        <v>07020</v>
      </c>
      <c r="C1708" s="14" t="str">
        <f>"1700"</f>
        <v>1700</v>
      </c>
      <c r="D1708" s="14" t="str">
        <f>"84253"</f>
        <v>84253</v>
      </c>
      <c r="E1708" s="14" t="s">
        <v>1771</v>
      </c>
      <c r="F1708" s="14" t="s">
        <v>1532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1721</v>
      </c>
      <c r="L1708" s="14" t="s">
        <v>49</v>
      </c>
      <c r="P1708" s="14" t="s">
        <v>31</v>
      </c>
      <c r="Q1708" s="14" t="s">
        <v>31</v>
      </c>
      <c r="R1708" s="14" t="s">
        <v>1721</v>
      </c>
    </row>
    <row r="1709" spans="1:18" s="14" customFormat="1" x14ac:dyDescent="0.25">
      <c r="A1709" s="14" t="str">
        <f>"84254"</f>
        <v>84254</v>
      </c>
      <c r="B1709" s="14" t="str">
        <f>"07020"</f>
        <v>07020</v>
      </c>
      <c r="C1709" s="14" t="str">
        <f>"1700"</f>
        <v>1700</v>
      </c>
      <c r="D1709" s="14" t="str">
        <f>"84254"</f>
        <v>84254</v>
      </c>
      <c r="E1709" s="14" t="s">
        <v>1772</v>
      </c>
      <c r="F1709" s="14" t="s">
        <v>1532</v>
      </c>
      <c r="G1709" s="14" t="str">
        <f>""</f>
        <v/>
      </c>
      <c r="H1709" s="14" t="str">
        <f>" 00"</f>
        <v xml:space="preserve"> 00</v>
      </c>
      <c r="I1709" s="14">
        <v>0.01</v>
      </c>
      <c r="J1709" s="14">
        <v>9999999.9900000002</v>
      </c>
      <c r="K1709" s="14" t="s">
        <v>1773</v>
      </c>
      <c r="L1709" s="14" t="s">
        <v>1553</v>
      </c>
      <c r="M1709" s="14" t="s">
        <v>72</v>
      </c>
      <c r="P1709" s="14" t="s">
        <v>31</v>
      </c>
      <c r="Q1709" s="14" t="s">
        <v>31</v>
      </c>
      <c r="R1709" s="14" t="s">
        <v>1773</v>
      </c>
    </row>
    <row r="1710" spans="1:18" s="14" customFormat="1" x14ac:dyDescent="0.25">
      <c r="A1710" s="14" t="str">
        <f>"84255"</f>
        <v>84255</v>
      </c>
      <c r="B1710" s="14" t="str">
        <f>"07020"</f>
        <v>07020</v>
      </c>
      <c r="C1710" s="14" t="str">
        <f>"1700"</f>
        <v>1700</v>
      </c>
      <c r="D1710" s="14" t="str">
        <f>"84255"</f>
        <v>84255</v>
      </c>
      <c r="E1710" s="14" t="s">
        <v>1774</v>
      </c>
      <c r="F1710" s="14" t="s">
        <v>1532</v>
      </c>
      <c r="G1710" s="14" t="str">
        <f>""</f>
        <v/>
      </c>
      <c r="H1710" s="14" t="str">
        <f>" 00"</f>
        <v xml:space="preserve"> 00</v>
      </c>
      <c r="I1710" s="14">
        <v>0.01</v>
      </c>
      <c r="J1710" s="14">
        <v>9999999.9900000002</v>
      </c>
      <c r="K1710" s="14" t="s">
        <v>114</v>
      </c>
      <c r="L1710" s="14" t="s">
        <v>112</v>
      </c>
      <c r="M1710" s="14" t="s">
        <v>113</v>
      </c>
      <c r="P1710" s="14" t="s">
        <v>31</v>
      </c>
      <c r="Q1710" s="14" t="s">
        <v>31</v>
      </c>
      <c r="R1710" s="14" t="s">
        <v>115</v>
      </c>
    </row>
    <row r="1711" spans="1:18" s="14" customFormat="1" x14ac:dyDescent="0.25">
      <c r="A1711" s="14" t="str">
        <f>"85008"</f>
        <v>85008</v>
      </c>
      <c r="B1711" s="14" t="str">
        <f>"07030"</f>
        <v>07030</v>
      </c>
      <c r="C1711" s="14" t="str">
        <f>"8000"</f>
        <v>8000</v>
      </c>
      <c r="D1711" s="14" t="str">
        <f>"85008"</f>
        <v>85008</v>
      </c>
      <c r="E1711" s="14" t="s">
        <v>1775</v>
      </c>
      <c r="F1711" s="14" t="s">
        <v>1776</v>
      </c>
      <c r="G1711" s="14" t="str">
        <f>""</f>
        <v/>
      </c>
      <c r="H1711" s="14" t="str">
        <f>" 10"</f>
        <v xml:space="preserve"> 10</v>
      </c>
      <c r="I1711" s="14">
        <v>0.01</v>
      </c>
      <c r="J1711" s="14">
        <v>500</v>
      </c>
      <c r="K1711" s="14" t="s">
        <v>410</v>
      </c>
      <c r="L1711" s="14" t="s">
        <v>411</v>
      </c>
      <c r="M1711" s="14" t="s">
        <v>412</v>
      </c>
      <c r="N1711" s="14" t="s">
        <v>413</v>
      </c>
      <c r="P1711" s="14" t="s">
        <v>39</v>
      </c>
      <c r="Q1711" s="14" t="s">
        <v>39</v>
      </c>
      <c r="R1711" s="14" t="s">
        <v>410</v>
      </c>
    </row>
    <row r="1712" spans="1:18" s="14" customFormat="1" x14ac:dyDescent="0.25">
      <c r="A1712" s="14" t="str">
        <f>"85008"</f>
        <v>85008</v>
      </c>
      <c r="B1712" s="14" t="str">
        <f>"07030"</f>
        <v>07030</v>
      </c>
      <c r="C1712" s="14" t="str">
        <f>"8000"</f>
        <v>8000</v>
      </c>
      <c r="D1712" s="14" t="str">
        <f>"85008"</f>
        <v>85008</v>
      </c>
      <c r="E1712" s="14" t="s">
        <v>1775</v>
      </c>
      <c r="F1712" s="14" t="s">
        <v>1776</v>
      </c>
      <c r="G1712" s="14" t="str">
        <f>""</f>
        <v/>
      </c>
      <c r="H1712" s="14" t="str">
        <f>" 20"</f>
        <v xml:space="preserve"> 20</v>
      </c>
      <c r="I1712" s="14">
        <v>500.01</v>
      </c>
      <c r="J1712" s="14">
        <v>9999999.9900000002</v>
      </c>
      <c r="K1712" s="14" t="s">
        <v>414</v>
      </c>
      <c r="L1712" s="14" t="s">
        <v>411</v>
      </c>
      <c r="M1712" s="14" t="s">
        <v>412</v>
      </c>
      <c r="P1712" s="14" t="s">
        <v>39</v>
      </c>
      <c r="Q1712" s="14" t="s">
        <v>39</v>
      </c>
      <c r="R1712" s="14" t="s">
        <v>410</v>
      </c>
    </row>
    <row r="1713" spans="1:18" s="14" customFormat="1" x14ac:dyDescent="0.25">
      <c r="A1713" s="14" t="str">
        <f>"85011"</f>
        <v>85011</v>
      </c>
      <c r="B1713" s="14" t="str">
        <f>"07030"</f>
        <v>07030</v>
      </c>
      <c r="C1713" s="14" t="str">
        <f>"8000"</f>
        <v>8000</v>
      </c>
      <c r="D1713" s="14" t="str">
        <f>"85011"</f>
        <v>85011</v>
      </c>
      <c r="E1713" s="14" t="s">
        <v>1777</v>
      </c>
      <c r="F1713" s="14" t="s">
        <v>1776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114</v>
      </c>
      <c r="L1713" s="14" t="s">
        <v>1661</v>
      </c>
      <c r="P1713" s="14" t="s">
        <v>31</v>
      </c>
      <c r="Q1713" s="14" t="s">
        <v>31</v>
      </c>
      <c r="R1713" s="14" t="s">
        <v>114</v>
      </c>
    </row>
    <row r="1714" spans="1:18" s="14" customFormat="1" x14ac:dyDescent="0.25">
      <c r="A1714" s="14" t="str">
        <f>"85014"</f>
        <v>85014</v>
      </c>
      <c r="B1714" s="14" t="str">
        <f>"07030"</f>
        <v>07030</v>
      </c>
      <c r="C1714" s="14" t="str">
        <f>"8000"</f>
        <v>8000</v>
      </c>
      <c r="D1714" s="14" t="str">
        <f>"85014"</f>
        <v>85014</v>
      </c>
      <c r="E1714" s="14" t="s">
        <v>1778</v>
      </c>
      <c r="F1714" s="14" t="s">
        <v>1776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381</v>
      </c>
      <c r="L1714" s="14" t="s">
        <v>382</v>
      </c>
      <c r="P1714" s="14" t="s">
        <v>31</v>
      </c>
      <c r="Q1714" s="14" t="s">
        <v>31</v>
      </c>
      <c r="R1714" s="14" t="s">
        <v>383</v>
      </c>
    </row>
    <row r="1715" spans="1:18" s="14" customFormat="1" x14ac:dyDescent="0.25">
      <c r="A1715" s="14" t="str">
        <f>"85025"</f>
        <v>85025</v>
      </c>
      <c r="B1715" s="14" t="str">
        <f>"07030"</f>
        <v>07030</v>
      </c>
      <c r="C1715" s="14" t="str">
        <f>"8000"</f>
        <v>8000</v>
      </c>
      <c r="D1715" s="14" t="str">
        <f>"85025"</f>
        <v>85025</v>
      </c>
      <c r="E1715" s="14" t="s">
        <v>1779</v>
      </c>
      <c r="F1715" s="14" t="s">
        <v>1776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184</v>
      </c>
      <c r="L1715" s="14" t="s">
        <v>37</v>
      </c>
      <c r="P1715" s="14" t="s">
        <v>31</v>
      </c>
      <c r="Q1715" s="14" t="s">
        <v>31</v>
      </c>
      <c r="R1715" s="14" t="s">
        <v>115</v>
      </c>
    </row>
    <row r="1716" spans="1:18" s="14" customFormat="1" x14ac:dyDescent="0.25">
      <c r="A1716" s="14" t="str">
        <f>"85026"</f>
        <v>85026</v>
      </c>
      <c r="B1716" s="14" t="str">
        <f>"07030"</f>
        <v>07030</v>
      </c>
      <c r="C1716" s="14" t="str">
        <f>"8000"</f>
        <v>8000</v>
      </c>
      <c r="D1716" s="14" t="str">
        <f>"85026"</f>
        <v>85026</v>
      </c>
      <c r="E1716" s="14" t="s">
        <v>1780</v>
      </c>
      <c r="F1716" s="14" t="s">
        <v>1776</v>
      </c>
      <c r="G1716" s="14" t="str">
        <f>""</f>
        <v/>
      </c>
      <c r="H1716" s="14" t="str">
        <f>" 10"</f>
        <v xml:space="preserve"> 10</v>
      </c>
      <c r="I1716" s="14">
        <v>0.01</v>
      </c>
      <c r="J1716" s="14">
        <v>500</v>
      </c>
      <c r="K1716" s="14" t="s">
        <v>146</v>
      </c>
      <c r="L1716" s="14" t="s">
        <v>162</v>
      </c>
      <c r="P1716" s="14" t="s">
        <v>39</v>
      </c>
      <c r="Q1716" s="14" t="s">
        <v>39</v>
      </c>
      <c r="R1716" s="14" t="s">
        <v>146</v>
      </c>
    </row>
    <row r="1717" spans="1:18" s="14" customFormat="1" x14ac:dyDescent="0.25">
      <c r="A1717" s="14" t="str">
        <f>"85026"</f>
        <v>85026</v>
      </c>
      <c r="B1717" s="14" t="str">
        <f>"07030"</f>
        <v>07030</v>
      </c>
      <c r="C1717" s="14" t="str">
        <f>"8000"</f>
        <v>8000</v>
      </c>
      <c r="D1717" s="14" t="str">
        <f>"85026"</f>
        <v>85026</v>
      </c>
      <c r="E1717" s="14" t="s">
        <v>1780</v>
      </c>
      <c r="F1717" s="14" t="s">
        <v>1776</v>
      </c>
      <c r="G1717" s="14" t="str">
        <f>""</f>
        <v/>
      </c>
      <c r="H1717" s="14" t="str">
        <f>" 20"</f>
        <v xml:space="preserve"> 20</v>
      </c>
      <c r="I1717" s="14">
        <v>500.01</v>
      </c>
      <c r="J1717" s="14">
        <v>9999999.9900000002</v>
      </c>
      <c r="K1717" s="14" t="s">
        <v>162</v>
      </c>
      <c r="L1717" s="14" t="s">
        <v>147</v>
      </c>
      <c r="M1717" s="14" t="s">
        <v>156</v>
      </c>
      <c r="P1717" s="14" t="s">
        <v>39</v>
      </c>
      <c r="Q1717" s="14" t="s">
        <v>39</v>
      </c>
      <c r="R1717" s="14" t="s">
        <v>146</v>
      </c>
    </row>
    <row r="1718" spans="1:18" s="14" customFormat="1" x14ac:dyDescent="0.25">
      <c r="A1718" s="14" t="str">
        <f>"85029"</f>
        <v>85029</v>
      </c>
      <c r="B1718" s="14" t="str">
        <f>"07030"</f>
        <v>07030</v>
      </c>
      <c r="C1718" s="14" t="str">
        <f>"8000"</f>
        <v>8000</v>
      </c>
      <c r="D1718" s="14" t="str">
        <f>"85029"</f>
        <v>85029</v>
      </c>
      <c r="E1718" s="14" t="s">
        <v>1781</v>
      </c>
      <c r="F1718" s="14" t="s">
        <v>1776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390</v>
      </c>
      <c r="P1718" s="14" t="s">
        <v>31</v>
      </c>
      <c r="Q1718" s="14" t="s">
        <v>31</v>
      </c>
      <c r="R1718" s="14" t="s">
        <v>390</v>
      </c>
    </row>
    <row r="1719" spans="1:18" s="14" customFormat="1" x14ac:dyDescent="0.25">
      <c r="A1719" s="14" t="str">
        <f>"85038"</f>
        <v>85038</v>
      </c>
      <c r="B1719" s="14" t="str">
        <f>"07030"</f>
        <v>07030</v>
      </c>
      <c r="C1719" s="14" t="str">
        <f>"8000"</f>
        <v>8000</v>
      </c>
      <c r="D1719" s="14" t="str">
        <f>"85038"</f>
        <v>85038</v>
      </c>
      <c r="E1719" s="14" t="s">
        <v>1782</v>
      </c>
      <c r="F1719" s="14" t="s">
        <v>1776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898</v>
      </c>
      <c r="L1719" s="14" t="s">
        <v>72</v>
      </c>
      <c r="P1719" s="14" t="s">
        <v>39</v>
      </c>
      <c r="Q1719" s="14" t="s">
        <v>39</v>
      </c>
      <c r="R1719" s="14" t="s">
        <v>72</v>
      </c>
    </row>
    <row r="1720" spans="1:18" s="14" customFormat="1" x14ac:dyDescent="0.25">
      <c r="A1720" s="14" t="str">
        <f>"85055"</f>
        <v>85055</v>
      </c>
      <c r="B1720" s="14" t="str">
        <f>"07030"</f>
        <v>07030</v>
      </c>
      <c r="C1720" s="14" t="str">
        <f>"8000"</f>
        <v>8000</v>
      </c>
      <c r="D1720" s="14" t="str">
        <f>"85055"</f>
        <v>85055</v>
      </c>
      <c r="E1720" s="14" t="s">
        <v>1783</v>
      </c>
      <c r="F1720" s="14" t="s">
        <v>1776</v>
      </c>
      <c r="G1720" s="14" t="str">
        <f>""</f>
        <v/>
      </c>
      <c r="H1720" s="14" t="str">
        <f>" 10"</f>
        <v xml:space="preserve"> 10</v>
      </c>
      <c r="I1720" s="14">
        <v>0.01</v>
      </c>
      <c r="J1720" s="14">
        <v>500</v>
      </c>
      <c r="K1720" s="14" t="s">
        <v>146</v>
      </c>
      <c r="L1720" s="14" t="s">
        <v>147</v>
      </c>
      <c r="P1720" s="14" t="s">
        <v>39</v>
      </c>
      <c r="Q1720" s="14" t="s">
        <v>39</v>
      </c>
      <c r="R1720" s="14" t="s">
        <v>146</v>
      </c>
    </row>
    <row r="1721" spans="1:18" s="14" customFormat="1" x14ac:dyDescent="0.25">
      <c r="A1721" s="14" t="str">
        <f>"85055"</f>
        <v>85055</v>
      </c>
      <c r="B1721" s="14" t="str">
        <f>"07030"</f>
        <v>07030</v>
      </c>
      <c r="C1721" s="14" t="str">
        <f>"8000"</f>
        <v>8000</v>
      </c>
      <c r="D1721" s="14" t="str">
        <f>"85055"</f>
        <v>85055</v>
      </c>
      <c r="E1721" s="14" t="s">
        <v>1783</v>
      </c>
      <c r="F1721" s="14" t="s">
        <v>1776</v>
      </c>
      <c r="G1721" s="14" t="str">
        <f>""</f>
        <v/>
      </c>
      <c r="H1721" s="14" t="str">
        <f>" 20"</f>
        <v xml:space="preserve"> 20</v>
      </c>
      <c r="I1721" s="14">
        <v>500.01</v>
      </c>
      <c r="J1721" s="14">
        <v>9999999.9900000002</v>
      </c>
      <c r="K1721" s="14" t="s">
        <v>147</v>
      </c>
      <c r="L1721" s="14" t="s">
        <v>146</v>
      </c>
      <c r="P1721" s="14" t="s">
        <v>39</v>
      </c>
      <c r="Q1721" s="14" t="s">
        <v>39</v>
      </c>
      <c r="R1721" s="14" t="s">
        <v>146</v>
      </c>
    </row>
    <row r="1722" spans="1:18" s="14" customFormat="1" x14ac:dyDescent="0.25">
      <c r="A1722" s="14" t="str">
        <f>"85057"</f>
        <v>85057</v>
      </c>
      <c r="B1722" s="14" t="str">
        <f>"07030"</f>
        <v>07030</v>
      </c>
      <c r="C1722" s="14" t="str">
        <f>"8000"</f>
        <v>8000</v>
      </c>
      <c r="D1722" s="14" t="str">
        <f>"85057"</f>
        <v>85057</v>
      </c>
      <c r="E1722" s="14" t="s">
        <v>1784</v>
      </c>
      <c r="F1722" s="14" t="s">
        <v>1776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377</v>
      </c>
      <c r="L1722" s="14" t="s">
        <v>47</v>
      </c>
      <c r="P1722" s="14" t="s">
        <v>31</v>
      </c>
      <c r="Q1722" s="14" t="s">
        <v>31</v>
      </c>
      <c r="R1722" s="14" t="s">
        <v>379</v>
      </c>
    </row>
    <row r="1723" spans="1:18" s="14" customFormat="1" x14ac:dyDescent="0.25">
      <c r="A1723" s="14" t="str">
        <f>"85072"</f>
        <v>85072</v>
      </c>
      <c r="B1723" s="14" t="str">
        <f>"01790"</f>
        <v>01790</v>
      </c>
      <c r="C1723" s="14" t="str">
        <f>"1300"</f>
        <v>1300</v>
      </c>
      <c r="D1723" s="14" t="str">
        <f>"85072"</f>
        <v>85072</v>
      </c>
      <c r="E1723" s="14" t="s">
        <v>1785</v>
      </c>
      <c r="F1723" s="14" t="s">
        <v>178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179</v>
      </c>
      <c r="L1723" s="14" t="s">
        <v>37</v>
      </c>
      <c r="M1723" s="14" t="s">
        <v>1586</v>
      </c>
      <c r="P1723" s="14" t="s">
        <v>31</v>
      </c>
      <c r="Q1723" s="14" t="s">
        <v>31</v>
      </c>
      <c r="R1723" s="14" t="s">
        <v>1586</v>
      </c>
    </row>
    <row r="1724" spans="1:18" s="14" customFormat="1" x14ac:dyDescent="0.25">
      <c r="A1724" s="14" t="str">
        <f>"85079"</f>
        <v>85079</v>
      </c>
      <c r="B1724" s="14" t="str">
        <f>"01400"</f>
        <v>01400</v>
      </c>
      <c r="C1724" s="14" t="str">
        <f>"1600"</f>
        <v>1600</v>
      </c>
      <c r="D1724" s="14" t="str">
        <f>"85079"</f>
        <v>85079</v>
      </c>
      <c r="E1724" s="14" t="s">
        <v>1786</v>
      </c>
      <c r="F1724" s="14" t="s">
        <v>117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69</v>
      </c>
      <c r="L1724" s="14" t="s">
        <v>70</v>
      </c>
      <c r="M1724" s="14" t="s">
        <v>1667</v>
      </c>
      <c r="P1724" s="14" t="s">
        <v>31</v>
      </c>
      <c r="Q1724" s="14" t="s">
        <v>31</v>
      </c>
      <c r="R1724" s="14" t="s">
        <v>1787</v>
      </c>
    </row>
    <row r="1725" spans="1:18" s="14" customFormat="1" x14ac:dyDescent="0.25">
      <c r="A1725" s="14" t="str">
        <f>"85115"</f>
        <v>85115</v>
      </c>
      <c r="B1725" s="14" t="str">
        <f>"01400"</f>
        <v>01400</v>
      </c>
      <c r="C1725" s="14" t="str">
        <f>"1600"</f>
        <v>1600</v>
      </c>
      <c r="D1725" s="14" t="str">
        <f>"85115"</f>
        <v>85115</v>
      </c>
      <c r="E1725" s="14" t="s">
        <v>1788</v>
      </c>
      <c r="F1725" s="14" t="s">
        <v>117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69</v>
      </c>
      <c r="L1725" s="14" t="s">
        <v>70</v>
      </c>
      <c r="M1725" s="14" t="s">
        <v>71</v>
      </c>
      <c r="P1725" s="14" t="s">
        <v>31</v>
      </c>
      <c r="Q1725" s="14" t="s">
        <v>31</v>
      </c>
      <c r="R1725" s="14" t="s">
        <v>69</v>
      </c>
    </row>
    <row r="1726" spans="1:18" s="14" customFormat="1" x14ac:dyDescent="0.25">
      <c r="A1726" s="14" t="str">
        <f>"85117"</f>
        <v>85117</v>
      </c>
      <c r="B1726" s="14" t="str">
        <f>"07030"</f>
        <v>07030</v>
      </c>
      <c r="C1726" s="14" t="str">
        <f>"8000"</f>
        <v>8000</v>
      </c>
      <c r="D1726" s="14" t="str">
        <f>"85117"</f>
        <v>85117</v>
      </c>
      <c r="E1726" s="14" t="s">
        <v>1789</v>
      </c>
      <c r="F1726" s="14" t="s">
        <v>1776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395</v>
      </c>
      <c r="P1726" s="14" t="s">
        <v>31</v>
      </c>
      <c r="Q1726" s="14" t="s">
        <v>260</v>
      </c>
      <c r="R1726" s="14" t="s">
        <v>399</v>
      </c>
    </row>
    <row r="1727" spans="1:18" s="14" customFormat="1" x14ac:dyDescent="0.25">
      <c r="A1727" s="14" t="str">
        <f>"85121"</f>
        <v>85121</v>
      </c>
      <c r="B1727" s="14" t="str">
        <f>"07030"</f>
        <v>07030</v>
      </c>
      <c r="C1727" s="14" t="str">
        <f>"8000"</f>
        <v>8000</v>
      </c>
      <c r="D1727" s="14" t="str">
        <f>"85121"</f>
        <v>85121</v>
      </c>
      <c r="E1727" s="14" t="s">
        <v>1790</v>
      </c>
      <c r="F1727" s="14" t="s">
        <v>1776</v>
      </c>
      <c r="G1727" s="14" t="str">
        <f>""</f>
        <v/>
      </c>
      <c r="H1727" s="14" t="str">
        <f>" 00"</f>
        <v xml:space="preserve"> 00</v>
      </c>
      <c r="I1727" s="14">
        <v>0.01</v>
      </c>
      <c r="J1727" s="14">
        <v>9999999.9900000002</v>
      </c>
      <c r="K1727" s="14" t="s">
        <v>48</v>
      </c>
      <c r="L1727" s="14" t="s">
        <v>97</v>
      </c>
      <c r="M1727" s="14" t="s">
        <v>98</v>
      </c>
      <c r="P1727" s="14" t="s">
        <v>39</v>
      </c>
      <c r="Q1727" s="14" t="s">
        <v>39</v>
      </c>
      <c r="R1727" s="14" t="s">
        <v>98</v>
      </c>
    </row>
    <row r="1728" spans="1:18" s="14" customFormat="1" x14ac:dyDescent="0.25">
      <c r="A1728" s="14" t="str">
        <f>"85124"</f>
        <v>85124</v>
      </c>
      <c r="B1728" s="14" t="str">
        <f>"07030"</f>
        <v>07030</v>
      </c>
      <c r="C1728" s="14" t="str">
        <f>"8000"</f>
        <v>8000</v>
      </c>
      <c r="D1728" s="14" t="str">
        <f>"85124"</f>
        <v>85124</v>
      </c>
      <c r="E1728" s="14" t="s">
        <v>1791</v>
      </c>
      <c r="F1728" s="14" t="s">
        <v>1776</v>
      </c>
      <c r="G1728" s="14" t="str">
        <f>""</f>
        <v/>
      </c>
      <c r="H1728" s="14" t="str">
        <f>" 00"</f>
        <v xml:space="preserve"> 00</v>
      </c>
      <c r="I1728" s="14">
        <v>0.01</v>
      </c>
      <c r="J1728" s="14">
        <v>9999999.9900000002</v>
      </c>
      <c r="K1728" s="14" t="s">
        <v>404</v>
      </c>
      <c r="L1728" s="14" t="s">
        <v>405</v>
      </c>
      <c r="P1728" s="14" t="s">
        <v>39</v>
      </c>
      <c r="Q1728" s="14" t="s">
        <v>39</v>
      </c>
      <c r="R1728" s="14" t="s">
        <v>403</v>
      </c>
    </row>
    <row r="1729" spans="1:18" s="14" customFormat="1" x14ac:dyDescent="0.25">
      <c r="A1729" s="14" t="str">
        <f>"85127"</f>
        <v>85127</v>
      </c>
      <c r="B1729" s="14" t="str">
        <f>"07030"</f>
        <v>07030</v>
      </c>
      <c r="C1729" s="14" t="str">
        <f>"8000"</f>
        <v>8000</v>
      </c>
      <c r="D1729" s="14" t="str">
        <f>"85127"</f>
        <v>85127</v>
      </c>
      <c r="E1729" s="14" t="s">
        <v>1792</v>
      </c>
      <c r="F1729" s="14" t="s">
        <v>1776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193</v>
      </c>
      <c r="L1729" s="14" t="s">
        <v>196</v>
      </c>
      <c r="P1729" s="14" t="s">
        <v>31</v>
      </c>
      <c r="Q1729" s="14" t="s">
        <v>31</v>
      </c>
      <c r="R1729" s="14" t="s">
        <v>1793</v>
      </c>
    </row>
    <row r="1730" spans="1:18" s="14" customFormat="1" x14ac:dyDescent="0.25">
      <c r="A1730" s="14" t="str">
        <f>"90005"</f>
        <v>90005</v>
      </c>
      <c r="B1730" s="14" t="str">
        <f>"03000"</f>
        <v>03000</v>
      </c>
      <c r="C1730" s="14" t="str">
        <f>"1921"</f>
        <v>1921</v>
      </c>
      <c r="D1730" s="14" t="str">
        <f>""</f>
        <v/>
      </c>
      <c r="E1730" s="14" t="s">
        <v>1794</v>
      </c>
      <c r="F1730" s="14" t="s">
        <v>217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34</v>
      </c>
      <c r="P1730" s="14" t="s">
        <v>239</v>
      </c>
      <c r="Q1730" s="14" t="s">
        <v>25</v>
      </c>
      <c r="R1730" s="14" t="s">
        <v>35</v>
      </c>
    </row>
    <row r="1731" spans="1:18" s="14" customFormat="1" x14ac:dyDescent="0.25">
      <c r="A1731" s="14" t="str">
        <f>"90007"</f>
        <v>90007</v>
      </c>
      <c r="B1731" s="14" t="str">
        <f>"03000"</f>
        <v>03000</v>
      </c>
      <c r="C1731" s="14" t="str">
        <f>"1930"</f>
        <v>1930</v>
      </c>
      <c r="D1731" s="14" t="str">
        <f>""</f>
        <v/>
      </c>
      <c r="E1731" s="14" t="s">
        <v>1795</v>
      </c>
      <c r="F1731" s="14" t="s">
        <v>217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34</v>
      </c>
      <c r="P1731" s="14" t="s">
        <v>239</v>
      </c>
      <c r="Q1731" s="14" t="s">
        <v>25</v>
      </c>
      <c r="R1731" s="14" t="s">
        <v>35</v>
      </c>
    </row>
    <row r="1732" spans="1:18" s="14" customFormat="1" x14ac:dyDescent="0.25">
      <c r="A1732" s="14" t="str">
        <f>"90010"</f>
        <v>90010</v>
      </c>
      <c r="B1732" s="14" t="str">
        <f>"03000"</f>
        <v>03000</v>
      </c>
      <c r="C1732" s="14" t="str">
        <f>"1921"</f>
        <v>1921</v>
      </c>
      <c r="D1732" s="14" t="str">
        <f>""</f>
        <v/>
      </c>
      <c r="E1732" s="14" t="s">
        <v>1796</v>
      </c>
      <c r="F1732" s="14" t="s">
        <v>217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34</v>
      </c>
      <c r="P1732" s="14" t="s">
        <v>239</v>
      </c>
      <c r="Q1732" s="14" t="s">
        <v>25</v>
      </c>
      <c r="R1732" s="14" t="s">
        <v>35</v>
      </c>
    </row>
    <row r="1733" spans="1:18" s="14" customFormat="1" x14ac:dyDescent="0.25">
      <c r="A1733" s="14" t="str">
        <f>"90015"</f>
        <v>90015</v>
      </c>
      <c r="B1733" s="14" t="str">
        <f>"03000"</f>
        <v>03000</v>
      </c>
      <c r="C1733" s="14" t="str">
        <f>"1921"</f>
        <v>1921</v>
      </c>
      <c r="D1733" s="14" t="str">
        <f>""</f>
        <v/>
      </c>
      <c r="E1733" s="14" t="s">
        <v>1797</v>
      </c>
      <c r="F1733" s="14" t="s">
        <v>217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34</v>
      </c>
      <c r="P1733" s="14" t="s">
        <v>239</v>
      </c>
      <c r="Q1733" s="14" t="s">
        <v>25</v>
      </c>
      <c r="R1733" s="14" t="s">
        <v>35</v>
      </c>
    </row>
    <row r="1734" spans="1:18" s="14" customFormat="1" x14ac:dyDescent="0.25">
      <c r="A1734" s="14" t="str">
        <f>"90020"</f>
        <v>90020</v>
      </c>
      <c r="B1734" s="14" t="str">
        <f>"03000"</f>
        <v>03000</v>
      </c>
      <c r="C1734" s="14" t="str">
        <f>"1930"</f>
        <v>1930</v>
      </c>
      <c r="D1734" s="14" t="str">
        <f>""</f>
        <v/>
      </c>
      <c r="E1734" s="14" t="s">
        <v>1798</v>
      </c>
      <c r="F1734" s="14" t="s">
        <v>217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34</v>
      </c>
      <c r="P1734" s="14" t="s">
        <v>239</v>
      </c>
      <c r="Q1734" s="14" t="s">
        <v>25</v>
      </c>
      <c r="R1734" s="14" t="s">
        <v>35</v>
      </c>
    </row>
    <row r="1735" spans="1:18" s="14" customFormat="1" x14ac:dyDescent="0.25">
      <c r="A1735" s="14" t="str">
        <f>"90105"</f>
        <v>90105</v>
      </c>
      <c r="B1735" s="14" t="str">
        <f>"03000"</f>
        <v>03000</v>
      </c>
      <c r="C1735" s="14" t="str">
        <f>"1930"</f>
        <v>1930</v>
      </c>
      <c r="D1735" s="14" t="str">
        <f>""</f>
        <v/>
      </c>
      <c r="E1735" s="14" t="s">
        <v>1799</v>
      </c>
      <c r="F1735" s="14" t="s">
        <v>217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34</v>
      </c>
      <c r="P1735" s="14" t="s">
        <v>239</v>
      </c>
      <c r="Q1735" s="14" t="s">
        <v>25</v>
      </c>
      <c r="R1735" s="14" t="s">
        <v>35</v>
      </c>
    </row>
    <row r="1736" spans="1:18" s="14" customFormat="1" x14ac:dyDescent="0.25">
      <c r="A1736" s="14" t="str">
        <f>"90110"</f>
        <v>90110</v>
      </c>
      <c r="B1736" s="14" t="str">
        <f>"03000"</f>
        <v>03000</v>
      </c>
      <c r="C1736" s="14" t="str">
        <f>"1930"</f>
        <v>1930</v>
      </c>
      <c r="D1736" s="14" t="str">
        <f>""</f>
        <v/>
      </c>
      <c r="E1736" s="14" t="s">
        <v>1800</v>
      </c>
      <c r="F1736" s="14" t="s">
        <v>217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34</v>
      </c>
      <c r="P1736" s="14" t="s">
        <v>239</v>
      </c>
      <c r="Q1736" s="14" t="s">
        <v>25</v>
      </c>
      <c r="R1736" s="14" t="s">
        <v>35</v>
      </c>
    </row>
    <row r="1737" spans="1:18" s="14" customFormat="1" x14ac:dyDescent="0.25">
      <c r="A1737" s="14" t="str">
        <f>"90121"</f>
        <v>90121</v>
      </c>
      <c r="B1737" s="14" t="str">
        <f>"03000"</f>
        <v>03000</v>
      </c>
      <c r="C1737" s="14" t="str">
        <f>"1300"</f>
        <v>1300</v>
      </c>
      <c r="D1737" s="14" t="str">
        <f>""</f>
        <v/>
      </c>
      <c r="E1737" s="14" t="s">
        <v>1801</v>
      </c>
      <c r="F1737" s="14" t="s">
        <v>217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34</v>
      </c>
      <c r="P1737" s="14" t="s">
        <v>239</v>
      </c>
      <c r="Q1737" s="14" t="s">
        <v>25</v>
      </c>
      <c r="R1737" s="14" t="s">
        <v>35</v>
      </c>
    </row>
    <row r="1738" spans="1:18" s="14" customFormat="1" x14ac:dyDescent="0.25">
      <c r="A1738" s="14" t="str">
        <f>"90130"</f>
        <v>90130</v>
      </c>
      <c r="B1738" s="14" t="str">
        <f>"03000"</f>
        <v>03000</v>
      </c>
      <c r="C1738" s="14" t="str">
        <f>"1930"</f>
        <v>1930</v>
      </c>
      <c r="D1738" s="14" t="str">
        <f>""</f>
        <v/>
      </c>
      <c r="E1738" s="14" t="s">
        <v>1802</v>
      </c>
      <c r="F1738" s="14" t="s">
        <v>217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34</v>
      </c>
      <c r="P1738" s="14" t="s">
        <v>239</v>
      </c>
      <c r="Q1738" s="14" t="s">
        <v>25</v>
      </c>
      <c r="R1738" s="14" t="s">
        <v>35</v>
      </c>
    </row>
    <row r="1739" spans="1:18" s="14" customFormat="1" x14ac:dyDescent="0.25">
      <c r="A1739" s="14" t="str">
        <f>"90135"</f>
        <v>90135</v>
      </c>
      <c r="B1739" s="14" t="str">
        <f>"03000"</f>
        <v>03000</v>
      </c>
      <c r="C1739" s="14" t="str">
        <f>"1930"</f>
        <v>1930</v>
      </c>
      <c r="D1739" s="14" t="str">
        <f>""</f>
        <v/>
      </c>
      <c r="E1739" s="14" t="s">
        <v>1803</v>
      </c>
      <c r="F1739" s="14" t="s">
        <v>217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34</v>
      </c>
      <c r="P1739" s="14" t="s">
        <v>239</v>
      </c>
      <c r="Q1739" s="14" t="s">
        <v>25</v>
      </c>
      <c r="R1739" s="14" t="s">
        <v>35</v>
      </c>
    </row>
    <row r="1740" spans="1:18" s="14" customFormat="1" x14ac:dyDescent="0.25">
      <c r="A1740" s="14" t="str">
        <f>"90136"</f>
        <v>90136</v>
      </c>
      <c r="B1740" s="14" t="str">
        <f>"03000"</f>
        <v>03000</v>
      </c>
      <c r="C1740" s="14" t="str">
        <f>"1930"</f>
        <v>1930</v>
      </c>
      <c r="D1740" s="14" t="str">
        <f>""</f>
        <v/>
      </c>
      <c r="E1740" s="14" t="s">
        <v>1804</v>
      </c>
      <c r="F1740" s="14" t="s">
        <v>217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34</v>
      </c>
      <c r="P1740" s="14" t="s">
        <v>239</v>
      </c>
      <c r="Q1740" s="14" t="s">
        <v>25</v>
      </c>
      <c r="R1740" s="14" t="s">
        <v>35</v>
      </c>
    </row>
    <row r="1741" spans="1:18" s="14" customFormat="1" x14ac:dyDescent="0.25">
      <c r="A1741" s="14" t="str">
        <f>"90145"</f>
        <v>90145</v>
      </c>
      <c r="B1741" s="14" t="str">
        <f>"02000"</f>
        <v>02000</v>
      </c>
      <c r="C1741" s="14" t="str">
        <f>"1400"</f>
        <v>1400</v>
      </c>
      <c r="D1741" s="14" t="str">
        <f>""</f>
        <v/>
      </c>
      <c r="E1741" s="14" t="s">
        <v>1805</v>
      </c>
      <c r="F1741" s="14" t="s">
        <v>189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28</v>
      </c>
      <c r="L1741" s="14" t="s">
        <v>204</v>
      </c>
      <c r="P1741" s="14" t="s">
        <v>239</v>
      </c>
      <c r="Q1741" s="14" t="s">
        <v>25</v>
      </c>
      <c r="R1741" s="14" t="s">
        <v>205</v>
      </c>
    </row>
    <row r="1742" spans="1:18" s="14" customFormat="1" x14ac:dyDescent="0.25">
      <c r="A1742" s="14" t="str">
        <f>"90150"</f>
        <v>90150</v>
      </c>
      <c r="B1742" s="14" t="str">
        <f>"03000"</f>
        <v>03000</v>
      </c>
      <c r="C1742" s="14" t="str">
        <f>"1500"</f>
        <v>1500</v>
      </c>
      <c r="D1742" s="14" t="str">
        <f>""</f>
        <v/>
      </c>
      <c r="E1742" s="14" t="s">
        <v>1806</v>
      </c>
      <c r="F1742" s="14" t="s">
        <v>217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34</v>
      </c>
      <c r="P1742" s="14" t="s">
        <v>239</v>
      </c>
      <c r="Q1742" s="14" t="s">
        <v>25</v>
      </c>
      <c r="R1742" s="14" t="s">
        <v>35</v>
      </c>
    </row>
    <row r="1743" spans="1:18" s="14" customFormat="1" x14ac:dyDescent="0.25">
      <c r="A1743" s="14" t="str">
        <f>"90165"</f>
        <v>90165</v>
      </c>
      <c r="B1743" s="14" t="str">
        <f>"03000"</f>
        <v>03000</v>
      </c>
      <c r="C1743" s="14" t="str">
        <f>"1930"</f>
        <v>1930</v>
      </c>
      <c r="D1743" s="14" t="str">
        <f>""</f>
        <v/>
      </c>
      <c r="E1743" s="14" t="s">
        <v>1807</v>
      </c>
      <c r="F1743" s="14" t="s">
        <v>217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34</v>
      </c>
      <c r="P1743" s="14" t="s">
        <v>239</v>
      </c>
      <c r="Q1743" s="14" t="s">
        <v>25</v>
      </c>
      <c r="R1743" s="14" t="s">
        <v>35</v>
      </c>
    </row>
    <row r="1744" spans="1:18" s="14" customFormat="1" x14ac:dyDescent="0.25">
      <c r="A1744" s="14" t="str">
        <f>"90175"</f>
        <v>90175</v>
      </c>
      <c r="B1744" s="14" t="str">
        <f>"03000"</f>
        <v>03000</v>
      </c>
      <c r="C1744" s="14" t="str">
        <f>"1930"</f>
        <v>1930</v>
      </c>
      <c r="D1744" s="14" t="str">
        <f>""</f>
        <v/>
      </c>
      <c r="E1744" s="14" t="s">
        <v>1808</v>
      </c>
      <c r="F1744" s="14" t="s">
        <v>217</v>
      </c>
      <c r="G1744" s="14" t="str">
        <f>""</f>
        <v/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34</v>
      </c>
      <c r="P1744" s="14" t="s">
        <v>239</v>
      </c>
      <c r="Q1744" s="14" t="s">
        <v>25</v>
      </c>
      <c r="R1744" s="14" t="s">
        <v>35</v>
      </c>
    </row>
    <row r="1745" spans="1:18" s="14" customFormat="1" x14ac:dyDescent="0.25">
      <c r="A1745" s="14" t="str">
        <f>"90205"</f>
        <v>90205</v>
      </c>
      <c r="B1745" s="14" t="str">
        <f>"03000"</f>
        <v>03000</v>
      </c>
      <c r="C1745" s="14" t="str">
        <f>"1500"</f>
        <v>1500</v>
      </c>
      <c r="D1745" s="14" t="str">
        <f>""</f>
        <v/>
      </c>
      <c r="E1745" s="14" t="s">
        <v>1809</v>
      </c>
      <c r="F1745" s="14" t="s">
        <v>217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34</v>
      </c>
      <c r="P1745" s="14" t="s">
        <v>239</v>
      </c>
      <c r="Q1745" s="14" t="s">
        <v>25</v>
      </c>
      <c r="R1745" s="14" t="s">
        <v>35</v>
      </c>
    </row>
    <row r="1746" spans="1:18" s="14" customFormat="1" x14ac:dyDescent="0.25">
      <c r="A1746" s="14" t="str">
        <f>"91005"</f>
        <v>91005</v>
      </c>
      <c r="B1746" s="14" t="str">
        <f>"03000"</f>
        <v>03000</v>
      </c>
      <c r="C1746" s="14" t="str">
        <f>"1500"</f>
        <v>1500</v>
      </c>
      <c r="D1746" s="14" t="str">
        <f>"91005"</f>
        <v>91005</v>
      </c>
      <c r="E1746" s="14" t="s">
        <v>1810</v>
      </c>
      <c r="F1746" s="14" t="s">
        <v>217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34</v>
      </c>
      <c r="P1746" s="14" t="s">
        <v>239</v>
      </c>
      <c r="Q1746" s="14" t="s">
        <v>239</v>
      </c>
      <c r="R1746" s="14" t="s">
        <v>35</v>
      </c>
    </row>
    <row r="1747" spans="1:18" s="14" customFormat="1" x14ac:dyDescent="0.25">
      <c r="A1747" s="14" t="str">
        <f>"91025"</f>
        <v>91025</v>
      </c>
      <c r="B1747" s="14" t="str">
        <f>"03000"</f>
        <v>03000</v>
      </c>
      <c r="C1747" s="14" t="str">
        <f>"1500"</f>
        <v>1500</v>
      </c>
      <c r="D1747" s="14" t="str">
        <f>"91025"</f>
        <v>91025</v>
      </c>
      <c r="E1747" s="14" t="s">
        <v>1811</v>
      </c>
      <c r="F1747" s="14" t="s">
        <v>217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34</v>
      </c>
      <c r="P1747" s="14" t="s">
        <v>239</v>
      </c>
      <c r="Q1747" s="14" t="s">
        <v>239</v>
      </c>
      <c r="R1747" s="14" t="s">
        <v>35</v>
      </c>
    </row>
    <row r="1748" spans="1:18" s="14" customFormat="1" x14ac:dyDescent="0.25">
      <c r="A1748" s="14" t="str">
        <f>"91050"</f>
        <v>91050</v>
      </c>
      <c r="B1748" s="14" t="str">
        <f>"03140"</f>
        <v>03140</v>
      </c>
      <c r="C1748" s="14" t="str">
        <f>"1500"</f>
        <v>1500</v>
      </c>
      <c r="D1748" s="14" t="str">
        <f>"91050"</f>
        <v>91050</v>
      </c>
      <c r="E1748" s="14" t="s">
        <v>1812</v>
      </c>
      <c r="F1748" s="14" t="s">
        <v>247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236</v>
      </c>
      <c r="L1748" s="14" t="s">
        <v>237</v>
      </c>
      <c r="M1748" s="14" t="s">
        <v>238</v>
      </c>
      <c r="P1748" s="14" t="s">
        <v>239</v>
      </c>
      <c r="Q1748" s="14" t="s">
        <v>239</v>
      </c>
      <c r="R1748" s="14" t="s">
        <v>1930</v>
      </c>
    </row>
    <row r="1749" spans="1:18" s="14" customFormat="1" x14ac:dyDescent="0.25">
      <c r="A1749" s="14" t="str">
        <f>"91372"</f>
        <v>91372</v>
      </c>
      <c r="B1749" s="14" t="str">
        <f>"03050"</f>
        <v>03050</v>
      </c>
      <c r="C1749" s="14" t="str">
        <f>"1500"</f>
        <v>1500</v>
      </c>
      <c r="D1749" s="14" t="str">
        <f>"91372A"</f>
        <v>91372A</v>
      </c>
      <c r="E1749" s="14" t="s">
        <v>1813</v>
      </c>
      <c r="F1749" s="14" t="s">
        <v>225</v>
      </c>
      <c r="G1749" s="14" t="str">
        <f>"GN0091372"</f>
        <v>GN0091372</v>
      </c>
      <c r="H1749" s="14" t="str">
        <f>" 00"</f>
        <v xml:space="preserve"> 00</v>
      </c>
      <c r="I1749" s="14">
        <v>0.01</v>
      </c>
      <c r="J1749" s="14">
        <v>9999999.9900000002</v>
      </c>
      <c r="K1749" s="14" t="s">
        <v>226</v>
      </c>
      <c r="L1749" s="14" t="s">
        <v>227</v>
      </c>
      <c r="P1749" s="14" t="s">
        <v>239</v>
      </c>
      <c r="Q1749" s="14" t="s">
        <v>239</v>
      </c>
      <c r="R1749" s="14" t="s">
        <v>229</v>
      </c>
    </row>
    <row r="1750" spans="1:18" s="14" customFormat="1" x14ac:dyDescent="0.25">
      <c r="A1750" s="14" t="str">
        <f>"91372"</f>
        <v>91372</v>
      </c>
      <c r="B1750" s="14" t="str">
        <f>"03140"</f>
        <v>03140</v>
      </c>
      <c r="C1750" s="14" t="str">
        <f>"1500"</f>
        <v>1500</v>
      </c>
      <c r="D1750" s="14" t="str">
        <f>"91372"</f>
        <v>91372</v>
      </c>
      <c r="E1750" s="14" t="s">
        <v>1813</v>
      </c>
      <c r="F1750" s="14" t="s">
        <v>247</v>
      </c>
      <c r="G1750" s="14" t="str">
        <f>"GN0091372"</f>
        <v>GN0091372</v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236</v>
      </c>
      <c r="L1750" s="14" t="s">
        <v>237</v>
      </c>
      <c r="M1750" s="14" t="s">
        <v>238</v>
      </c>
      <c r="P1750" s="14" t="s">
        <v>239</v>
      </c>
      <c r="Q1750" s="14" t="s">
        <v>239</v>
      </c>
      <c r="R1750" s="14" t="s">
        <v>1930</v>
      </c>
    </row>
    <row r="1751" spans="1:18" s="14" customFormat="1" x14ac:dyDescent="0.25">
      <c r="A1751" s="14" t="str">
        <f>"91379"</f>
        <v>91379</v>
      </c>
      <c r="B1751" s="14" t="str">
        <f>"03140"</f>
        <v>03140</v>
      </c>
      <c r="C1751" s="14" t="str">
        <f>"1930"</f>
        <v>1930</v>
      </c>
      <c r="D1751" s="14" t="str">
        <f>"91379"</f>
        <v>91379</v>
      </c>
      <c r="E1751" s="14" t="s">
        <v>1815</v>
      </c>
      <c r="F1751" s="14" t="s">
        <v>247</v>
      </c>
      <c r="G1751" s="14" t="str">
        <f>"GN0091379"</f>
        <v>GN0091379</v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236</v>
      </c>
      <c r="L1751" s="14" t="s">
        <v>237</v>
      </c>
      <c r="M1751" s="14" t="s">
        <v>238</v>
      </c>
      <c r="P1751" s="14" t="s">
        <v>239</v>
      </c>
      <c r="Q1751" s="14" t="s">
        <v>239</v>
      </c>
      <c r="R1751" s="14" t="s">
        <v>1930</v>
      </c>
    </row>
    <row r="1752" spans="1:18" s="14" customFormat="1" x14ac:dyDescent="0.25">
      <c r="A1752" s="14" t="str">
        <f>"91390"</f>
        <v>91390</v>
      </c>
      <c r="B1752" s="14" t="str">
        <f>"03170"</f>
        <v>03170</v>
      </c>
      <c r="C1752" s="14" t="str">
        <f>"1921"</f>
        <v>1921</v>
      </c>
      <c r="D1752" s="14" t="str">
        <f>"91390"</f>
        <v>91390</v>
      </c>
      <c r="E1752" s="14" t="s">
        <v>1816</v>
      </c>
      <c r="F1752" s="14" t="s">
        <v>251</v>
      </c>
      <c r="G1752" s="14" t="str">
        <f>"GN0091390"</f>
        <v>GN0091390</v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252</v>
      </c>
      <c r="L1752" s="14" t="s">
        <v>253</v>
      </c>
      <c r="O1752" s="14" t="s">
        <v>252</v>
      </c>
      <c r="P1752" s="14" t="s">
        <v>239</v>
      </c>
      <c r="Q1752" s="14" t="s">
        <v>239</v>
      </c>
      <c r="R1752" s="14" t="s">
        <v>254</v>
      </c>
    </row>
    <row r="1753" spans="1:18" s="14" customFormat="1" x14ac:dyDescent="0.25">
      <c r="A1753" s="14" t="str">
        <f>"91395"</f>
        <v>91395</v>
      </c>
      <c r="B1753" s="14" t="str">
        <f>"03140"</f>
        <v>03140</v>
      </c>
      <c r="C1753" s="14" t="str">
        <f>"1500"</f>
        <v>1500</v>
      </c>
      <c r="D1753" s="14" t="str">
        <f>"91395"</f>
        <v>91395</v>
      </c>
      <c r="E1753" s="14" t="s">
        <v>1817</v>
      </c>
      <c r="F1753" s="14" t="s">
        <v>247</v>
      </c>
      <c r="G1753" s="14" t="str">
        <f>"GN0091395"</f>
        <v>GN0091395</v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236</v>
      </c>
      <c r="L1753" s="14" t="s">
        <v>237</v>
      </c>
      <c r="M1753" s="14" t="s">
        <v>238</v>
      </c>
      <c r="O1753" s="14" t="s">
        <v>236</v>
      </c>
      <c r="P1753" s="14" t="s">
        <v>239</v>
      </c>
      <c r="Q1753" s="14" t="s">
        <v>239</v>
      </c>
      <c r="R1753" s="14" t="s">
        <v>1930</v>
      </c>
    </row>
    <row r="1754" spans="1:18" s="14" customFormat="1" x14ac:dyDescent="0.25">
      <c r="A1754" s="14" t="str">
        <f>"91396"</f>
        <v>91396</v>
      </c>
      <c r="B1754" s="14" t="str">
        <f>"03140"</f>
        <v>03140</v>
      </c>
      <c r="C1754" s="14" t="str">
        <f>"1921"</f>
        <v>1921</v>
      </c>
      <c r="D1754" s="14" t="str">
        <f>"91396"</f>
        <v>91396</v>
      </c>
      <c r="E1754" s="14" t="s">
        <v>1818</v>
      </c>
      <c r="F1754" s="14" t="s">
        <v>247</v>
      </c>
      <c r="G1754" s="14" t="str">
        <f>"GN0091396"</f>
        <v>GN0091396</v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236</v>
      </c>
      <c r="L1754" s="14" t="s">
        <v>237</v>
      </c>
      <c r="M1754" s="14" t="s">
        <v>238</v>
      </c>
      <c r="O1754" s="14" t="s">
        <v>236</v>
      </c>
      <c r="P1754" s="14" t="s">
        <v>239</v>
      </c>
      <c r="Q1754" s="14" t="s">
        <v>239</v>
      </c>
      <c r="R1754" s="14" t="s">
        <v>1930</v>
      </c>
    </row>
    <row r="1755" spans="1:18" s="14" customFormat="1" x14ac:dyDescent="0.25">
      <c r="A1755" s="14" t="str">
        <f>"91400"</f>
        <v>91400</v>
      </c>
      <c r="B1755" s="14" t="str">
        <f>"03140"</f>
        <v>03140</v>
      </c>
      <c r="C1755" s="14" t="str">
        <f>"1500"</f>
        <v>1500</v>
      </c>
      <c r="D1755" s="14" t="str">
        <f>"91400"</f>
        <v>91400</v>
      </c>
      <c r="E1755" s="14" t="s">
        <v>1819</v>
      </c>
      <c r="F1755" s="14" t="s">
        <v>247</v>
      </c>
      <c r="G1755" s="14" t="str">
        <f>"GN0091400"</f>
        <v>GN0091400</v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236</v>
      </c>
      <c r="L1755" s="14" t="s">
        <v>237</v>
      </c>
      <c r="P1755" s="14" t="s">
        <v>239</v>
      </c>
      <c r="Q1755" s="14" t="s">
        <v>239</v>
      </c>
      <c r="R1755" s="14" t="s">
        <v>1930</v>
      </c>
    </row>
    <row r="1756" spans="1:18" s="14" customFormat="1" x14ac:dyDescent="0.25">
      <c r="A1756" s="14" t="str">
        <f>"91402"</f>
        <v>91402</v>
      </c>
      <c r="B1756" s="14" t="str">
        <f>"03140"</f>
        <v>03140</v>
      </c>
      <c r="C1756" s="14" t="str">
        <f>"1500"</f>
        <v>1500</v>
      </c>
      <c r="D1756" s="14" t="str">
        <f>"91402"</f>
        <v>91402</v>
      </c>
      <c r="E1756" s="14" t="s">
        <v>1820</v>
      </c>
      <c r="F1756" s="14" t="s">
        <v>247</v>
      </c>
      <c r="G1756" s="14" t="str">
        <f>"GN0091402"</f>
        <v>GN0091402</v>
      </c>
      <c r="H1756" s="14" t="str">
        <f>" 00"</f>
        <v xml:space="preserve"> 00</v>
      </c>
      <c r="I1756" s="14">
        <v>0.01</v>
      </c>
      <c r="J1756" s="14">
        <v>9999999.9900000002</v>
      </c>
      <c r="K1756" s="14" t="s">
        <v>236</v>
      </c>
      <c r="L1756" s="14" t="s">
        <v>237</v>
      </c>
      <c r="P1756" s="14" t="s">
        <v>239</v>
      </c>
      <c r="Q1756" s="14" t="s">
        <v>239</v>
      </c>
      <c r="R1756" s="14" t="s">
        <v>1930</v>
      </c>
    </row>
    <row r="1757" spans="1:18" s="14" customFormat="1" x14ac:dyDescent="0.25">
      <c r="A1757" s="14" t="str">
        <f>"91403"</f>
        <v>91403</v>
      </c>
      <c r="B1757" s="14" t="str">
        <f>"03140"</f>
        <v>03140</v>
      </c>
      <c r="C1757" s="14" t="str">
        <f>"1500"</f>
        <v>1500</v>
      </c>
      <c r="D1757" s="14" t="str">
        <f>"91403"</f>
        <v>91403</v>
      </c>
      <c r="E1757" s="14" t="s">
        <v>1821</v>
      </c>
      <c r="F1757" s="14" t="s">
        <v>247</v>
      </c>
      <c r="G1757" s="14" t="str">
        <f>"GN0091403"</f>
        <v>GN0091403</v>
      </c>
      <c r="H1757" s="14" t="str">
        <f>" 00"</f>
        <v xml:space="preserve"> 00</v>
      </c>
      <c r="I1757" s="14">
        <v>0.01</v>
      </c>
      <c r="J1757" s="14">
        <v>9999999.9900000002</v>
      </c>
      <c r="K1757" s="14" t="s">
        <v>236</v>
      </c>
      <c r="L1757" s="14" t="s">
        <v>237</v>
      </c>
      <c r="M1757" s="14" t="s">
        <v>1822</v>
      </c>
      <c r="P1757" s="14" t="s">
        <v>239</v>
      </c>
      <c r="Q1757" s="14" t="s">
        <v>239</v>
      </c>
      <c r="R1757" s="14" t="s">
        <v>1930</v>
      </c>
    </row>
    <row r="1758" spans="1:18" s="14" customFormat="1" x14ac:dyDescent="0.25">
      <c r="A1758" s="14" t="str">
        <f>"91404"</f>
        <v>91404</v>
      </c>
      <c r="B1758" s="14" t="str">
        <f>"03140"</f>
        <v>03140</v>
      </c>
      <c r="C1758" s="14" t="str">
        <f>"1700"</f>
        <v>1700</v>
      </c>
      <c r="D1758" s="14" t="str">
        <f>"91404"</f>
        <v>91404</v>
      </c>
      <c r="E1758" s="14" t="s">
        <v>1823</v>
      </c>
      <c r="F1758" s="14" t="s">
        <v>247</v>
      </c>
      <c r="G1758" s="14" t="str">
        <f>"GN0091404"</f>
        <v>GN0091404</v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236</v>
      </c>
      <c r="L1758" s="14" t="s">
        <v>237</v>
      </c>
      <c r="M1758" s="14" t="s">
        <v>1822</v>
      </c>
      <c r="P1758" s="14" t="s">
        <v>239</v>
      </c>
      <c r="Q1758" s="14" t="s">
        <v>239</v>
      </c>
      <c r="R1758" s="14" t="s">
        <v>1930</v>
      </c>
    </row>
    <row r="1759" spans="1:18" s="14" customFormat="1" x14ac:dyDescent="0.25">
      <c r="A1759" s="14" t="str">
        <f>"91405"</f>
        <v>91405</v>
      </c>
      <c r="B1759" s="14" t="str">
        <f>"03140"</f>
        <v>03140</v>
      </c>
      <c r="C1759" s="14" t="str">
        <f>"1500"</f>
        <v>1500</v>
      </c>
      <c r="D1759" s="14" t="str">
        <f>"91405"</f>
        <v>91405</v>
      </c>
      <c r="E1759" s="14" t="s">
        <v>1824</v>
      </c>
      <c r="F1759" s="14" t="s">
        <v>247</v>
      </c>
      <c r="G1759" s="14" t="str">
        <f>"GN0091405"</f>
        <v>GN0091405</v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236</v>
      </c>
      <c r="L1759" s="14" t="s">
        <v>237</v>
      </c>
      <c r="M1759" s="14" t="s">
        <v>1822</v>
      </c>
      <c r="P1759" s="14" t="s">
        <v>239</v>
      </c>
      <c r="Q1759" s="14" t="s">
        <v>239</v>
      </c>
      <c r="R1759" s="14" t="s">
        <v>1930</v>
      </c>
    </row>
    <row r="1760" spans="1:18" s="14" customFormat="1" x14ac:dyDescent="0.25">
      <c r="A1760" s="14" t="str">
        <f>"92155"</f>
        <v>92155</v>
      </c>
      <c r="B1760" s="14" t="str">
        <f>"03050"</f>
        <v>03050</v>
      </c>
      <c r="C1760" s="14" t="str">
        <f>"1500"</f>
        <v>1500</v>
      </c>
      <c r="D1760" s="14" t="str">
        <f>"92155"</f>
        <v>92155</v>
      </c>
      <c r="E1760" s="14" t="s">
        <v>1825</v>
      </c>
      <c r="F1760" s="14" t="s">
        <v>225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226</v>
      </c>
      <c r="L1760" s="14" t="s">
        <v>227</v>
      </c>
      <c r="P1760" s="14" t="s">
        <v>239</v>
      </c>
      <c r="Q1760" s="14" t="s">
        <v>25</v>
      </c>
      <c r="R1760" s="14" t="s">
        <v>229</v>
      </c>
    </row>
    <row r="1761" spans="1:18" s="14" customFormat="1" x14ac:dyDescent="0.25">
      <c r="A1761" s="14" t="str">
        <f>"92157"</f>
        <v>92157</v>
      </c>
      <c r="B1761" s="14" t="str">
        <f>"03140"</f>
        <v>03140</v>
      </c>
      <c r="C1761" s="14" t="str">
        <f>"1500"</f>
        <v>1500</v>
      </c>
      <c r="D1761" s="14" t="str">
        <f>"92157"</f>
        <v>92157</v>
      </c>
      <c r="E1761" s="14" t="s">
        <v>1826</v>
      </c>
      <c r="F1761" s="14" t="s">
        <v>247</v>
      </c>
      <c r="G1761" s="14" t="str">
        <f>"GN0092157"</f>
        <v>GN0092157</v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236</v>
      </c>
      <c r="L1761" s="14" t="s">
        <v>237</v>
      </c>
      <c r="M1761" s="14" t="s">
        <v>1814</v>
      </c>
      <c r="N1761" s="14" t="s">
        <v>238</v>
      </c>
      <c r="O1761" s="14" t="s">
        <v>236</v>
      </c>
      <c r="P1761" s="14" t="s">
        <v>239</v>
      </c>
      <c r="Q1761" s="14" t="s">
        <v>239</v>
      </c>
      <c r="R1761" s="14" t="s">
        <v>1930</v>
      </c>
    </row>
    <row r="1762" spans="1:18" s="14" customFormat="1" x14ac:dyDescent="0.25">
      <c r="A1762" s="14" t="str">
        <f>"92158"</f>
        <v>92158</v>
      </c>
      <c r="B1762" s="14" t="str">
        <f>"03140"</f>
        <v>03140</v>
      </c>
      <c r="C1762" s="14" t="str">
        <f>"1930"</f>
        <v>1930</v>
      </c>
      <c r="D1762" s="14" t="str">
        <f>"92158"</f>
        <v>92158</v>
      </c>
      <c r="E1762" s="14" t="s">
        <v>1827</v>
      </c>
      <c r="F1762" s="14" t="s">
        <v>247</v>
      </c>
      <c r="G1762" s="14" t="str">
        <f>"GN0092158"</f>
        <v>GN0092158</v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236</v>
      </c>
      <c r="L1762" s="14" t="s">
        <v>237</v>
      </c>
      <c r="M1762" s="14" t="s">
        <v>1822</v>
      </c>
      <c r="P1762" s="14" t="s">
        <v>239</v>
      </c>
      <c r="Q1762" s="14" t="s">
        <v>239</v>
      </c>
      <c r="R1762" s="14" t="s">
        <v>1930</v>
      </c>
    </row>
    <row r="1763" spans="1:18" s="14" customFormat="1" x14ac:dyDescent="0.25">
      <c r="A1763" s="14" t="str">
        <f>"92159"</f>
        <v>92159</v>
      </c>
      <c r="B1763" s="14" t="str">
        <f>"03140"</f>
        <v>03140</v>
      </c>
      <c r="C1763" s="14" t="str">
        <f>"1500"</f>
        <v>1500</v>
      </c>
      <c r="D1763" s="14" t="str">
        <f>"92159"</f>
        <v>92159</v>
      </c>
      <c r="E1763" s="14" t="s">
        <v>1828</v>
      </c>
      <c r="F1763" s="14" t="s">
        <v>247</v>
      </c>
      <c r="G1763" s="14" t="str">
        <f>"GN0092159"</f>
        <v>GN0092159</v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236</v>
      </c>
      <c r="L1763" s="14" t="s">
        <v>237</v>
      </c>
      <c r="M1763" s="14" t="s">
        <v>1822</v>
      </c>
      <c r="P1763" s="14" t="s">
        <v>239</v>
      </c>
      <c r="Q1763" s="14" t="s">
        <v>239</v>
      </c>
      <c r="R1763" s="14" t="s">
        <v>1930</v>
      </c>
    </row>
    <row r="1764" spans="1:18" s="14" customFormat="1" x14ac:dyDescent="0.25">
      <c r="A1764" s="14" t="str">
        <f>"93005"</f>
        <v>93005</v>
      </c>
      <c r="B1764" s="14" t="str">
        <f>"03000"</f>
        <v>03000</v>
      </c>
      <c r="C1764" s="14" t="str">
        <f>"1500"</f>
        <v>1500</v>
      </c>
      <c r="D1764" s="14" t="str">
        <f>"93005"</f>
        <v>93005</v>
      </c>
      <c r="E1764" s="14" t="s">
        <v>1829</v>
      </c>
      <c r="F1764" s="14" t="s">
        <v>217</v>
      </c>
      <c r="G1764" s="14" t="str">
        <f>""</f>
        <v/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34</v>
      </c>
      <c r="P1764" s="14" t="s">
        <v>239</v>
      </c>
      <c r="Q1764" s="14" t="s">
        <v>239</v>
      </c>
      <c r="R1764" s="14" t="s">
        <v>35</v>
      </c>
    </row>
    <row r="1765" spans="1:18" s="14" customFormat="1" x14ac:dyDescent="0.25">
      <c r="A1765" s="14" t="str">
        <f>"93168"</f>
        <v>93168</v>
      </c>
      <c r="B1765" s="14" t="str">
        <f>"03140"</f>
        <v>03140</v>
      </c>
      <c r="C1765" s="14" t="str">
        <f>"1500"</f>
        <v>1500</v>
      </c>
      <c r="D1765" s="14" t="str">
        <f>"93168"</f>
        <v>93168</v>
      </c>
      <c r="E1765" s="14" t="s">
        <v>1830</v>
      </c>
      <c r="F1765" s="14" t="s">
        <v>247</v>
      </c>
      <c r="G1765" s="14" t="str">
        <f>"GN0093168"</f>
        <v>GN0093168</v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236</v>
      </c>
      <c r="L1765" s="14" t="s">
        <v>237</v>
      </c>
      <c r="M1765" s="14" t="s">
        <v>1814</v>
      </c>
      <c r="N1765" s="14" t="s">
        <v>238</v>
      </c>
      <c r="P1765" s="14" t="s">
        <v>239</v>
      </c>
      <c r="Q1765" s="14" t="s">
        <v>239</v>
      </c>
      <c r="R1765" s="14" t="s">
        <v>1930</v>
      </c>
    </row>
    <row r="1766" spans="1:18" s="14" customFormat="1" x14ac:dyDescent="0.25">
      <c r="A1766" s="14" t="str">
        <f>"93170"</f>
        <v>93170</v>
      </c>
      <c r="B1766" s="14" t="str">
        <f>"03140"</f>
        <v>03140</v>
      </c>
      <c r="C1766" s="14" t="str">
        <f>"1930"</f>
        <v>1930</v>
      </c>
      <c r="D1766" s="14" t="str">
        <f>"93170"</f>
        <v>93170</v>
      </c>
      <c r="E1766" s="14" t="s">
        <v>1831</v>
      </c>
      <c r="F1766" s="14" t="s">
        <v>247</v>
      </c>
      <c r="G1766" s="14" t="str">
        <f>"GN0093170"</f>
        <v>GN0093170</v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236</v>
      </c>
      <c r="L1766" s="14" t="s">
        <v>237</v>
      </c>
      <c r="M1766" s="14" t="s">
        <v>1814</v>
      </c>
      <c r="N1766" s="14" t="s">
        <v>238</v>
      </c>
      <c r="O1766" s="14" t="s">
        <v>236</v>
      </c>
      <c r="P1766" s="14" t="s">
        <v>239</v>
      </c>
      <c r="Q1766" s="14" t="s">
        <v>239</v>
      </c>
      <c r="R1766" s="14" t="s">
        <v>1930</v>
      </c>
    </row>
    <row r="1767" spans="1:18" s="14" customFormat="1" x14ac:dyDescent="0.25">
      <c r="A1767" s="14" t="str">
        <f>"93171"</f>
        <v>93171</v>
      </c>
      <c r="B1767" s="14" t="str">
        <f>"03140"</f>
        <v>03140</v>
      </c>
      <c r="C1767" s="14" t="str">
        <f>"1500"</f>
        <v>1500</v>
      </c>
      <c r="D1767" s="14" t="str">
        <f>"93171"</f>
        <v>93171</v>
      </c>
      <c r="E1767" s="14" t="s">
        <v>1832</v>
      </c>
      <c r="F1767" s="14" t="s">
        <v>247</v>
      </c>
      <c r="G1767" s="14" t="str">
        <f>"GN0093171"</f>
        <v>GN0093171</v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236</v>
      </c>
      <c r="L1767" s="14" t="s">
        <v>237</v>
      </c>
      <c r="M1767" s="14" t="s">
        <v>238</v>
      </c>
      <c r="O1767" s="14" t="s">
        <v>236</v>
      </c>
      <c r="P1767" s="14" t="s">
        <v>239</v>
      </c>
      <c r="Q1767" s="14" t="s">
        <v>239</v>
      </c>
      <c r="R1767" s="14" t="s">
        <v>1930</v>
      </c>
    </row>
    <row r="1768" spans="1:18" s="14" customFormat="1" x14ac:dyDescent="0.25">
      <c r="A1768" s="14" t="str">
        <f>"93172"</f>
        <v>93172</v>
      </c>
      <c r="B1768" s="14" t="str">
        <f>"03140"</f>
        <v>03140</v>
      </c>
      <c r="C1768" s="14" t="str">
        <f>"1500"</f>
        <v>1500</v>
      </c>
      <c r="D1768" s="14" t="str">
        <f>"93172"</f>
        <v>93172</v>
      </c>
      <c r="E1768" s="14" t="s">
        <v>1833</v>
      </c>
      <c r="F1768" s="14" t="s">
        <v>247</v>
      </c>
      <c r="G1768" s="14" t="str">
        <f>"GN0093172"</f>
        <v>GN0093172</v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236</v>
      </c>
      <c r="L1768" s="14" t="s">
        <v>237</v>
      </c>
      <c r="M1768" s="14" t="s">
        <v>238</v>
      </c>
      <c r="O1768" s="14" t="s">
        <v>236</v>
      </c>
      <c r="P1768" s="14" t="s">
        <v>239</v>
      </c>
      <c r="Q1768" s="14" t="s">
        <v>239</v>
      </c>
      <c r="R1768" s="14" t="s">
        <v>1930</v>
      </c>
    </row>
    <row r="1769" spans="1:18" s="14" customFormat="1" x14ac:dyDescent="0.25">
      <c r="A1769" s="14" t="str">
        <f>"93173"</f>
        <v>93173</v>
      </c>
      <c r="B1769" s="14" t="str">
        <f>"03140"</f>
        <v>03140</v>
      </c>
      <c r="C1769" s="14" t="str">
        <f>"1500"</f>
        <v>1500</v>
      </c>
      <c r="D1769" s="14" t="str">
        <f>"93173"</f>
        <v>93173</v>
      </c>
      <c r="E1769" s="14" t="s">
        <v>1834</v>
      </c>
      <c r="F1769" s="14" t="s">
        <v>247</v>
      </c>
      <c r="G1769" s="14" t="str">
        <f>"GN0093173"</f>
        <v>GN0093173</v>
      </c>
      <c r="H1769" s="14" t="str">
        <f>" 00"</f>
        <v xml:space="preserve"> 00</v>
      </c>
      <c r="I1769" s="14">
        <v>0.01</v>
      </c>
      <c r="J1769" s="14">
        <v>9999999.9900000002</v>
      </c>
      <c r="K1769" s="14" t="s">
        <v>236</v>
      </c>
      <c r="L1769" s="14" t="s">
        <v>237</v>
      </c>
      <c r="M1769" s="14" t="s">
        <v>1814</v>
      </c>
      <c r="N1769" s="14" t="s">
        <v>238</v>
      </c>
      <c r="O1769" s="14" t="s">
        <v>236</v>
      </c>
      <c r="P1769" s="14" t="s">
        <v>239</v>
      </c>
      <c r="Q1769" s="14" t="s">
        <v>239</v>
      </c>
      <c r="R1769" s="14" t="s">
        <v>1930</v>
      </c>
    </row>
    <row r="1770" spans="1:18" s="14" customFormat="1" x14ac:dyDescent="0.25">
      <c r="A1770" s="14" t="str">
        <f>"93175"</f>
        <v>93175</v>
      </c>
      <c r="B1770" s="14" t="str">
        <f>"03140"</f>
        <v>03140</v>
      </c>
      <c r="C1770" s="14" t="str">
        <f>"1500"</f>
        <v>1500</v>
      </c>
      <c r="D1770" s="14" t="str">
        <f>"93175"</f>
        <v>93175</v>
      </c>
      <c r="E1770" s="14" t="s">
        <v>1835</v>
      </c>
      <c r="F1770" s="14" t="s">
        <v>247</v>
      </c>
      <c r="G1770" s="14" t="str">
        <f>"GN0093175"</f>
        <v>GN0093175</v>
      </c>
      <c r="H1770" s="14" t="str">
        <f>" 00"</f>
        <v xml:space="preserve"> 00</v>
      </c>
      <c r="I1770" s="14">
        <v>0.01</v>
      </c>
      <c r="J1770" s="14">
        <v>9999999.9900000002</v>
      </c>
      <c r="K1770" s="14" t="s">
        <v>236</v>
      </c>
      <c r="L1770" s="14" t="s">
        <v>237</v>
      </c>
      <c r="M1770" s="14" t="s">
        <v>238</v>
      </c>
      <c r="O1770" s="14" t="s">
        <v>236</v>
      </c>
      <c r="P1770" s="14" t="s">
        <v>239</v>
      </c>
      <c r="Q1770" s="14" t="s">
        <v>239</v>
      </c>
      <c r="R1770" s="14" t="s">
        <v>1930</v>
      </c>
    </row>
    <row r="1771" spans="1:18" s="14" customFormat="1" x14ac:dyDescent="0.25">
      <c r="A1771" s="14" t="str">
        <f>"93176"</f>
        <v>93176</v>
      </c>
      <c r="B1771" s="14" t="str">
        <f>"03140"</f>
        <v>03140</v>
      </c>
      <c r="C1771" s="14" t="str">
        <f>"1930"</f>
        <v>1930</v>
      </c>
      <c r="D1771" s="14" t="str">
        <f>"93176"</f>
        <v>93176</v>
      </c>
      <c r="E1771" s="14" t="s">
        <v>1836</v>
      </c>
      <c r="F1771" s="14" t="s">
        <v>247</v>
      </c>
      <c r="G1771" s="14" t="str">
        <f>"GN0093176"</f>
        <v>GN0093176</v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236</v>
      </c>
      <c r="L1771" s="14" t="s">
        <v>237</v>
      </c>
      <c r="M1771" s="14" t="s">
        <v>238</v>
      </c>
      <c r="P1771" s="14" t="s">
        <v>239</v>
      </c>
      <c r="Q1771" s="14" t="s">
        <v>239</v>
      </c>
      <c r="R1771" s="14" t="s">
        <v>1930</v>
      </c>
    </row>
    <row r="1772" spans="1:18" s="14" customFormat="1" x14ac:dyDescent="0.25">
      <c r="A1772" s="14" t="str">
        <f>"93177"</f>
        <v>93177</v>
      </c>
      <c r="B1772" s="14" t="str">
        <f>"03140"</f>
        <v>03140</v>
      </c>
      <c r="C1772" s="14" t="str">
        <f>"1500"</f>
        <v>1500</v>
      </c>
      <c r="D1772" s="14" t="str">
        <f>"93177"</f>
        <v>93177</v>
      </c>
      <c r="E1772" s="14" t="s">
        <v>1837</v>
      </c>
      <c r="F1772" s="14" t="s">
        <v>247</v>
      </c>
      <c r="G1772" s="14" t="str">
        <f>"GN0093177"</f>
        <v>GN0093177</v>
      </c>
      <c r="H1772" s="14" t="str">
        <f>" 00"</f>
        <v xml:space="preserve"> 00</v>
      </c>
      <c r="I1772" s="14">
        <v>0.01</v>
      </c>
      <c r="J1772" s="14">
        <v>9999999.9900000002</v>
      </c>
      <c r="K1772" s="14" t="s">
        <v>236</v>
      </c>
      <c r="L1772" s="14" t="s">
        <v>237</v>
      </c>
      <c r="M1772" s="14" t="s">
        <v>238</v>
      </c>
      <c r="P1772" s="14" t="s">
        <v>239</v>
      </c>
      <c r="Q1772" s="14" t="s">
        <v>239</v>
      </c>
      <c r="R1772" s="14" t="s">
        <v>1930</v>
      </c>
    </row>
    <row r="1773" spans="1:18" s="14" customFormat="1" x14ac:dyDescent="0.25">
      <c r="A1773" s="14" t="str">
        <f>"93178"</f>
        <v>93178</v>
      </c>
      <c r="B1773" s="14" t="str">
        <f>"03140"</f>
        <v>03140</v>
      </c>
      <c r="C1773" s="14" t="str">
        <f>"1500"</f>
        <v>1500</v>
      </c>
      <c r="D1773" s="14" t="str">
        <f>"93178"</f>
        <v>93178</v>
      </c>
      <c r="E1773" s="14" t="s">
        <v>1838</v>
      </c>
      <c r="F1773" s="14" t="s">
        <v>247</v>
      </c>
      <c r="G1773" s="14" t="str">
        <f>"GN0093178"</f>
        <v>GN0093178</v>
      </c>
      <c r="H1773" s="14" t="str">
        <f>" 00"</f>
        <v xml:space="preserve"> 00</v>
      </c>
      <c r="I1773" s="14">
        <v>0.01</v>
      </c>
      <c r="J1773" s="14">
        <v>9999999.9900000002</v>
      </c>
      <c r="K1773" s="14" t="s">
        <v>236</v>
      </c>
      <c r="L1773" s="14" t="s">
        <v>237</v>
      </c>
      <c r="M1773" s="14" t="s">
        <v>238</v>
      </c>
      <c r="P1773" s="14" t="s">
        <v>239</v>
      </c>
      <c r="Q1773" s="14" t="s">
        <v>239</v>
      </c>
      <c r="R1773" s="14" t="s">
        <v>1930</v>
      </c>
    </row>
    <row r="1774" spans="1:18" s="14" customFormat="1" x14ac:dyDescent="0.25">
      <c r="A1774" s="14" t="str">
        <f>"93179"</f>
        <v>93179</v>
      </c>
      <c r="B1774" s="14" t="str">
        <f>"03140"</f>
        <v>03140</v>
      </c>
      <c r="C1774" s="14" t="str">
        <f>"1500"</f>
        <v>1500</v>
      </c>
      <c r="D1774" s="14" t="str">
        <f>"93179"</f>
        <v>93179</v>
      </c>
      <c r="E1774" s="14" t="s">
        <v>1839</v>
      </c>
      <c r="F1774" s="14" t="s">
        <v>247</v>
      </c>
      <c r="G1774" s="14" t="str">
        <f>"GN0093179"</f>
        <v>GN0093179</v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236</v>
      </c>
      <c r="L1774" s="14" t="s">
        <v>237</v>
      </c>
      <c r="M1774" s="14" t="s">
        <v>238</v>
      </c>
      <c r="P1774" s="14" t="s">
        <v>239</v>
      </c>
      <c r="Q1774" s="14" t="s">
        <v>239</v>
      </c>
      <c r="R1774" s="14" t="s">
        <v>1930</v>
      </c>
    </row>
    <row r="1775" spans="1:18" s="14" customFormat="1" x14ac:dyDescent="0.25">
      <c r="A1775" s="14" t="str">
        <f>"94035"</f>
        <v>94035</v>
      </c>
      <c r="B1775" s="14" t="str">
        <f>"03050"</f>
        <v>03050</v>
      </c>
      <c r="C1775" s="14" t="str">
        <f>"2100"</f>
        <v>2100</v>
      </c>
      <c r="D1775" s="14" t="str">
        <f>"94035"</f>
        <v>94035</v>
      </c>
      <c r="E1775" s="14" t="s">
        <v>1840</v>
      </c>
      <c r="F1775" s="14" t="s">
        <v>225</v>
      </c>
      <c r="G1775" s="14" t="str">
        <f>""</f>
        <v/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226</v>
      </c>
      <c r="L1775" s="14" t="s">
        <v>227</v>
      </c>
      <c r="P1775" s="14" t="s">
        <v>239</v>
      </c>
      <c r="Q1775" s="14" t="s">
        <v>25</v>
      </c>
      <c r="R1775" s="14" t="s">
        <v>229</v>
      </c>
    </row>
    <row r="1776" spans="1:18" s="14" customFormat="1" x14ac:dyDescent="0.25">
      <c r="A1776" s="14" t="str">
        <f>"94041"</f>
        <v>94041</v>
      </c>
      <c r="B1776" s="14" t="str">
        <f>"03050"</f>
        <v>03050</v>
      </c>
      <c r="C1776" s="14" t="str">
        <f>"2100"</f>
        <v>2100</v>
      </c>
      <c r="D1776" s="14" t="str">
        <f>"94041"</f>
        <v>94041</v>
      </c>
      <c r="E1776" s="14" t="s">
        <v>1841</v>
      </c>
      <c r="F1776" s="14" t="s">
        <v>225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226</v>
      </c>
      <c r="L1776" s="14" t="s">
        <v>227</v>
      </c>
      <c r="P1776" s="14" t="s">
        <v>239</v>
      </c>
      <c r="Q1776" s="14" t="s">
        <v>25</v>
      </c>
      <c r="R1776" s="14" t="s">
        <v>229</v>
      </c>
    </row>
    <row r="1777" spans="1:18" s="14" customFormat="1" x14ac:dyDescent="0.25">
      <c r="A1777" s="14" t="str">
        <f>"94042"</f>
        <v>94042</v>
      </c>
      <c r="B1777" s="14" t="str">
        <f>"03050"</f>
        <v>03050</v>
      </c>
      <c r="C1777" s="14" t="str">
        <f>"2100"</f>
        <v>2100</v>
      </c>
      <c r="D1777" s="14" t="str">
        <f>"94042"</f>
        <v>94042</v>
      </c>
      <c r="E1777" s="14" t="s">
        <v>1842</v>
      </c>
      <c r="F1777" s="14" t="s">
        <v>225</v>
      </c>
      <c r="G1777" s="14" t="str">
        <f>""</f>
        <v/>
      </c>
      <c r="H1777" s="14" t="str">
        <f>" 00"</f>
        <v xml:space="preserve"> 00</v>
      </c>
      <c r="I1777" s="14">
        <v>0.01</v>
      </c>
      <c r="J1777" s="14">
        <v>9999999.9900000002</v>
      </c>
      <c r="K1777" s="14" t="s">
        <v>226</v>
      </c>
      <c r="L1777" s="14" t="s">
        <v>227</v>
      </c>
      <c r="P1777" s="14" t="s">
        <v>239</v>
      </c>
      <c r="Q1777" s="14" t="s">
        <v>25</v>
      </c>
      <c r="R1777" s="14" t="s">
        <v>229</v>
      </c>
    </row>
    <row r="1778" spans="1:18" s="14" customFormat="1" x14ac:dyDescent="0.25">
      <c r="A1778" s="14" t="str">
        <f>"94043"</f>
        <v>94043</v>
      </c>
      <c r="B1778" s="14" t="str">
        <f>"03050"</f>
        <v>03050</v>
      </c>
      <c r="C1778" s="14" t="str">
        <f>"2100"</f>
        <v>2100</v>
      </c>
      <c r="D1778" s="14" t="str">
        <f>"94043"</f>
        <v>94043</v>
      </c>
      <c r="E1778" s="14" t="s">
        <v>1843</v>
      </c>
      <c r="F1778" s="14" t="s">
        <v>225</v>
      </c>
      <c r="G1778" s="14" t="str">
        <f>""</f>
        <v/>
      </c>
      <c r="H1778" s="14" t="str">
        <f>" 00"</f>
        <v xml:space="preserve"> 00</v>
      </c>
      <c r="I1778" s="14">
        <v>0.01</v>
      </c>
      <c r="J1778" s="14">
        <v>9999999.9900000002</v>
      </c>
      <c r="K1778" s="14" t="s">
        <v>226</v>
      </c>
      <c r="L1778" s="14" t="s">
        <v>227</v>
      </c>
      <c r="P1778" s="14" t="s">
        <v>239</v>
      </c>
      <c r="Q1778" s="14" t="s">
        <v>25</v>
      </c>
      <c r="R1778" s="14" t="s">
        <v>229</v>
      </c>
    </row>
    <row r="1779" spans="1:18" s="14" customFormat="1" x14ac:dyDescent="0.25">
      <c r="A1779" s="14" t="str">
        <f>"94045"</f>
        <v>94045</v>
      </c>
      <c r="B1779" s="14" t="str">
        <f>"03050"</f>
        <v>03050</v>
      </c>
      <c r="C1779" s="14" t="str">
        <f>"2100"</f>
        <v>2100</v>
      </c>
      <c r="D1779" s="14" t="str">
        <f>"94045"</f>
        <v>94045</v>
      </c>
      <c r="E1779" s="14" t="s">
        <v>1844</v>
      </c>
      <c r="F1779" s="14" t="s">
        <v>225</v>
      </c>
      <c r="G1779" s="14" t="str">
        <f>""</f>
        <v/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226</v>
      </c>
      <c r="L1779" s="14" t="s">
        <v>227</v>
      </c>
      <c r="P1779" s="14" t="s">
        <v>239</v>
      </c>
      <c r="Q1779" s="14" t="s">
        <v>25</v>
      </c>
      <c r="R1779" s="14" t="s">
        <v>229</v>
      </c>
    </row>
    <row r="1780" spans="1:18" s="14" customFormat="1" x14ac:dyDescent="0.25">
      <c r="A1780" s="14" t="str">
        <f>"94046"</f>
        <v>94046</v>
      </c>
      <c r="B1780" s="14" t="str">
        <f>"03050"</f>
        <v>03050</v>
      </c>
      <c r="C1780" s="14" t="str">
        <f>"2100"</f>
        <v>2100</v>
      </c>
      <c r="D1780" s="14" t="str">
        <f>"94046"</f>
        <v>94046</v>
      </c>
      <c r="E1780" s="14" t="s">
        <v>1845</v>
      </c>
      <c r="F1780" s="14" t="s">
        <v>225</v>
      </c>
      <c r="G1780" s="14" t="str">
        <f>""</f>
        <v/>
      </c>
      <c r="H1780" s="14" t="str">
        <f>" 00"</f>
        <v xml:space="preserve"> 00</v>
      </c>
      <c r="I1780" s="14">
        <v>0.01</v>
      </c>
      <c r="J1780" s="14">
        <v>9999999.9900000002</v>
      </c>
      <c r="K1780" s="14" t="s">
        <v>226</v>
      </c>
      <c r="L1780" s="14" t="s">
        <v>227</v>
      </c>
      <c r="P1780" s="14" t="s">
        <v>239</v>
      </c>
      <c r="Q1780" s="14" t="s">
        <v>25</v>
      </c>
      <c r="R1780" s="14" t="s">
        <v>229</v>
      </c>
    </row>
    <row r="1781" spans="1:18" s="14" customFormat="1" x14ac:dyDescent="0.25">
      <c r="A1781" s="14" t="str">
        <f>"94115"</f>
        <v>94115</v>
      </c>
      <c r="B1781" s="14" t="str">
        <f>"03050"</f>
        <v>03050</v>
      </c>
      <c r="C1781" s="14" t="str">
        <f>"2100"</f>
        <v>2100</v>
      </c>
      <c r="D1781" s="14" t="str">
        <f>"94115"</f>
        <v>94115</v>
      </c>
      <c r="E1781" s="14" t="s">
        <v>1846</v>
      </c>
      <c r="F1781" s="14" t="s">
        <v>225</v>
      </c>
      <c r="G1781" s="14" t="str">
        <f>""</f>
        <v/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226</v>
      </c>
      <c r="L1781" s="14" t="s">
        <v>227</v>
      </c>
      <c r="P1781" s="14" t="s">
        <v>239</v>
      </c>
      <c r="Q1781" s="14" t="s">
        <v>25</v>
      </c>
      <c r="R1781" s="14" t="s">
        <v>229</v>
      </c>
    </row>
    <row r="1782" spans="1:18" s="14" customFormat="1" x14ac:dyDescent="0.25">
      <c r="A1782" s="14" t="str">
        <f>"94225"</f>
        <v>94225</v>
      </c>
      <c r="B1782" s="14" t="str">
        <f>"03050"</f>
        <v>03050</v>
      </c>
      <c r="C1782" s="14" t="str">
        <f>"2100"</f>
        <v>2100</v>
      </c>
      <c r="D1782" s="14" t="str">
        <f>"94225"</f>
        <v>94225</v>
      </c>
      <c r="E1782" s="14" t="s">
        <v>1847</v>
      </c>
      <c r="F1782" s="14" t="s">
        <v>225</v>
      </c>
      <c r="G1782" s="14" t="str">
        <f>""</f>
        <v/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226</v>
      </c>
      <c r="L1782" s="14" t="s">
        <v>227</v>
      </c>
      <c r="P1782" s="14" t="s">
        <v>239</v>
      </c>
      <c r="Q1782" s="14" t="s">
        <v>25</v>
      </c>
      <c r="R1782" s="14" t="s">
        <v>229</v>
      </c>
    </row>
    <row r="1783" spans="1:18" s="14" customFormat="1" x14ac:dyDescent="0.25">
      <c r="A1783" s="14" t="str">
        <f>"95005"</f>
        <v>95005</v>
      </c>
      <c r="B1783" s="14" t="str">
        <f>"03000"</f>
        <v>03000</v>
      </c>
      <c r="C1783" s="14" t="str">
        <f>"1500"</f>
        <v>1500</v>
      </c>
      <c r="D1783" s="14" t="str">
        <f>""</f>
        <v/>
      </c>
      <c r="E1783" s="14" t="s">
        <v>1848</v>
      </c>
      <c r="F1783" s="14" t="s">
        <v>217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34</v>
      </c>
      <c r="P1783" s="14" t="s">
        <v>239</v>
      </c>
      <c r="Q1783" s="14" t="s">
        <v>239</v>
      </c>
      <c r="R1783" s="14" t="s">
        <v>35</v>
      </c>
    </row>
    <row r="1784" spans="1:18" s="14" customFormat="1" x14ac:dyDescent="0.25">
      <c r="A1784" s="14" t="str">
        <f>"95010"</f>
        <v>95010</v>
      </c>
      <c r="B1784" s="14" t="str">
        <f>"03000"</f>
        <v>03000</v>
      </c>
      <c r="C1784" s="14" t="str">
        <f>"1500"</f>
        <v>1500</v>
      </c>
      <c r="D1784" s="14" t="str">
        <f>""</f>
        <v/>
      </c>
      <c r="E1784" s="14" t="s">
        <v>1849</v>
      </c>
      <c r="F1784" s="14" t="s">
        <v>217</v>
      </c>
      <c r="G1784" s="14" t="str">
        <f>""</f>
        <v/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34</v>
      </c>
      <c r="P1784" s="14" t="s">
        <v>239</v>
      </c>
      <c r="Q1784" s="14" t="s">
        <v>239</v>
      </c>
      <c r="R1784" s="14" t="s">
        <v>35</v>
      </c>
    </row>
    <row r="1785" spans="1:18" s="14" customFormat="1" x14ac:dyDescent="0.25">
      <c r="A1785" s="14" t="str">
        <f>"95011"</f>
        <v>95011</v>
      </c>
      <c r="B1785" s="14" t="str">
        <f>"03000"</f>
        <v>03000</v>
      </c>
      <c r="C1785" s="14" t="str">
        <f>"1500"</f>
        <v>1500</v>
      </c>
      <c r="D1785" s="14" t="str">
        <f>""</f>
        <v/>
      </c>
      <c r="E1785" s="14" t="s">
        <v>1850</v>
      </c>
      <c r="F1785" s="14" t="s">
        <v>217</v>
      </c>
      <c r="G1785" s="14" t="str">
        <f>""</f>
        <v/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34</v>
      </c>
      <c r="P1785" s="14" t="s">
        <v>239</v>
      </c>
      <c r="Q1785" s="14" t="s">
        <v>239</v>
      </c>
      <c r="R1785" s="14" t="s">
        <v>35</v>
      </c>
    </row>
    <row r="1786" spans="1:18" s="14" customFormat="1" x14ac:dyDescent="0.25">
      <c r="A1786" s="14" t="str">
        <f>"95015"</f>
        <v>95015</v>
      </c>
      <c r="B1786" s="14" t="str">
        <f>"03000"</f>
        <v>03000</v>
      </c>
      <c r="C1786" s="14" t="str">
        <f>"1500"</f>
        <v>1500</v>
      </c>
      <c r="D1786" s="14" t="str">
        <f>""</f>
        <v/>
      </c>
      <c r="E1786" s="14" t="s">
        <v>1851</v>
      </c>
      <c r="F1786" s="14" t="s">
        <v>217</v>
      </c>
      <c r="G1786" s="14" t="str">
        <f>""</f>
        <v/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34</v>
      </c>
      <c r="P1786" s="14" t="s">
        <v>239</v>
      </c>
      <c r="Q1786" s="14" t="s">
        <v>239</v>
      </c>
      <c r="R1786" s="14" t="s">
        <v>35</v>
      </c>
    </row>
    <row r="1787" spans="1:18" s="14" customFormat="1" x14ac:dyDescent="0.25">
      <c r="A1787" s="14" t="str">
        <f>"95020"</f>
        <v>95020</v>
      </c>
      <c r="B1787" s="14" t="str">
        <f>"03000"</f>
        <v>03000</v>
      </c>
      <c r="C1787" s="14" t="str">
        <f>"1500"</f>
        <v>1500</v>
      </c>
      <c r="D1787" s="14" t="str">
        <f>""</f>
        <v/>
      </c>
      <c r="E1787" s="14" t="s">
        <v>1852</v>
      </c>
      <c r="F1787" s="14" t="s">
        <v>217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34</v>
      </c>
      <c r="P1787" s="14" t="s">
        <v>239</v>
      </c>
      <c r="Q1787" s="14" t="s">
        <v>239</v>
      </c>
      <c r="R1787" s="14" t="s">
        <v>35</v>
      </c>
    </row>
    <row r="1788" spans="1:18" s="14" customFormat="1" x14ac:dyDescent="0.25">
      <c r="A1788" s="14" t="str">
        <f>"95025"</f>
        <v>95025</v>
      </c>
      <c r="B1788" s="14" t="str">
        <f>"03000"</f>
        <v>03000</v>
      </c>
      <c r="C1788" s="14" t="str">
        <f>"1500"</f>
        <v>1500</v>
      </c>
      <c r="D1788" s="14" t="str">
        <f>""</f>
        <v/>
      </c>
      <c r="E1788" s="14" t="s">
        <v>1853</v>
      </c>
      <c r="F1788" s="14" t="s">
        <v>217</v>
      </c>
      <c r="G1788" s="14" t="str">
        <f>""</f>
        <v/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34</v>
      </c>
      <c r="P1788" s="14" t="s">
        <v>239</v>
      </c>
      <c r="Q1788" s="14" t="s">
        <v>239</v>
      </c>
      <c r="R1788" s="14" t="s">
        <v>35</v>
      </c>
    </row>
    <row r="1789" spans="1:18" s="14" customFormat="1" x14ac:dyDescent="0.25">
      <c r="A1789" s="14" t="str">
        <f>"95035"</f>
        <v>95035</v>
      </c>
      <c r="B1789" s="14" t="str">
        <f>"03000"</f>
        <v>03000</v>
      </c>
      <c r="C1789" s="14" t="str">
        <f>"1500"</f>
        <v>1500</v>
      </c>
      <c r="D1789" s="14" t="str">
        <f>""</f>
        <v/>
      </c>
      <c r="E1789" s="14" t="s">
        <v>1854</v>
      </c>
      <c r="F1789" s="14" t="s">
        <v>217</v>
      </c>
      <c r="G1789" s="14" t="str">
        <f>""</f>
        <v/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34</v>
      </c>
      <c r="P1789" s="14" t="s">
        <v>239</v>
      </c>
      <c r="Q1789" s="14" t="s">
        <v>239</v>
      </c>
      <c r="R1789" s="14" t="s">
        <v>35</v>
      </c>
    </row>
    <row r="1790" spans="1:18" s="14" customFormat="1" x14ac:dyDescent="0.25">
      <c r="A1790" s="14" t="str">
        <f>"95040"</f>
        <v>95040</v>
      </c>
      <c r="B1790" s="14" t="str">
        <f>"03000"</f>
        <v>03000</v>
      </c>
      <c r="C1790" s="14" t="str">
        <f>"1500"</f>
        <v>1500</v>
      </c>
      <c r="D1790" s="14" t="str">
        <f>""</f>
        <v/>
      </c>
      <c r="E1790" s="14" t="s">
        <v>1855</v>
      </c>
      <c r="F1790" s="14" t="s">
        <v>217</v>
      </c>
      <c r="G1790" s="14" t="str">
        <f>""</f>
        <v/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34</v>
      </c>
      <c r="P1790" s="14" t="s">
        <v>239</v>
      </c>
      <c r="Q1790" s="14" t="s">
        <v>239</v>
      </c>
      <c r="R1790" s="14" t="s">
        <v>35</v>
      </c>
    </row>
    <row r="1791" spans="1:18" s="14" customFormat="1" x14ac:dyDescent="0.25">
      <c r="A1791" s="14" t="str">
        <f>"95045"</f>
        <v>95045</v>
      </c>
      <c r="B1791" s="14" t="str">
        <f>"03000"</f>
        <v>03000</v>
      </c>
      <c r="C1791" s="14" t="str">
        <f>"1500"</f>
        <v>1500</v>
      </c>
      <c r="D1791" s="14" t="str">
        <f>""</f>
        <v/>
      </c>
      <c r="E1791" s="14" t="s">
        <v>1856</v>
      </c>
      <c r="F1791" s="14" t="s">
        <v>217</v>
      </c>
      <c r="G1791" s="14" t="str">
        <f>""</f>
        <v/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34</v>
      </c>
      <c r="P1791" s="14" t="s">
        <v>239</v>
      </c>
      <c r="Q1791" s="14" t="s">
        <v>239</v>
      </c>
      <c r="R1791" s="14" t="s">
        <v>35</v>
      </c>
    </row>
    <row r="1792" spans="1:18" s="14" customFormat="1" x14ac:dyDescent="0.25">
      <c r="A1792" s="14" t="str">
        <f>"95050"</f>
        <v>95050</v>
      </c>
      <c r="B1792" s="14" t="str">
        <f>"03000"</f>
        <v>03000</v>
      </c>
      <c r="C1792" s="14" t="str">
        <f>"1500"</f>
        <v>1500</v>
      </c>
      <c r="D1792" s="14" t="str">
        <f>""</f>
        <v/>
      </c>
      <c r="E1792" s="14" t="s">
        <v>1857</v>
      </c>
      <c r="F1792" s="14" t="s">
        <v>217</v>
      </c>
      <c r="G1792" s="14" t="str">
        <f>""</f>
        <v/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34</v>
      </c>
      <c r="P1792" s="14" t="s">
        <v>239</v>
      </c>
      <c r="Q1792" s="14" t="s">
        <v>239</v>
      </c>
      <c r="R1792" s="14" t="s">
        <v>35</v>
      </c>
    </row>
    <row r="1793" spans="1:18" s="14" customFormat="1" x14ac:dyDescent="0.25">
      <c r="A1793" s="14" t="str">
        <f>"95055"</f>
        <v>95055</v>
      </c>
      <c r="B1793" s="14" t="str">
        <f>"03000"</f>
        <v>03000</v>
      </c>
      <c r="C1793" s="14" t="str">
        <f>"1500"</f>
        <v>1500</v>
      </c>
      <c r="D1793" s="14" t="str">
        <f>""</f>
        <v/>
      </c>
      <c r="E1793" s="14" t="s">
        <v>1858</v>
      </c>
      <c r="F1793" s="14" t="s">
        <v>217</v>
      </c>
      <c r="G1793" s="14" t="str">
        <f>""</f>
        <v/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34</v>
      </c>
      <c r="P1793" s="14" t="s">
        <v>239</v>
      </c>
      <c r="Q1793" s="14" t="s">
        <v>239</v>
      </c>
      <c r="R1793" s="14" t="s">
        <v>35</v>
      </c>
    </row>
    <row r="1794" spans="1:18" s="14" customFormat="1" x14ac:dyDescent="0.25">
      <c r="A1794" s="14" t="str">
        <f>"95060"</f>
        <v>95060</v>
      </c>
      <c r="B1794" s="14" t="str">
        <f>"03000"</f>
        <v>03000</v>
      </c>
      <c r="C1794" s="14" t="str">
        <f>"1500"</f>
        <v>1500</v>
      </c>
      <c r="D1794" s="14" t="str">
        <f>""</f>
        <v/>
      </c>
      <c r="E1794" s="14" t="s">
        <v>1859</v>
      </c>
      <c r="F1794" s="14" t="s">
        <v>217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34</v>
      </c>
      <c r="P1794" s="14" t="s">
        <v>239</v>
      </c>
      <c r="Q1794" s="14" t="s">
        <v>239</v>
      </c>
      <c r="R1794" s="14" t="s">
        <v>35</v>
      </c>
    </row>
    <row r="1795" spans="1:18" s="14" customFormat="1" x14ac:dyDescent="0.25">
      <c r="A1795" s="14" t="str">
        <f>"95065"</f>
        <v>95065</v>
      </c>
      <c r="B1795" s="14" t="str">
        <f>"03000"</f>
        <v>03000</v>
      </c>
      <c r="C1795" s="14" t="str">
        <f>"1500"</f>
        <v>1500</v>
      </c>
      <c r="D1795" s="14" t="str">
        <f>""</f>
        <v/>
      </c>
      <c r="E1795" s="14" t="s">
        <v>1860</v>
      </c>
      <c r="F1795" s="14" t="s">
        <v>217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34</v>
      </c>
      <c r="P1795" s="14" t="s">
        <v>239</v>
      </c>
      <c r="Q1795" s="14" t="s">
        <v>239</v>
      </c>
      <c r="R1795" s="14" t="s">
        <v>35</v>
      </c>
    </row>
    <row r="1796" spans="1:18" s="14" customFormat="1" x14ac:dyDescent="0.25">
      <c r="A1796" s="14" t="str">
        <f>"95075"</f>
        <v>95075</v>
      </c>
      <c r="B1796" s="14" t="str">
        <f>"03000"</f>
        <v>03000</v>
      </c>
      <c r="C1796" s="14" t="str">
        <f>"1500"</f>
        <v>1500</v>
      </c>
      <c r="D1796" s="14" t="str">
        <f>""</f>
        <v/>
      </c>
      <c r="E1796" s="14" t="s">
        <v>1861</v>
      </c>
      <c r="F1796" s="14" t="s">
        <v>217</v>
      </c>
      <c r="G1796" s="14" t="str">
        <f>""</f>
        <v/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34</v>
      </c>
      <c r="P1796" s="14" t="s">
        <v>239</v>
      </c>
      <c r="Q1796" s="14" t="s">
        <v>239</v>
      </c>
      <c r="R1796" s="14" t="s">
        <v>35</v>
      </c>
    </row>
    <row r="1797" spans="1:18" s="14" customFormat="1" x14ac:dyDescent="0.25">
      <c r="A1797" s="14" t="str">
        <f>"95085"</f>
        <v>95085</v>
      </c>
      <c r="B1797" s="14" t="str">
        <f>"03000"</f>
        <v>03000</v>
      </c>
      <c r="C1797" s="14" t="str">
        <f>"1500"</f>
        <v>1500</v>
      </c>
      <c r="D1797" s="14" t="str">
        <f>""</f>
        <v/>
      </c>
      <c r="E1797" s="14" t="s">
        <v>1862</v>
      </c>
      <c r="F1797" s="14" t="s">
        <v>217</v>
      </c>
      <c r="G1797" s="14" t="str">
        <f>""</f>
        <v/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34</v>
      </c>
      <c r="P1797" s="14" t="s">
        <v>239</v>
      </c>
      <c r="Q1797" s="14" t="s">
        <v>239</v>
      </c>
      <c r="R1797" s="14" t="s">
        <v>35</v>
      </c>
    </row>
    <row r="1798" spans="1:18" s="14" customFormat="1" x14ac:dyDescent="0.25">
      <c r="A1798" s="14" t="str">
        <f>"95089"</f>
        <v>95089</v>
      </c>
      <c r="B1798" s="14" t="str">
        <f>"03000"</f>
        <v>03000</v>
      </c>
      <c r="C1798" s="14" t="str">
        <f>"1500"</f>
        <v>1500</v>
      </c>
      <c r="D1798" s="14" t="str">
        <f>""</f>
        <v/>
      </c>
      <c r="E1798" s="14" t="s">
        <v>1863</v>
      </c>
      <c r="F1798" s="14" t="s">
        <v>217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34</v>
      </c>
      <c r="L1798" s="14" t="s">
        <v>226</v>
      </c>
      <c r="P1798" s="14" t="s">
        <v>239</v>
      </c>
      <c r="Q1798" s="14" t="s">
        <v>239</v>
      </c>
      <c r="R1798" s="14" t="s">
        <v>35</v>
      </c>
    </row>
    <row r="1799" spans="1:18" s="14" customFormat="1" x14ac:dyDescent="0.25">
      <c r="A1799" s="14" t="str">
        <f>"95090"</f>
        <v>95090</v>
      </c>
      <c r="B1799" s="14" t="str">
        <f>"03000"</f>
        <v>03000</v>
      </c>
      <c r="C1799" s="14" t="str">
        <f>"1500"</f>
        <v>1500</v>
      </c>
      <c r="D1799" s="14" t="str">
        <f>""</f>
        <v/>
      </c>
      <c r="E1799" s="14" t="s">
        <v>1864</v>
      </c>
      <c r="F1799" s="14" t="s">
        <v>217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34</v>
      </c>
      <c r="P1799" s="14" t="s">
        <v>239</v>
      </c>
      <c r="Q1799" s="14" t="s">
        <v>239</v>
      </c>
      <c r="R1799" s="14" t="s">
        <v>35</v>
      </c>
    </row>
    <row r="1800" spans="1:18" s="14" customFormat="1" x14ac:dyDescent="0.25">
      <c r="A1800" s="14" t="str">
        <f>"95091"</f>
        <v>95091</v>
      </c>
      <c r="B1800" s="14" t="str">
        <f>"03000"</f>
        <v>03000</v>
      </c>
      <c r="C1800" s="14" t="str">
        <f>"1500"</f>
        <v>1500</v>
      </c>
      <c r="D1800" s="14" t="str">
        <f>""</f>
        <v/>
      </c>
      <c r="E1800" s="14" t="s">
        <v>1865</v>
      </c>
      <c r="F1800" s="14" t="s">
        <v>217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34</v>
      </c>
      <c r="L1800" s="14" t="s">
        <v>226</v>
      </c>
      <c r="P1800" s="14" t="s">
        <v>239</v>
      </c>
      <c r="Q1800" s="14" t="s">
        <v>239</v>
      </c>
      <c r="R1800" s="14" t="s">
        <v>35</v>
      </c>
    </row>
    <row r="1801" spans="1:18" s="14" customFormat="1" x14ac:dyDescent="0.25">
      <c r="A1801" s="14" t="str">
        <f>"95092"</f>
        <v>95092</v>
      </c>
      <c r="B1801" s="14" t="str">
        <f>"03000"</f>
        <v>03000</v>
      </c>
      <c r="C1801" s="14" t="str">
        <f>"1500"</f>
        <v>1500</v>
      </c>
      <c r="D1801" s="14" t="str">
        <f>""</f>
        <v/>
      </c>
      <c r="E1801" s="14" t="s">
        <v>1866</v>
      </c>
      <c r="F1801" s="14" t="s">
        <v>217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34</v>
      </c>
      <c r="L1801" s="14" t="s">
        <v>226</v>
      </c>
      <c r="P1801" s="14" t="s">
        <v>239</v>
      </c>
      <c r="Q1801" s="14" t="s">
        <v>239</v>
      </c>
      <c r="R1801" s="14" t="s">
        <v>35</v>
      </c>
    </row>
    <row r="1802" spans="1:18" s="14" customFormat="1" x14ac:dyDescent="0.25">
      <c r="A1802" s="14" t="str">
        <f>"95093"</f>
        <v>95093</v>
      </c>
      <c r="B1802" s="14" t="str">
        <f>"03000"</f>
        <v>03000</v>
      </c>
      <c r="C1802" s="14" t="str">
        <f>"1500"</f>
        <v>1500</v>
      </c>
      <c r="D1802" s="14" t="str">
        <f>""</f>
        <v/>
      </c>
      <c r="E1802" s="14" t="s">
        <v>1867</v>
      </c>
      <c r="F1802" s="14" t="s">
        <v>217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34</v>
      </c>
      <c r="L1802" s="14" t="s">
        <v>226</v>
      </c>
      <c r="P1802" s="14" t="s">
        <v>239</v>
      </c>
      <c r="Q1802" s="14" t="s">
        <v>239</v>
      </c>
      <c r="R1802" s="14" t="s">
        <v>35</v>
      </c>
    </row>
    <row r="1803" spans="1:18" s="14" customFormat="1" x14ac:dyDescent="0.25">
      <c r="A1803" s="14" t="str">
        <f>"95094"</f>
        <v>95094</v>
      </c>
      <c r="B1803" s="14" t="str">
        <f>"03000"</f>
        <v>03000</v>
      </c>
      <c r="C1803" s="14" t="str">
        <f>"1500"</f>
        <v>1500</v>
      </c>
      <c r="D1803" s="14" t="str">
        <f>""</f>
        <v/>
      </c>
      <c r="E1803" s="14" t="s">
        <v>1868</v>
      </c>
      <c r="F1803" s="14" t="s">
        <v>217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34</v>
      </c>
      <c r="L1803" s="14" t="s">
        <v>226</v>
      </c>
      <c r="P1803" s="14" t="s">
        <v>239</v>
      </c>
      <c r="Q1803" s="14" t="s">
        <v>239</v>
      </c>
      <c r="R1803" s="14" t="s">
        <v>35</v>
      </c>
    </row>
    <row r="1804" spans="1:18" s="14" customFormat="1" x14ac:dyDescent="0.25">
      <c r="A1804" s="14" t="str">
        <f>"95095"</f>
        <v>95095</v>
      </c>
      <c r="B1804" s="14" t="str">
        <f>"03000"</f>
        <v>03000</v>
      </c>
      <c r="C1804" s="14" t="str">
        <f>"1500"</f>
        <v>1500</v>
      </c>
      <c r="D1804" s="14" t="str">
        <f>""</f>
        <v/>
      </c>
      <c r="E1804" s="14" t="s">
        <v>1869</v>
      </c>
      <c r="F1804" s="14" t="s">
        <v>217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34</v>
      </c>
      <c r="P1804" s="14" t="s">
        <v>239</v>
      </c>
      <c r="Q1804" s="14" t="s">
        <v>239</v>
      </c>
      <c r="R1804" s="14" t="s">
        <v>35</v>
      </c>
    </row>
    <row r="1805" spans="1:18" s="14" customFormat="1" x14ac:dyDescent="0.25">
      <c r="A1805" s="14" t="str">
        <f>"95096"</f>
        <v>95096</v>
      </c>
      <c r="B1805" s="14" t="str">
        <f>"03000"</f>
        <v>03000</v>
      </c>
      <c r="C1805" s="14" t="str">
        <f>"1500"</f>
        <v>1500</v>
      </c>
      <c r="D1805" s="14" t="str">
        <f>""</f>
        <v/>
      </c>
      <c r="E1805" s="14" t="s">
        <v>1870</v>
      </c>
      <c r="F1805" s="14" t="s">
        <v>217</v>
      </c>
      <c r="G1805" s="14" t="str">
        <f>""</f>
        <v/>
      </c>
      <c r="H1805" s="14" t="str">
        <f>" 00"</f>
        <v xml:space="preserve"> 00</v>
      </c>
      <c r="I1805" s="14">
        <v>0.01</v>
      </c>
      <c r="J1805" s="14">
        <v>9999999.9900000002</v>
      </c>
      <c r="K1805" s="14" t="s">
        <v>34</v>
      </c>
      <c r="P1805" s="14" t="s">
        <v>239</v>
      </c>
      <c r="Q1805" s="14" t="s">
        <v>239</v>
      </c>
      <c r="R1805" s="14" t="s">
        <v>35</v>
      </c>
    </row>
    <row r="1806" spans="1:18" s="14" customFormat="1" x14ac:dyDescent="0.25">
      <c r="A1806" s="14" t="str">
        <f>"95097"</f>
        <v>95097</v>
      </c>
      <c r="B1806" s="14" t="str">
        <f>"03000"</f>
        <v>03000</v>
      </c>
      <c r="C1806" s="14" t="str">
        <f>"1500"</f>
        <v>1500</v>
      </c>
      <c r="D1806" s="14" t="str">
        <f>""</f>
        <v/>
      </c>
      <c r="E1806" s="14" t="s">
        <v>1871</v>
      </c>
      <c r="F1806" s="14" t="s">
        <v>217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34</v>
      </c>
      <c r="P1806" s="14" t="s">
        <v>239</v>
      </c>
      <c r="Q1806" s="14" t="s">
        <v>239</v>
      </c>
      <c r="R1806" s="14" t="s">
        <v>35</v>
      </c>
    </row>
    <row r="1807" spans="1:18" s="14" customFormat="1" x14ac:dyDescent="0.25">
      <c r="A1807" s="14" t="str">
        <f>"95098"</f>
        <v>95098</v>
      </c>
      <c r="B1807" s="14" t="str">
        <f>"03000"</f>
        <v>03000</v>
      </c>
      <c r="C1807" s="14" t="str">
        <f>"1500"</f>
        <v>1500</v>
      </c>
      <c r="D1807" s="14" t="str">
        <f>""</f>
        <v/>
      </c>
      <c r="E1807" s="14" t="s">
        <v>1872</v>
      </c>
      <c r="F1807" s="14" t="s">
        <v>217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34</v>
      </c>
      <c r="P1807" s="14" t="s">
        <v>239</v>
      </c>
      <c r="Q1807" s="14" t="s">
        <v>239</v>
      </c>
      <c r="R1807" s="14" t="s">
        <v>35</v>
      </c>
    </row>
    <row r="1808" spans="1:18" s="14" customFormat="1" x14ac:dyDescent="0.25">
      <c r="A1808" s="14" t="str">
        <f>"95099"</f>
        <v>95099</v>
      </c>
      <c r="B1808" s="14" t="str">
        <f>"03000"</f>
        <v>03000</v>
      </c>
      <c r="C1808" s="14" t="str">
        <f>"1500"</f>
        <v>1500</v>
      </c>
      <c r="D1808" s="14" t="str">
        <f>""</f>
        <v/>
      </c>
      <c r="E1808" s="14" t="s">
        <v>1873</v>
      </c>
      <c r="F1808" s="14" t="s">
        <v>217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34</v>
      </c>
      <c r="P1808" s="14" t="s">
        <v>239</v>
      </c>
      <c r="Q1808" s="14" t="s">
        <v>239</v>
      </c>
      <c r="R1808" s="14" t="s">
        <v>35</v>
      </c>
    </row>
    <row r="1809" spans="1:18" s="14" customFormat="1" x14ac:dyDescent="0.25">
      <c r="A1809" s="14" t="str">
        <f>"95101"</f>
        <v>95101</v>
      </c>
      <c r="B1809" s="14" t="str">
        <f>"03000"</f>
        <v>03000</v>
      </c>
      <c r="C1809" s="14" t="str">
        <f>"1500"</f>
        <v>1500</v>
      </c>
      <c r="D1809" s="14" t="str">
        <f>""</f>
        <v/>
      </c>
      <c r="E1809" s="14" t="s">
        <v>1874</v>
      </c>
      <c r="F1809" s="14" t="s">
        <v>217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34</v>
      </c>
      <c r="P1809" s="14" t="s">
        <v>239</v>
      </c>
      <c r="Q1809" s="14" t="s">
        <v>239</v>
      </c>
      <c r="R1809" s="14" t="s">
        <v>35</v>
      </c>
    </row>
    <row r="1810" spans="1:18" s="14" customFormat="1" x14ac:dyDescent="0.25">
      <c r="A1810" s="14" t="str">
        <f>"95104"</f>
        <v>95104</v>
      </c>
      <c r="B1810" s="14" t="str">
        <f>"03000"</f>
        <v>03000</v>
      </c>
      <c r="C1810" s="14" t="str">
        <f>"1500"</f>
        <v>1500</v>
      </c>
      <c r="D1810" s="14" t="str">
        <f>""</f>
        <v/>
      </c>
      <c r="E1810" s="14" t="s">
        <v>1875</v>
      </c>
      <c r="F1810" s="14" t="s">
        <v>217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34</v>
      </c>
      <c r="P1810" s="14" t="s">
        <v>239</v>
      </c>
      <c r="Q1810" s="14" t="s">
        <v>239</v>
      </c>
      <c r="R1810" s="14" t="s">
        <v>35</v>
      </c>
    </row>
    <row r="1811" spans="1:18" s="14" customFormat="1" x14ac:dyDescent="0.25">
      <c r="A1811" s="14" t="str">
        <f>"95105"</f>
        <v>95105</v>
      </c>
      <c r="B1811" s="14" t="str">
        <f>"03000"</f>
        <v>03000</v>
      </c>
      <c r="C1811" s="14" t="str">
        <f>"1500"</f>
        <v>1500</v>
      </c>
      <c r="D1811" s="14" t="str">
        <f>""</f>
        <v/>
      </c>
      <c r="E1811" s="14" t="s">
        <v>1876</v>
      </c>
      <c r="F1811" s="14" t="s">
        <v>217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34</v>
      </c>
      <c r="P1811" s="14" t="s">
        <v>239</v>
      </c>
      <c r="Q1811" s="14" t="s">
        <v>239</v>
      </c>
      <c r="R1811" s="14" t="s">
        <v>35</v>
      </c>
    </row>
    <row r="1812" spans="1:18" s="14" customFormat="1" x14ac:dyDescent="0.25">
      <c r="A1812" s="14" t="str">
        <f>"95107"</f>
        <v>95107</v>
      </c>
      <c r="B1812" s="14" t="str">
        <f>"03000"</f>
        <v>03000</v>
      </c>
      <c r="C1812" s="14" t="str">
        <f>"1500"</f>
        <v>1500</v>
      </c>
      <c r="D1812" s="14" t="str">
        <f>""</f>
        <v/>
      </c>
      <c r="E1812" s="14" t="s">
        <v>1877</v>
      </c>
      <c r="F1812" s="14" t="s">
        <v>217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34</v>
      </c>
      <c r="P1812" s="14" t="s">
        <v>239</v>
      </c>
      <c r="Q1812" s="14" t="s">
        <v>239</v>
      </c>
      <c r="R1812" s="14" t="s">
        <v>35</v>
      </c>
    </row>
    <row r="1813" spans="1:18" s="14" customFormat="1" x14ac:dyDescent="0.25">
      <c r="A1813" s="14" t="str">
        <f>"95108"</f>
        <v>95108</v>
      </c>
      <c r="B1813" s="14" t="str">
        <f>"03000"</f>
        <v>03000</v>
      </c>
      <c r="C1813" s="14" t="str">
        <f>"1500"</f>
        <v>1500</v>
      </c>
      <c r="D1813" s="14" t="str">
        <f>""</f>
        <v/>
      </c>
      <c r="E1813" s="14" t="s">
        <v>1878</v>
      </c>
      <c r="F1813" s="14" t="s">
        <v>217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34</v>
      </c>
      <c r="P1813" s="14" t="s">
        <v>239</v>
      </c>
      <c r="Q1813" s="14" t="s">
        <v>239</v>
      </c>
      <c r="R1813" s="14" t="s">
        <v>35</v>
      </c>
    </row>
    <row r="1814" spans="1:18" s="14" customFormat="1" x14ac:dyDescent="0.25">
      <c r="A1814" s="14" t="str">
        <f>"95110"</f>
        <v>95110</v>
      </c>
      <c r="B1814" s="14" t="str">
        <f>"03000"</f>
        <v>03000</v>
      </c>
      <c r="C1814" s="14" t="str">
        <f>"1500"</f>
        <v>1500</v>
      </c>
      <c r="D1814" s="14" t="str">
        <f>""</f>
        <v/>
      </c>
      <c r="E1814" s="14" t="s">
        <v>1879</v>
      </c>
      <c r="F1814" s="14" t="s">
        <v>217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34</v>
      </c>
      <c r="P1814" s="14" t="s">
        <v>239</v>
      </c>
      <c r="Q1814" s="14" t="s">
        <v>239</v>
      </c>
      <c r="R1814" s="14" t="s">
        <v>35</v>
      </c>
    </row>
    <row r="1815" spans="1:18" s="14" customFormat="1" x14ac:dyDescent="0.25">
      <c r="A1815" s="14" t="str">
        <f>"95111"</f>
        <v>95111</v>
      </c>
      <c r="B1815" s="14" t="str">
        <f>"03000"</f>
        <v>03000</v>
      </c>
      <c r="C1815" s="14" t="str">
        <f>"1500"</f>
        <v>1500</v>
      </c>
      <c r="D1815" s="14" t="str">
        <f>""</f>
        <v/>
      </c>
      <c r="E1815" s="14" t="s">
        <v>1880</v>
      </c>
      <c r="F1815" s="14" t="s">
        <v>217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34</v>
      </c>
      <c r="P1815" s="14" t="s">
        <v>239</v>
      </c>
      <c r="Q1815" s="14" t="s">
        <v>239</v>
      </c>
      <c r="R1815" s="14" t="s">
        <v>35</v>
      </c>
    </row>
    <row r="1816" spans="1:18" s="14" customFormat="1" x14ac:dyDescent="0.25">
      <c r="A1816" s="14" t="str">
        <f>"95112"</f>
        <v>95112</v>
      </c>
      <c r="B1816" s="14" t="str">
        <f>"03000"</f>
        <v>03000</v>
      </c>
      <c r="C1816" s="14" t="str">
        <f>"1500"</f>
        <v>1500</v>
      </c>
      <c r="D1816" s="14" t="str">
        <f>""</f>
        <v/>
      </c>
      <c r="E1816" s="14" t="s">
        <v>1881</v>
      </c>
      <c r="F1816" s="14" t="s">
        <v>217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34</v>
      </c>
      <c r="P1816" s="14" t="s">
        <v>239</v>
      </c>
      <c r="Q1816" s="14" t="s">
        <v>239</v>
      </c>
      <c r="R1816" s="14" t="s">
        <v>35</v>
      </c>
    </row>
    <row r="1817" spans="1:18" s="14" customFormat="1" x14ac:dyDescent="0.25">
      <c r="A1817" s="14" t="str">
        <f>"95113"</f>
        <v>95113</v>
      </c>
      <c r="B1817" s="14" t="str">
        <f>"03000"</f>
        <v>03000</v>
      </c>
      <c r="C1817" s="14" t="str">
        <f>"1500"</f>
        <v>1500</v>
      </c>
      <c r="D1817" s="14" t="str">
        <f>""</f>
        <v/>
      </c>
      <c r="E1817" s="14" t="s">
        <v>1882</v>
      </c>
      <c r="F1817" s="14" t="s">
        <v>217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34</v>
      </c>
      <c r="P1817" s="14" t="s">
        <v>239</v>
      </c>
      <c r="Q1817" s="14" t="s">
        <v>239</v>
      </c>
      <c r="R1817" s="14" t="s">
        <v>35</v>
      </c>
    </row>
    <row r="1818" spans="1:18" s="14" customFormat="1" x14ac:dyDescent="0.25">
      <c r="A1818" s="14" t="str">
        <f>"95114"</f>
        <v>95114</v>
      </c>
      <c r="B1818" s="14" t="str">
        <f>"03000"</f>
        <v>03000</v>
      </c>
      <c r="C1818" s="14" t="str">
        <f>"1500"</f>
        <v>1500</v>
      </c>
      <c r="D1818" s="14" t="str">
        <f>""</f>
        <v/>
      </c>
      <c r="E1818" s="14" t="s">
        <v>1883</v>
      </c>
      <c r="F1818" s="14" t="s">
        <v>217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34</v>
      </c>
      <c r="P1818" s="14" t="s">
        <v>239</v>
      </c>
      <c r="Q1818" s="14" t="s">
        <v>239</v>
      </c>
      <c r="R1818" s="14" t="s">
        <v>35</v>
      </c>
    </row>
    <row r="1819" spans="1:18" s="14" customFormat="1" x14ac:dyDescent="0.25">
      <c r="A1819" s="14" t="str">
        <f>"95115"</f>
        <v>95115</v>
      </c>
      <c r="B1819" s="14" t="str">
        <f>"03000"</f>
        <v>03000</v>
      </c>
      <c r="C1819" s="14" t="str">
        <f>"1500"</f>
        <v>1500</v>
      </c>
      <c r="D1819" s="14" t="str">
        <f>""</f>
        <v/>
      </c>
      <c r="E1819" s="14" t="s">
        <v>1884</v>
      </c>
      <c r="F1819" s="14" t="s">
        <v>217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34</v>
      </c>
      <c r="P1819" s="14" t="s">
        <v>239</v>
      </c>
      <c r="Q1819" s="14" t="s">
        <v>239</v>
      </c>
      <c r="R1819" s="14" t="s">
        <v>35</v>
      </c>
    </row>
    <row r="1820" spans="1:18" s="14" customFormat="1" x14ac:dyDescent="0.25">
      <c r="A1820" s="14" t="str">
        <f>"95116"</f>
        <v>95116</v>
      </c>
      <c r="B1820" s="14" t="str">
        <f>"03000"</f>
        <v>03000</v>
      </c>
      <c r="C1820" s="14" t="str">
        <f>"1500"</f>
        <v>1500</v>
      </c>
      <c r="D1820" s="14" t="str">
        <f>""</f>
        <v/>
      </c>
      <c r="E1820" s="14" t="s">
        <v>1885</v>
      </c>
      <c r="F1820" s="14" t="s">
        <v>217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34</v>
      </c>
      <c r="P1820" s="14" t="s">
        <v>239</v>
      </c>
      <c r="Q1820" s="14" t="s">
        <v>239</v>
      </c>
      <c r="R1820" s="14" t="s">
        <v>35</v>
      </c>
    </row>
    <row r="1821" spans="1:18" s="14" customFormat="1" x14ac:dyDescent="0.25">
      <c r="A1821" s="14" t="str">
        <f>"95118"</f>
        <v>95118</v>
      </c>
      <c r="B1821" s="14" t="str">
        <f>"03000"</f>
        <v>03000</v>
      </c>
      <c r="C1821" s="14" t="str">
        <f>"1500"</f>
        <v>1500</v>
      </c>
      <c r="D1821" s="14" t="str">
        <f>""</f>
        <v/>
      </c>
      <c r="E1821" s="14" t="s">
        <v>1886</v>
      </c>
      <c r="F1821" s="14" t="s">
        <v>217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34</v>
      </c>
      <c r="P1821" s="14" t="s">
        <v>239</v>
      </c>
      <c r="Q1821" s="14" t="s">
        <v>239</v>
      </c>
      <c r="R1821" s="14" t="s">
        <v>35</v>
      </c>
    </row>
    <row r="1822" spans="1:18" s="14" customFormat="1" x14ac:dyDescent="0.25">
      <c r="A1822" s="14" t="str">
        <f>"95119"</f>
        <v>95119</v>
      </c>
      <c r="B1822" s="14" t="str">
        <f>"03000"</f>
        <v>03000</v>
      </c>
      <c r="C1822" s="14" t="str">
        <f>"1500"</f>
        <v>1500</v>
      </c>
      <c r="D1822" s="14" t="str">
        <f>""</f>
        <v/>
      </c>
      <c r="E1822" s="14" t="s">
        <v>1887</v>
      </c>
      <c r="F1822" s="14" t="s">
        <v>217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34</v>
      </c>
      <c r="P1822" s="14" t="s">
        <v>239</v>
      </c>
      <c r="Q1822" s="14" t="s">
        <v>239</v>
      </c>
      <c r="R1822" s="14" t="s">
        <v>35</v>
      </c>
    </row>
    <row r="1823" spans="1:18" s="14" customFormat="1" x14ac:dyDescent="0.25">
      <c r="A1823" s="14" t="str">
        <f>"95120"</f>
        <v>95120</v>
      </c>
      <c r="B1823" s="14" t="str">
        <f>"03000"</f>
        <v>03000</v>
      </c>
      <c r="C1823" s="14" t="str">
        <f>"1500"</f>
        <v>1500</v>
      </c>
      <c r="D1823" s="14" t="str">
        <f>""</f>
        <v/>
      </c>
      <c r="E1823" s="14" t="s">
        <v>1888</v>
      </c>
      <c r="F1823" s="14" t="s">
        <v>217</v>
      </c>
      <c r="G1823" s="14" t="str">
        <f>""</f>
        <v/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34</v>
      </c>
      <c r="P1823" s="14" t="s">
        <v>239</v>
      </c>
      <c r="Q1823" s="14" t="s">
        <v>239</v>
      </c>
      <c r="R1823" s="14" t="s">
        <v>35</v>
      </c>
    </row>
    <row r="1824" spans="1:18" s="14" customFormat="1" x14ac:dyDescent="0.25">
      <c r="A1824" s="14" t="str">
        <f>"95122"</f>
        <v>95122</v>
      </c>
      <c r="B1824" s="14" t="str">
        <f>"03000"</f>
        <v>03000</v>
      </c>
      <c r="C1824" s="14" t="str">
        <f>"1500"</f>
        <v>1500</v>
      </c>
      <c r="D1824" s="14" t="str">
        <f>""</f>
        <v/>
      </c>
      <c r="E1824" s="14" t="s">
        <v>1889</v>
      </c>
      <c r="F1824" s="14" t="s">
        <v>217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34</v>
      </c>
      <c r="P1824" s="14" t="s">
        <v>239</v>
      </c>
      <c r="Q1824" s="14" t="s">
        <v>239</v>
      </c>
      <c r="R1824" s="14" t="s">
        <v>35</v>
      </c>
    </row>
    <row r="1825" spans="1:18" s="14" customFormat="1" x14ac:dyDescent="0.25">
      <c r="A1825" s="14" t="str">
        <f>"95123"</f>
        <v>95123</v>
      </c>
      <c r="B1825" s="14" t="str">
        <f>"03000"</f>
        <v>03000</v>
      </c>
      <c r="C1825" s="14" t="str">
        <f>"1500"</f>
        <v>1500</v>
      </c>
      <c r="D1825" s="14" t="str">
        <f>""</f>
        <v/>
      </c>
      <c r="E1825" s="14" t="s">
        <v>1890</v>
      </c>
      <c r="F1825" s="14" t="s">
        <v>217</v>
      </c>
      <c r="G1825" s="14" t="str">
        <f>""</f>
        <v/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34</v>
      </c>
      <c r="P1825" s="14" t="s">
        <v>239</v>
      </c>
      <c r="Q1825" s="14" t="s">
        <v>239</v>
      </c>
      <c r="R1825" s="14" t="s">
        <v>35</v>
      </c>
    </row>
    <row r="1826" spans="1:18" s="14" customFormat="1" x14ac:dyDescent="0.25">
      <c r="A1826" s="14" t="str">
        <f>"95124"</f>
        <v>95124</v>
      </c>
      <c r="B1826" s="14" t="str">
        <f>"03000"</f>
        <v>03000</v>
      </c>
      <c r="C1826" s="14" t="str">
        <f>"1500"</f>
        <v>1500</v>
      </c>
      <c r="D1826" s="14" t="str">
        <f>""</f>
        <v/>
      </c>
      <c r="E1826" s="14" t="s">
        <v>1891</v>
      </c>
      <c r="F1826" s="14" t="s">
        <v>217</v>
      </c>
      <c r="G1826" s="14" t="str">
        <f>""</f>
        <v/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34</v>
      </c>
      <c r="P1826" s="14" t="s">
        <v>239</v>
      </c>
      <c r="Q1826" s="14" t="s">
        <v>239</v>
      </c>
      <c r="R1826" s="14" t="s">
        <v>35</v>
      </c>
    </row>
    <row r="1827" spans="1:18" s="14" customFormat="1" x14ac:dyDescent="0.25">
      <c r="A1827" s="14" t="str">
        <f>"95125"</f>
        <v>95125</v>
      </c>
      <c r="B1827" s="14" t="str">
        <f>"03000"</f>
        <v>03000</v>
      </c>
      <c r="C1827" s="14" t="str">
        <f>"1500"</f>
        <v>1500</v>
      </c>
      <c r="D1827" s="14" t="str">
        <f>""</f>
        <v/>
      </c>
      <c r="E1827" s="14" t="s">
        <v>1892</v>
      </c>
      <c r="F1827" s="14" t="s">
        <v>217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34</v>
      </c>
      <c r="P1827" s="14" t="s">
        <v>239</v>
      </c>
      <c r="Q1827" s="14" t="s">
        <v>239</v>
      </c>
      <c r="R1827" s="14" t="s">
        <v>35</v>
      </c>
    </row>
    <row r="1828" spans="1:18" s="14" customFormat="1" x14ac:dyDescent="0.25">
      <c r="A1828" s="14" t="str">
        <f>"95126"</f>
        <v>95126</v>
      </c>
      <c r="B1828" s="14" t="str">
        <f>"03000"</f>
        <v>03000</v>
      </c>
      <c r="C1828" s="14" t="str">
        <f>"1500"</f>
        <v>1500</v>
      </c>
      <c r="D1828" s="14" t="str">
        <f>""</f>
        <v/>
      </c>
      <c r="E1828" s="14" t="s">
        <v>1893</v>
      </c>
      <c r="F1828" s="14" t="s">
        <v>217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34</v>
      </c>
      <c r="P1828" s="14" t="s">
        <v>239</v>
      </c>
      <c r="Q1828" s="14" t="s">
        <v>239</v>
      </c>
      <c r="R1828" s="14" t="s">
        <v>35</v>
      </c>
    </row>
    <row r="1829" spans="1:18" s="14" customFormat="1" x14ac:dyDescent="0.25">
      <c r="A1829" s="14" t="str">
        <f>"95127"</f>
        <v>95127</v>
      </c>
      <c r="B1829" s="14" t="str">
        <f>"03000"</f>
        <v>03000</v>
      </c>
      <c r="C1829" s="14" t="str">
        <f>"1500"</f>
        <v>1500</v>
      </c>
      <c r="D1829" s="14" t="str">
        <f>""</f>
        <v/>
      </c>
      <c r="E1829" s="14" t="s">
        <v>1894</v>
      </c>
      <c r="F1829" s="14" t="s">
        <v>217</v>
      </c>
      <c r="G1829" s="14" t="str">
        <f>""</f>
        <v/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34</v>
      </c>
      <c r="P1829" s="14" t="s">
        <v>239</v>
      </c>
      <c r="Q1829" s="14" t="s">
        <v>239</v>
      </c>
      <c r="R1829" s="14" t="s">
        <v>35</v>
      </c>
    </row>
    <row r="1830" spans="1:18" s="14" customFormat="1" x14ac:dyDescent="0.25">
      <c r="A1830" s="14" t="str">
        <f>"95128"</f>
        <v>95128</v>
      </c>
      <c r="B1830" s="14" t="str">
        <f>"03000"</f>
        <v>03000</v>
      </c>
      <c r="C1830" s="14" t="str">
        <f>"1500"</f>
        <v>1500</v>
      </c>
      <c r="D1830" s="14" t="str">
        <f>""</f>
        <v/>
      </c>
      <c r="E1830" s="14" t="s">
        <v>1895</v>
      </c>
      <c r="F1830" s="14" t="s">
        <v>217</v>
      </c>
      <c r="G1830" s="14" t="str">
        <f>""</f>
        <v/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34</v>
      </c>
      <c r="P1830" s="14" t="s">
        <v>239</v>
      </c>
      <c r="Q1830" s="14" t="s">
        <v>239</v>
      </c>
      <c r="R1830" s="14" t="s">
        <v>35</v>
      </c>
    </row>
    <row r="1831" spans="1:18" s="14" customFormat="1" x14ac:dyDescent="0.25">
      <c r="A1831" s="14" t="str">
        <f>"95129"</f>
        <v>95129</v>
      </c>
      <c r="B1831" s="14" t="str">
        <f>"03000"</f>
        <v>03000</v>
      </c>
      <c r="C1831" s="14" t="str">
        <f>"1500"</f>
        <v>1500</v>
      </c>
      <c r="D1831" s="14" t="str">
        <f>""</f>
        <v/>
      </c>
      <c r="E1831" s="14" t="s">
        <v>1896</v>
      </c>
      <c r="F1831" s="14" t="s">
        <v>217</v>
      </c>
      <c r="G1831" s="14" t="str">
        <f>""</f>
        <v/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34</v>
      </c>
      <c r="P1831" s="14" t="s">
        <v>239</v>
      </c>
      <c r="Q1831" s="14" t="s">
        <v>239</v>
      </c>
      <c r="R1831" s="14" t="s">
        <v>35</v>
      </c>
    </row>
    <row r="1832" spans="1:18" s="14" customFormat="1" x14ac:dyDescent="0.25">
      <c r="A1832" s="14" t="str">
        <f>"95130"</f>
        <v>95130</v>
      </c>
      <c r="B1832" s="14" t="str">
        <f>"03000"</f>
        <v>03000</v>
      </c>
      <c r="C1832" s="14" t="str">
        <f>"1500"</f>
        <v>1500</v>
      </c>
      <c r="D1832" s="14" t="str">
        <f>""</f>
        <v/>
      </c>
      <c r="E1832" s="14" t="s">
        <v>1897</v>
      </c>
      <c r="F1832" s="14" t="s">
        <v>217</v>
      </c>
      <c r="G1832" s="14" t="str">
        <f>""</f>
        <v/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34</v>
      </c>
      <c r="P1832" s="14" t="s">
        <v>239</v>
      </c>
      <c r="Q1832" s="14" t="s">
        <v>239</v>
      </c>
      <c r="R1832" s="14" t="s">
        <v>35</v>
      </c>
    </row>
    <row r="1833" spans="1:18" s="14" customFormat="1" x14ac:dyDescent="0.25">
      <c r="A1833" s="14" t="str">
        <f>"95131"</f>
        <v>95131</v>
      </c>
      <c r="B1833" s="14" t="str">
        <f>"03000"</f>
        <v>03000</v>
      </c>
      <c r="C1833" s="14" t="str">
        <f>"1500"</f>
        <v>1500</v>
      </c>
      <c r="D1833" s="14" t="str">
        <f>""</f>
        <v/>
      </c>
      <c r="E1833" s="14" t="s">
        <v>1898</v>
      </c>
      <c r="F1833" s="14" t="s">
        <v>217</v>
      </c>
      <c r="G1833" s="14" t="str">
        <f>""</f>
        <v/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34</v>
      </c>
      <c r="P1833" s="14" t="s">
        <v>239</v>
      </c>
      <c r="Q1833" s="14" t="s">
        <v>239</v>
      </c>
      <c r="R1833" s="14" t="s">
        <v>35</v>
      </c>
    </row>
    <row r="1834" spans="1:18" s="14" customFormat="1" x14ac:dyDescent="0.25">
      <c r="A1834" s="14" t="str">
        <f>"95132"</f>
        <v>95132</v>
      </c>
      <c r="B1834" s="14" t="str">
        <f>"03000"</f>
        <v>03000</v>
      </c>
      <c r="C1834" s="14" t="str">
        <f>"1500"</f>
        <v>1500</v>
      </c>
      <c r="D1834" s="14" t="str">
        <f>""</f>
        <v/>
      </c>
      <c r="E1834" s="14" t="s">
        <v>1899</v>
      </c>
      <c r="F1834" s="14" t="s">
        <v>217</v>
      </c>
      <c r="G1834" s="14" t="str">
        <f>""</f>
        <v/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34</v>
      </c>
      <c r="P1834" s="14" t="s">
        <v>239</v>
      </c>
      <c r="Q1834" s="14" t="s">
        <v>239</v>
      </c>
      <c r="R1834" s="14" t="s">
        <v>35</v>
      </c>
    </row>
    <row r="1835" spans="1:18" s="14" customFormat="1" x14ac:dyDescent="0.25">
      <c r="A1835" s="14" t="str">
        <f>"95133"</f>
        <v>95133</v>
      </c>
      <c r="B1835" s="14" t="str">
        <f>"03000"</f>
        <v>03000</v>
      </c>
      <c r="C1835" s="14" t="str">
        <f>"1500"</f>
        <v>1500</v>
      </c>
      <c r="D1835" s="14" t="str">
        <f>""</f>
        <v/>
      </c>
      <c r="E1835" s="14" t="s">
        <v>1900</v>
      </c>
      <c r="F1835" s="14" t="s">
        <v>217</v>
      </c>
      <c r="G1835" s="14" t="str">
        <f>""</f>
        <v/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34</v>
      </c>
      <c r="P1835" s="14" t="s">
        <v>239</v>
      </c>
      <c r="Q1835" s="14" t="s">
        <v>239</v>
      </c>
      <c r="R1835" s="14" t="s">
        <v>35</v>
      </c>
    </row>
    <row r="1836" spans="1:18" s="14" customFormat="1" x14ac:dyDescent="0.25">
      <c r="A1836" s="14" t="str">
        <f>"95134"</f>
        <v>95134</v>
      </c>
      <c r="B1836" s="14" t="str">
        <f>"03000"</f>
        <v>03000</v>
      </c>
      <c r="C1836" s="14" t="str">
        <f>"1500"</f>
        <v>1500</v>
      </c>
      <c r="D1836" s="14" t="str">
        <f>""</f>
        <v/>
      </c>
      <c r="E1836" s="14" t="s">
        <v>1901</v>
      </c>
      <c r="F1836" s="14" t="s">
        <v>217</v>
      </c>
      <c r="G1836" s="14" t="str">
        <f>""</f>
        <v/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34</v>
      </c>
      <c r="P1836" s="14" t="s">
        <v>239</v>
      </c>
      <c r="Q1836" s="14" t="s">
        <v>239</v>
      </c>
      <c r="R1836" s="14" t="s">
        <v>35</v>
      </c>
    </row>
    <row r="1837" spans="1:18" s="14" customFormat="1" x14ac:dyDescent="0.25">
      <c r="A1837" s="14" t="str">
        <f>"95135"</f>
        <v>95135</v>
      </c>
      <c r="B1837" s="14" t="str">
        <f>"03000"</f>
        <v>03000</v>
      </c>
      <c r="C1837" s="14" t="str">
        <f>"1500"</f>
        <v>1500</v>
      </c>
      <c r="D1837" s="14" t="str">
        <f>""</f>
        <v/>
      </c>
      <c r="E1837" s="14" t="s">
        <v>1902</v>
      </c>
      <c r="F1837" s="14" t="s">
        <v>217</v>
      </c>
      <c r="G1837" s="14" t="str">
        <f>""</f>
        <v/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34</v>
      </c>
      <c r="P1837" s="14" t="s">
        <v>239</v>
      </c>
      <c r="Q1837" s="14" t="s">
        <v>239</v>
      </c>
      <c r="R1837" s="14" t="s">
        <v>35</v>
      </c>
    </row>
    <row r="1838" spans="1:18" s="14" customFormat="1" x14ac:dyDescent="0.25">
      <c r="A1838" s="14" t="str">
        <f>"95136"</f>
        <v>95136</v>
      </c>
      <c r="B1838" s="14" t="str">
        <f>"03000"</f>
        <v>03000</v>
      </c>
      <c r="C1838" s="14" t="str">
        <f>"1500"</f>
        <v>1500</v>
      </c>
      <c r="D1838" s="14" t="str">
        <f>""</f>
        <v/>
      </c>
      <c r="E1838" s="14" t="s">
        <v>1903</v>
      </c>
      <c r="F1838" s="14" t="s">
        <v>217</v>
      </c>
      <c r="G1838" s="14" t="str">
        <f>""</f>
        <v/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34</v>
      </c>
      <c r="P1838" s="14" t="s">
        <v>239</v>
      </c>
      <c r="Q1838" s="14" t="s">
        <v>239</v>
      </c>
      <c r="R1838" s="14" t="s">
        <v>35</v>
      </c>
    </row>
    <row r="1839" spans="1:18" s="14" customFormat="1" x14ac:dyDescent="0.25">
      <c r="A1839" s="14" t="str">
        <f>"95140"</f>
        <v>95140</v>
      </c>
      <c r="B1839" s="14" t="str">
        <f>"03000"</f>
        <v>03000</v>
      </c>
      <c r="C1839" s="14" t="str">
        <f>"1500"</f>
        <v>1500</v>
      </c>
      <c r="D1839" s="14" t="str">
        <f>""</f>
        <v/>
      </c>
      <c r="E1839" s="14" t="s">
        <v>1904</v>
      </c>
      <c r="F1839" s="14" t="s">
        <v>217</v>
      </c>
      <c r="G1839" s="14" t="str">
        <f>""</f>
        <v/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34</v>
      </c>
      <c r="P1839" s="14" t="s">
        <v>239</v>
      </c>
      <c r="Q1839" s="14" t="s">
        <v>239</v>
      </c>
      <c r="R1839" s="14" t="s">
        <v>35</v>
      </c>
    </row>
    <row r="1840" spans="1:18" s="14" customFormat="1" x14ac:dyDescent="0.25">
      <c r="A1840" s="14" t="str">
        <f>"95141"</f>
        <v>95141</v>
      </c>
      <c r="B1840" s="14" t="str">
        <f>"03000"</f>
        <v>03000</v>
      </c>
      <c r="C1840" s="14" t="str">
        <f>"1500"</f>
        <v>1500</v>
      </c>
      <c r="D1840" s="14" t="str">
        <f>""</f>
        <v/>
      </c>
      <c r="E1840" s="14" t="s">
        <v>1905</v>
      </c>
      <c r="F1840" s="14" t="s">
        <v>217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34</v>
      </c>
      <c r="P1840" s="14" t="s">
        <v>239</v>
      </c>
      <c r="Q1840" s="14" t="s">
        <v>239</v>
      </c>
      <c r="R1840" s="14" t="s">
        <v>35</v>
      </c>
    </row>
    <row r="1841" spans="1:18" s="14" customFormat="1" x14ac:dyDescent="0.25">
      <c r="A1841" s="14" t="str">
        <f>"95142"</f>
        <v>95142</v>
      </c>
      <c r="B1841" s="14" t="str">
        <f>"03000"</f>
        <v>03000</v>
      </c>
      <c r="C1841" s="14" t="str">
        <f>"1500"</f>
        <v>1500</v>
      </c>
      <c r="D1841" s="14" t="str">
        <f>""</f>
        <v/>
      </c>
      <c r="E1841" s="14" t="s">
        <v>1906</v>
      </c>
      <c r="F1841" s="14" t="s">
        <v>217</v>
      </c>
      <c r="G1841" s="14" t="str">
        <f>""</f>
        <v/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34</v>
      </c>
      <c r="P1841" s="14" t="s">
        <v>239</v>
      </c>
      <c r="Q1841" s="14" t="s">
        <v>239</v>
      </c>
      <c r="R1841" s="14" t="s">
        <v>35</v>
      </c>
    </row>
    <row r="1842" spans="1:18" s="14" customFormat="1" x14ac:dyDescent="0.25">
      <c r="A1842" s="14" t="str">
        <f>"95143"</f>
        <v>95143</v>
      </c>
      <c r="B1842" s="14" t="str">
        <f>"03000"</f>
        <v>03000</v>
      </c>
      <c r="C1842" s="14" t="str">
        <f>"1500"</f>
        <v>1500</v>
      </c>
      <c r="D1842" s="14" t="str">
        <f>""</f>
        <v/>
      </c>
      <c r="E1842" s="14" t="s">
        <v>1907</v>
      </c>
      <c r="F1842" s="14" t="s">
        <v>217</v>
      </c>
      <c r="G1842" s="14" t="str">
        <f>""</f>
        <v/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34</v>
      </c>
      <c r="P1842" s="14" t="s">
        <v>239</v>
      </c>
      <c r="Q1842" s="14" t="s">
        <v>239</v>
      </c>
      <c r="R1842" s="14" t="s">
        <v>35</v>
      </c>
    </row>
    <row r="1843" spans="1:18" s="14" customFormat="1" x14ac:dyDescent="0.25">
      <c r="A1843" s="14" t="str">
        <f>"95144"</f>
        <v>95144</v>
      </c>
      <c r="B1843" s="14" t="str">
        <f>"03000"</f>
        <v>03000</v>
      </c>
      <c r="C1843" s="14" t="str">
        <f>"1500"</f>
        <v>1500</v>
      </c>
      <c r="D1843" s="14" t="str">
        <f>""</f>
        <v/>
      </c>
      <c r="E1843" s="14" t="s">
        <v>1908</v>
      </c>
      <c r="F1843" s="14" t="s">
        <v>217</v>
      </c>
      <c r="G1843" s="14" t="str">
        <f>""</f>
        <v/>
      </c>
      <c r="H1843" s="14" t="str">
        <f>" 00"</f>
        <v xml:space="preserve"> 00</v>
      </c>
      <c r="I1843" s="14">
        <v>0.01</v>
      </c>
      <c r="J1843" s="14">
        <v>9999999.9900000002</v>
      </c>
      <c r="K1843" s="14" t="s">
        <v>34</v>
      </c>
      <c r="P1843" s="14" t="s">
        <v>239</v>
      </c>
      <c r="Q1843" s="14" t="s">
        <v>239</v>
      </c>
      <c r="R1843" s="14" t="s">
        <v>35</v>
      </c>
    </row>
    <row r="1844" spans="1:18" s="14" customFormat="1" x14ac:dyDescent="0.25">
      <c r="A1844" s="14" t="str">
        <f>"95145"</f>
        <v>95145</v>
      </c>
      <c r="B1844" s="14" t="str">
        <f>"03000"</f>
        <v>03000</v>
      </c>
      <c r="C1844" s="14" t="str">
        <f>"1500"</f>
        <v>1500</v>
      </c>
      <c r="D1844" s="14" t="str">
        <f>""</f>
        <v/>
      </c>
      <c r="E1844" s="14" t="s">
        <v>1909</v>
      </c>
      <c r="F1844" s="14" t="s">
        <v>217</v>
      </c>
      <c r="G1844" s="14" t="str">
        <f>""</f>
        <v/>
      </c>
      <c r="H1844" s="14" t="str">
        <f>" 00"</f>
        <v xml:space="preserve"> 00</v>
      </c>
      <c r="I1844" s="14">
        <v>0.01</v>
      </c>
      <c r="J1844" s="14">
        <v>9999999.9900000002</v>
      </c>
      <c r="K1844" s="14" t="s">
        <v>34</v>
      </c>
      <c r="P1844" s="14" t="s">
        <v>239</v>
      </c>
      <c r="Q1844" s="14" t="s">
        <v>239</v>
      </c>
      <c r="R1844" s="14" t="s">
        <v>35</v>
      </c>
    </row>
    <row r="1845" spans="1:18" s="14" customFormat="1" x14ac:dyDescent="0.25">
      <c r="A1845" s="14" t="str">
        <f>"95201"</f>
        <v>95201</v>
      </c>
      <c r="B1845" s="14" t="str">
        <f>"03000"</f>
        <v>03000</v>
      </c>
      <c r="C1845" s="14" t="str">
        <f>"1500"</f>
        <v>1500</v>
      </c>
      <c r="D1845" s="14" t="str">
        <f>""</f>
        <v/>
      </c>
      <c r="E1845" s="14" t="s">
        <v>1910</v>
      </c>
      <c r="F1845" s="14" t="s">
        <v>217</v>
      </c>
      <c r="G1845" s="14" t="str">
        <f>""</f>
        <v/>
      </c>
      <c r="H1845" s="14" t="str">
        <f>" 00"</f>
        <v xml:space="preserve"> 00</v>
      </c>
      <c r="I1845" s="14">
        <v>0.01</v>
      </c>
      <c r="J1845" s="14">
        <v>9999999.9900000002</v>
      </c>
      <c r="K1845" s="14" t="s">
        <v>34</v>
      </c>
      <c r="P1845" s="14" t="s">
        <v>239</v>
      </c>
      <c r="Q1845" s="14" t="s">
        <v>239</v>
      </c>
      <c r="R1845" s="14" t="s">
        <v>35</v>
      </c>
    </row>
    <row r="1846" spans="1:18" s="14" customFormat="1" x14ac:dyDescent="0.25">
      <c r="A1846" s="14" t="str">
        <f>"95202"</f>
        <v>95202</v>
      </c>
      <c r="B1846" s="14" t="str">
        <f>"03000"</f>
        <v>03000</v>
      </c>
      <c r="C1846" s="14" t="str">
        <f>"1500"</f>
        <v>1500</v>
      </c>
      <c r="D1846" s="14" t="str">
        <f>""</f>
        <v/>
      </c>
      <c r="E1846" s="14" t="s">
        <v>1911</v>
      </c>
      <c r="F1846" s="14" t="s">
        <v>217</v>
      </c>
      <c r="G1846" s="14" t="str">
        <f>""</f>
        <v/>
      </c>
      <c r="H1846" s="14" t="str">
        <f>" 00"</f>
        <v xml:space="preserve"> 00</v>
      </c>
      <c r="I1846" s="14">
        <v>0.01</v>
      </c>
      <c r="J1846" s="14">
        <v>9999999.9900000002</v>
      </c>
      <c r="K1846" s="14" t="s">
        <v>34</v>
      </c>
      <c r="P1846" s="14" t="s">
        <v>239</v>
      </c>
      <c r="Q1846" s="14" t="s">
        <v>239</v>
      </c>
      <c r="R1846" s="14" t="s">
        <v>35</v>
      </c>
    </row>
    <row r="1847" spans="1:18" s="14" customFormat="1" x14ac:dyDescent="0.25">
      <c r="A1847" s="14" t="str">
        <f>"95901"</f>
        <v>95901</v>
      </c>
      <c r="B1847" s="14" t="str">
        <f>"03000"</f>
        <v>03000</v>
      </c>
      <c r="C1847" s="14" t="str">
        <f>"1500"</f>
        <v>1500</v>
      </c>
      <c r="D1847" s="14" t="str">
        <f>""</f>
        <v/>
      </c>
      <c r="E1847" s="14" t="s">
        <v>1912</v>
      </c>
      <c r="F1847" s="14" t="s">
        <v>217</v>
      </c>
      <c r="G1847" s="14" t="str">
        <f>""</f>
        <v/>
      </c>
      <c r="H1847" s="14" t="str">
        <f>" 00"</f>
        <v xml:space="preserve"> 00</v>
      </c>
      <c r="I1847" s="14">
        <v>0.01</v>
      </c>
      <c r="J1847" s="14">
        <v>9999999.9900000002</v>
      </c>
      <c r="K1847" s="14" t="s">
        <v>34</v>
      </c>
      <c r="P1847" s="14" t="s">
        <v>239</v>
      </c>
      <c r="Q1847" s="14" t="s">
        <v>239</v>
      </c>
      <c r="R1847" s="14" t="s">
        <v>35</v>
      </c>
    </row>
    <row r="1848" spans="1:18" s="14" customFormat="1" x14ac:dyDescent="0.25">
      <c r="A1848" s="14" t="str">
        <f>"95902"</f>
        <v>95902</v>
      </c>
      <c r="B1848" s="14" t="str">
        <f>"03000"</f>
        <v>03000</v>
      </c>
      <c r="C1848" s="14" t="str">
        <f>"1500"</f>
        <v>1500</v>
      </c>
      <c r="D1848" s="14" t="str">
        <f>""</f>
        <v/>
      </c>
      <c r="E1848" s="14" t="s">
        <v>1913</v>
      </c>
      <c r="F1848" s="14" t="s">
        <v>217</v>
      </c>
      <c r="G1848" s="14" t="str">
        <f>""</f>
        <v/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34</v>
      </c>
      <c r="P1848" s="14" t="s">
        <v>239</v>
      </c>
      <c r="Q1848" s="14" t="s">
        <v>239</v>
      </c>
      <c r="R1848" s="14" t="s">
        <v>35</v>
      </c>
    </row>
    <row r="1849" spans="1:18" s="14" customFormat="1" x14ac:dyDescent="0.25">
      <c r="A1849" s="14" t="str">
        <f>"95903"</f>
        <v>95903</v>
      </c>
      <c r="B1849" s="14" t="str">
        <f>"03000"</f>
        <v>03000</v>
      </c>
      <c r="C1849" s="14" t="str">
        <f>"1500"</f>
        <v>1500</v>
      </c>
      <c r="D1849" s="14" t="str">
        <f>""</f>
        <v/>
      </c>
      <c r="E1849" s="14" t="s">
        <v>1914</v>
      </c>
      <c r="F1849" s="14" t="s">
        <v>217</v>
      </c>
      <c r="G1849" s="14" t="str">
        <f>""</f>
        <v/>
      </c>
      <c r="H1849" s="14" t="str">
        <f>" 00"</f>
        <v xml:space="preserve"> 00</v>
      </c>
      <c r="I1849" s="14">
        <v>0.01</v>
      </c>
      <c r="J1849" s="14">
        <v>9999999.9900000002</v>
      </c>
      <c r="K1849" s="14" t="s">
        <v>34</v>
      </c>
      <c r="P1849" s="14" t="s">
        <v>239</v>
      </c>
      <c r="Q1849" s="14" t="s">
        <v>239</v>
      </c>
      <c r="R1849" s="14" t="s">
        <v>35</v>
      </c>
    </row>
    <row r="1850" spans="1:18" s="14" customFormat="1" x14ac:dyDescent="0.25">
      <c r="A1850" s="14" t="str">
        <f>"95904"</f>
        <v>95904</v>
      </c>
      <c r="B1850" s="14" t="str">
        <f>"03000"</f>
        <v>03000</v>
      </c>
      <c r="C1850" s="14" t="str">
        <f>"1500"</f>
        <v>1500</v>
      </c>
      <c r="D1850" s="14" t="str">
        <f>""</f>
        <v/>
      </c>
      <c r="E1850" s="14" t="s">
        <v>1915</v>
      </c>
      <c r="F1850" s="14" t="s">
        <v>217</v>
      </c>
      <c r="G1850" s="14" t="str">
        <f>""</f>
        <v/>
      </c>
      <c r="H1850" s="14" t="str">
        <f>" 00"</f>
        <v xml:space="preserve"> 00</v>
      </c>
      <c r="I1850" s="14">
        <v>0.01</v>
      </c>
      <c r="J1850" s="14">
        <v>9999999.9900000002</v>
      </c>
      <c r="K1850" s="14" t="s">
        <v>34</v>
      </c>
      <c r="P1850" s="14" t="s">
        <v>239</v>
      </c>
      <c r="Q1850" s="14" t="s">
        <v>239</v>
      </c>
      <c r="R1850" s="14" t="s">
        <v>35</v>
      </c>
    </row>
    <row r="1851" spans="1:18" s="14" customFormat="1" x14ac:dyDescent="0.25">
      <c r="A1851" s="14" t="str">
        <f>"95905"</f>
        <v>95905</v>
      </c>
      <c r="B1851" s="14" t="str">
        <f>"03000"</f>
        <v>03000</v>
      </c>
      <c r="C1851" s="14" t="str">
        <f>"1500"</f>
        <v>1500</v>
      </c>
      <c r="D1851" s="14" t="str">
        <f>""</f>
        <v/>
      </c>
      <c r="E1851" s="14" t="s">
        <v>1916</v>
      </c>
      <c r="F1851" s="14" t="s">
        <v>217</v>
      </c>
      <c r="G1851" s="14" t="str">
        <f>""</f>
        <v/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34</v>
      </c>
      <c r="P1851" s="14" t="s">
        <v>239</v>
      </c>
      <c r="Q1851" s="14" t="s">
        <v>239</v>
      </c>
      <c r="R1851" s="14" t="s">
        <v>35</v>
      </c>
    </row>
    <row r="1852" spans="1:18" s="14" customFormat="1" x14ac:dyDescent="0.25">
      <c r="A1852" s="14" t="str">
        <f>"95906"</f>
        <v>95906</v>
      </c>
      <c r="B1852" s="14" t="str">
        <f>"03000"</f>
        <v>03000</v>
      </c>
      <c r="C1852" s="14" t="str">
        <f>"1500"</f>
        <v>1500</v>
      </c>
      <c r="D1852" s="14" t="str">
        <f>""</f>
        <v/>
      </c>
      <c r="E1852" s="14" t="s">
        <v>1917</v>
      </c>
      <c r="F1852" s="14" t="s">
        <v>217</v>
      </c>
      <c r="G1852" s="14" t="str">
        <f>""</f>
        <v/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34</v>
      </c>
      <c r="P1852" s="14" t="s">
        <v>239</v>
      </c>
      <c r="Q1852" s="14" t="s">
        <v>239</v>
      </c>
      <c r="R1852" s="14" t="s">
        <v>35</v>
      </c>
    </row>
    <row r="1853" spans="1:18" s="14" customFormat="1" x14ac:dyDescent="0.25">
      <c r="A1853" s="14" t="str">
        <f>"95907"</f>
        <v>95907</v>
      </c>
      <c r="B1853" s="14" t="str">
        <f>"03000"</f>
        <v>03000</v>
      </c>
      <c r="C1853" s="14" t="str">
        <f>"1500"</f>
        <v>1500</v>
      </c>
      <c r="D1853" s="14" t="str">
        <f>""</f>
        <v/>
      </c>
      <c r="E1853" s="14" t="s">
        <v>1918</v>
      </c>
      <c r="F1853" s="14" t="s">
        <v>217</v>
      </c>
      <c r="G1853" s="14" t="str">
        <f>""</f>
        <v/>
      </c>
      <c r="H1853" s="14" t="str">
        <f>" 00"</f>
        <v xml:space="preserve"> 00</v>
      </c>
      <c r="I1853" s="14">
        <v>0.01</v>
      </c>
      <c r="J1853" s="14">
        <v>9999999.9900000002</v>
      </c>
      <c r="K1853" s="14" t="s">
        <v>34</v>
      </c>
      <c r="P1853" s="14" t="s">
        <v>239</v>
      </c>
      <c r="Q1853" s="14" t="s">
        <v>239</v>
      </c>
      <c r="R1853" s="14" t="s">
        <v>35</v>
      </c>
    </row>
    <row r="1854" spans="1:18" s="14" customFormat="1" x14ac:dyDescent="0.25">
      <c r="A1854" s="14" t="str">
        <f>"95908"</f>
        <v>95908</v>
      </c>
      <c r="B1854" s="14" t="str">
        <f>"03000"</f>
        <v>03000</v>
      </c>
      <c r="C1854" s="14" t="str">
        <f>"1500"</f>
        <v>1500</v>
      </c>
      <c r="D1854" s="14" t="str">
        <f>""</f>
        <v/>
      </c>
      <c r="E1854" s="14" t="s">
        <v>1919</v>
      </c>
      <c r="F1854" s="14" t="s">
        <v>217</v>
      </c>
      <c r="G1854" s="14" t="str">
        <f>""</f>
        <v/>
      </c>
      <c r="H1854" s="14" t="str">
        <f>" 00"</f>
        <v xml:space="preserve"> 00</v>
      </c>
      <c r="I1854" s="14">
        <v>0.01</v>
      </c>
      <c r="J1854" s="14">
        <v>9999999.9900000002</v>
      </c>
      <c r="K1854" s="14" t="s">
        <v>34</v>
      </c>
      <c r="P1854" s="14" t="s">
        <v>239</v>
      </c>
      <c r="Q1854" s="14" t="s">
        <v>239</v>
      </c>
      <c r="R1854" s="14" t="s">
        <v>35</v>
      </c>
    </row>
    <row r="1855" spans="1:18" s="14" customFormat="1" x14ac:dyDescent="0.25">
      <c r="A1855" s="14" t="str">
        <f>"96035"</f>
        <v>96035</v>
      </c>
      <c r="B1855" s="14" t="str">
        <f>"03050"</f>
        <v>03050</v>
      </c>
      <c r="C1855" s="14" t="str">
        <f>"2100"</f>
        <v>2100</v>
      </c>
      <c r="D1855" s="14" t="str">
        <f>""</f>
        <v/>
      </c>
      <c r="E1855" s="14" t="s">
        <v>1840</v>
      </c>
      <c r="F1855" s="14" t="s">
        <v>225</v>
      </c>
      <c r="G1855" s="14" t="str">
        <f>""</f>
        <v/>
      </c>
      <c r="H1855" s="14" t="str">
        <f>" 00"</f>
        <v xml:space="preserve"> 00</v>
      </c>
      <c r="I1855" s="14">
        <v>0.01</v>
      </c>
      <c r="J1855" s="14">
        <v>9999999.9900000002</v>
      </c>
      <c r="K1855" s="14" t="s">
        <v>226</v>
      </c>
      <c r="L1855" s="14" t="s">
        <v>227</v>
      </c>
      <c r="P1855" s="14" t="s">
        <v>239</v>
      </c>
      <c r="Q1855" s="14" t="s">
        <v>239</v>
      </c>
      <c r="R1855" s="14" t="s">
        <v>229</v>
      </c>
    </row>
    <row r="1856" spans="1:18" s="14" customFormat="1" x14ac:dyDescent="0.25">
      <c r="A1856" s="14" t="str">
        <f>"96041"</f>
        <v>96041</v>
      </c>
      <c r="B1856" s="14" t="str">
        <f>"03050"</f>
        <v>03050</v>
      </c>
      <c r="C1856" s="14" t="str">
        <f>"2100"</f>
        <v>2100</v>
      </c>
      <c r="D1856" s="14" t="str">
        <f>""</f>
        <v/>
      </c>
      <c r="E1856" s="14" t="s">
        <v>1841</v>
      </c>
      <c r="F1856" s="14" t="s">
        <v>225</v>
      </c>
      <c r="G1856" s="14" t="str">
        <f>""</f>
        <v/>
      </c>
      <c r="H1856" s="14" t="str">
        <f>" 00"</f>
        <v xml:space="preserve"> 00</v>
      </c>
      <c r="I1856" s="14">
        <v>0.01</v>
      </c>
      <c r="J1856" s="14">
        <v>9999999.9900000002</v>
      </c>
      <c r="K1856" s="14" t="s">
        <v>226</v>
      </c>
      <c r="L1856" s="14" t="s">
        <v>227</v>
      </c>
      <c r="P1856" s="14" t="s">
        <v>239</v>
      </c>
      <c r="Q1856" s="14" t="s">
        <v>239</v>
      </c>
      <c r="R1856" s="14" t="s">
        <v>229</v>
      </c>
    </row>
    <row r="1857" spans="1:18" s="14" customFormat="1" x14ac:dyDescent="0.25">
      <c r="A1857" s="14" t="str">
        <f>"96042"</f>
        <v>96042</v>
      </c>
      <c r="B1857" s="14" t="str">
        <f>"03050"</f>
        <v>03050</v>
      </c>
      <c r="C1857" s="14" t="str">
        <f>"2100"</f>
        <v>2100</v>
      </c>
      <c r="D1857" s="14" t="str">
        <f>""</f>
        <v/>
      </c>
      <c r="E1857" s="14" t="s">
        <v>1842</v>
      </c>
      <c r="F1857" s="14" t="s">
        <v>225</v>
      </c>
      <c r="G1857" s="14" t="str">
        <f>""</f>
        <v/>
      </c>
      <c r="H1857" s="14" t="str">
        <f>" 00"</f>
        <v xml:space="preserve"> 00</v>
      </c>
      <c r="I1857" s="14">
        <v>0.01</v>
      </c>
      <c r="J1857" s="14">
        <v>9999999.9900000002</v>
      </c>
      <c r="K1857" s="14" t="s">
        <v>226</v>
      </c>
      <c r="L1857" s="14" t="s">
        <v>227</v>
      </c>
      <c r="P1857" s="14" t="s">
        <v>239</v>
      </c>
      <c r="Q1857" s="14" t="s">
        <v>239</v>
      </c>
      <c r="R1857" s="14" t="s">
        <v>229</v>
      </c>
    </row>
    <row r="1858" spans="1:18" s="14" customFormat="1" x14ac:dyDescent="0.25">
      <c r="A1858" s="14" t="str">
        <f>"96043"</f>
        <v>96043</v>
      </c>
      <c r="B1858" s="14" t="str">
        <f>"03050"</f>
        <v>03050</v>
      </c>
      <c r="C1858" s="14" t="str">
        <f>"2100"</f>
        <v>2100</v>
      </c>
      <c r="D1858" s="14" t="str">
        <f>""</f>
        <v/>
      </c>
      <c r="E1858" s="14" t="s">
        <v>1843</v>
      </c>
      <c r="F1858" s="14" t="s">
        <v>225</v>
      </c>
      <c r="G1858" s="14" t="str">
        <f>""</f>
        <v/>
      </c>
      <c r="H1858" s="14" t="str">
        <f>" 00"</f>
        <v xml:space="preserve"> 00</v>
      </c>
      <c r="I1858" s="14">
        <v>0.01</v>
      </c>
      <c r="J1858" s="14">
        <v>9999999.9900000002</v>
      </c>
      <c r="K1858" s="14" t="s">
        <v>226</v>
      </c>
      <c r="L1858" s="14" t="s">
        <v>227</v>
      </c>
      <c r="P1858" s="14" t="s">
        <v>239</v>
      </c>
      <c r="Q1858" s="14" t="s">
        <v>239</v>
      </c>
      <c r="R1858" s="14" t="s">
        <v>229</v>
      </c>
    </row>
    <row r="1859" spans="1:18" s="14" customFormat="1" x14ac:dyDescent="0.25">
      <c r="A1859" s="14" t="str">
        <f>"96045"</f>
        <v>96045</v>
      </c>
      <c r="B1859" s="14" t="str">
        <f>"03050"</f>
        <v>03050</v>
      </c>
      <c r="C1859" s="14" t="str">
        <f>"2100"</f>
        <v>2100</v>
      </c>
      <c r="D1859" s="14" t="str">
        <f>""</f>
        <v/>
      </c>
      <c r="E1859" s="14" t="s">
        <v>1844</v>
      </c>
      <c r="F1859" s="14" t="s">
        <v>225</v>
      </c>
      <c r="G1859" s="14" t="str">
        <f>""</f>
        <v/>
      </c>
      <c r="H1859" s="14" t="str">
        <f>" 00"</f>
        <v xml:space="preserve"> 00</v>
      </c>
      <c r="I1859" s="14">
        <v>0.01</v>
      </c>
      <c r="J1859" s="14">
        <v>9999999.9900000002</v>
      </c>
      <c r="K1859" s="14" t="s">
        <v>226</v>
      </c>
      <c r="L1859" s="14" t="s">
        <v>227</v>
      </c>
      <c r="P1859" s="14" t="s">
        <v>239</v>
      </c>
      <c r="Q1859" s="14" t="s">
        <v>239</v>
      </c>
      <c r="R1859" s="14" t="s">
        <v>229</v>
      </c>
    </row>
    <row r="1860" spans="1:18" s="14" customFormat="1" x14ac:dyDescent="0.25">
      <c r="A1860" s="14" t="str">
        <f>"96046"</f>
        <v>96046</v>
      </c>
      <c r="B1860" s="14" t="str">
        <f>"03050"</f>
        <v>03050</v>
      </c>
      <c r="C1860" s="14" t="str">
        <f>"2100"</f>
        <v>2100</v>
      </c>
      <c r="D1860" s="14" t="str">
        <f>""</f>
        <v/>
      </c>
      <c r="E1860" s="14" t="s">
        <v>1845</v>
      </c>
      <c r="F1860" s="14" t="s">
        <v>225</v>
      </c>
      <c r="G1860" s="14" t="str">
        <f>""</f>
        <v/>
      </c>
      <c r="H1860" s="14" t="str">
        <f>" 00"</f>
        <v xml:space="preserve"> 00</v>
      </c>
      <c r="I1860" s="14">
        <v>0.01</v>
      </c>
      <c r="J1860" s="14">
        <v>9999999.9900000002</v>
      </c>
      <c r="K1860" s="14" t="s">
        <v>226</v>
      </c>
      <c r="L1860" s="14" t="s">
        <v>227</v>
      </c>
      <c r="P1860" s="14" t="s">
        <v>239</v>
      </c>
      <c r="Q1860" s="14" t="s">
        <v>239</v>
      </c>
      <c r="R1860" s="14" t="s">
        <v>229</v>
      </c>
    </row>
    <row r="1861" spans="1:18" s="14" customFormat="1" x14ac:dyDescent="0.25">
      <c r="A1861" s="14" t="str">
        <f>"96115"</f>
        <v>96115</v>
      </c>
      <c r="B1861" s="14" t="str">
        <f>"03050"</f>
        <v>03050</v>
      </c>
      <c r="C1861" s="14" t="str">
        <f>"2100"</f>
        <v>2100</v>
      </c>
      <c r="D1861" s="14" t="str">
        <f>""</f>
        <v/>
      </c>
      <c r="E1861" s="14" t="s">
        <v>1846</v>
      </c>
      <c r="F1861" s="14" t="s">
        <v>225</v>
      </c>
      <c r="G1861" s="14" t="str">
        <f>""</f>
        <v/>
      </c>
      <c r="H1861" s="14" t="str">
        <f>" 00"</f>
        <v xml:space="preserve"> 00</v>
      </c>
      <c r="I1861" s="14">
        <v>0.01</v>
      </c>
      <c r="J1861" s="14">
        <v>9999999.9900000002</v>
      </c>
      <c r="K1861" s="14" t="s">
        <v>226</v>
      </c>
      <c r="L1861" s="14" t="s">
        <v>227</v>
      </c>
      <c r="P1861" s="14" t="s">
        <v>239</v>
      </c>
      <c r="Q1861" s="14" t="s">
        <v>239</v>
      </c>
      <c r="R1861" s="14" t="s">
        <v>229</v>
      </c>
    </row>
    <row r="1862" spans="1:18" s="14" customFormat="1" x14ac:dyDescent="0.25">
      <c r="A1862" s="14" t="str">
        <f>"96225"</f>
        <v>96225</v>
      </c>
      <c r="B1862" s="14" t="str">
        <f>"03050"</f>
        <v>03050</v>
      </c>
      <c r="C1862" s="14" t="str">
        <f>"2100"</f>
        <v>2100</v>
      </c>
      <c r="D1862" s="14" t="str">
        <f>""</f>
        <v/>
      </c>
      <c r="E1862" s="14" t="s">
        <v>1847</v>
      </c>
      <c r="F1862" s="14" t="s">
        <v>225</v>
      </c>
      <c r="G1862" s="14" t="str">
        <f>""</f>
        <v/>
      </c>
      <c r="H1862" s="14" t="str">
        <f>" 00"</f>
        <v xml:space="preserve"> 00</v>
      </c>
      <c r="I1862" s="14">
        <v>0.01</v>
      </c>
      <c r="J1862" s="14">
        <v>9999999.9900000002</v>
      </c>
      <c r="K1862" s="14" t="s">
        <v>226</v>
      </c>
      <c r="L1862" s="14" t="s">
        <v>227</v>
      </c>
      <c r="P1862" s="14" t="s">
        <v>239</v>
      </c>
      <c r="Q1862" s="14" t="s">
        <v>239</v>
      </c>
      <c r="R1862" s="14" t="s">
        <v>229</v>
      </c>
    </row>
    <row r="1863" spans="1:18" s="14" customFormat="1" x14ac:dyDescent="0.25"/>
    <row r="1864" spans="1:18" s="14" customFormat="1" x14ac:dyDescent="0.25"/>
    <row r="1865" spans="1:18" s="14" customFormat="1" x14ac:dyDescent="0.25"/>
    <row r="1866" spans="1:18" s="14" customFormat="1" x14ac:dyDescent="0.25"/>
    <row r="1867" spans="1:18" s="14" customFormat="1" x14ac:dyDescent="0.25"/>
    <row r="1868" spans="1:18" s="14" customFormat="1" x14ac:dyDescent="0.25"/>
    <row r="1869" spans="1:18" s="14" customFormat="1" x14ac:dyDescent="0.25"/>
    <row r="1870" spans="1:18" s="14" customFormat="1" x14ac:dyDescent="0.25"/>
    <row r="1871" spans="1:18" s="14" customFormat="1" x14ac:dyDescent="0.25"/>
    <row r="1872" spans="1:18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62">
    <sortCondition ref="A3:A186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 xml:space="preserve">&amp;LPage &amp;P of &amp;N&amp;RLast Updated on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32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"84176"</f>
        <v>84176</v>
      </c>
      <c r="B3" s="14" t="str">
        <f>"07020"</f>
        <v>07020</v>
      </c>
      <c r="C3" s="14" t="str">
        <f>"1700"</f>
        <v>1700</v>
      </c>
      <c r="D3" s="14" t="str">
        <f>"84176"</f>
        <v>84176</v>
      </c>
      <c r="E3" s="14" t="s">
        <v>1687</v>
      </c>
      <c r="F3" s="14" t="s">
        <v>1532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418</v>
      </c>
      <c r="P3" s="14" t="s">
        <v>31</v>
      </c>
      <c r="Q3" s="14" t="s">
        <v>31</v>
      </c>
      <c r="R3" s="14" t="s">
        <v>414</v>
      </c>
    </row>
    <row r="4" spans="1:19" s="14" customFormat="1" x14ac:dyDescent="0.25">
      <c r="A4" s="14" t="str">
        <f>"84005"</f>
        <v>84005</v>
      </c>
      <c r="B4" s="14" t="str">
        <f>"07020"</f>
        <v>07020</v>
      </c>
      <c r="C4" s="14" t="str">
        <f>"1700"</f>
        <v>1700</v>
      </c>
      <c r="D4" s="14" t="str">
        <f>"84005"</f>
        <v>84005</v>
      </c>
      <c r="E4" s="14" t="s">
        <v>1535</v>
      </c>
      <c r="F4" s="14" t="s">
        <v>1532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1536</v>
      </c>
      <c r="L4" s="14" t="s">
        <v>789</v>
      </c>
      <c r="M4" s="14" t="s">
        <v>181</v>
      </c>
      <c r="P4" s="14" t="s">
        <v>31</v>
      </c>
      <c r="Q4" s="14" t="s">
        <v>31</v>
      </c>
      <c r="R4" s="14" t="s">
        <v>392</v>
      </c>
    </row>
    <row r="5" spans="1:19" s="14" customFormat="1" x14ac:dyDescent="0.25">
      <c r="A5" s="14" t="str">
        <f>"84054"</f>
        <v>84054</v>
      </c>
      <c r="B5" s="14" t="str">
        <f>"07020"</f>
        <v>07020</v>
      </c>
      <c r="C5" s="14" t="str">
        <f>"1700"</f>
        <v>1700</v>
      </c>
      <c r="D5" s="14" t="str">
        <f>"84054"</f>
        <v>84054</v>
      </c>
      <c r="E5" s="14" t="s">
        <v>1593</v>
      </c>
      <c r="F5" s="14" t="s">
        <v>1532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755</v>
      </c>
      <c r="L5" s="14" t="s">
        <v>751</v>
      </c>
      <c r="M5" s="14" t="s">
        <v>72</v>
      </c>
      <c r="P5" s="14" t="s">
        <v>31</v>
      </c>
      <c r="Q5" s="14" t="s">
        <v>31</v>
      </c>
      <c r="R5" s="14" t="s">
        <v>755</v>
      </c>
    </row>
    <row r="6" spans="1:19" s="14" customFormat="1" x14ac:dyDescent="0.25">
      <c r="A6" s="14" t="str">
        <f>"84061"</f>
        <v>84061</v>
      </c>
      <c r="B6" s="14" t="str">
        <f>"07020"</f>
        <v>07020</v>
      </c>
      <c r="C6" s="14" t="str">
        <f>"1700"</f>
        <v>1700</v>
      </c>
      <c r="D6" s="14" t="str">
        <f>"84061"</f>
        <v>84061</v>
      </c>
      <c r="E6" s="14" t="s">
        <v>1603</v>
      </c>
      <c r="F6" s="14" t="s">
        <v>1532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141</v>
      </c>
      <c r="L6" s="14" t="s">
        <v>71</v>
      </c>
      <c r="M6" s="14" t="s">
        <v>72</v>
      </c>
      <c r="P6" s="14" t="s">
        <v>31</v>
      </c>
      <c r="Q6" s="14" t="s">
        <v>31</v>
      </c>
      <c r="R6" s="14" t="s">
        <v>141</v>
      </c>
    </row>
    <row r="7" spans="1:19" s="14" customFormat="1" x14ac:dyDescent="0.25">
      <c r="A7" s="14" t="str">
        <f>"84226"</f>
        <v>84226</v>
      </c>
      <c r="B7" s="14" t="str">
        <f>"07020"</f>
        <v>07020</v>
      </c>
      <c r="C7" s="14" t="str">
        <f>"1700"</f>
        <v>1700</v>
      </c>
      <c r="D7" s="14" t="str">
        <f>"84226"</f>
        <v>84226</v>
      </c>
      <c r="E7" s="14" t="s">
        <v>1733</v>
      </c>
      <c r="F7" s="14" t="s">
        <v>1532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1734</v>
      </c>
      <c r="L7" s="14" t="s">
        <v>392</v>
      </c>
      <c r="M7" s="14" t="s">
        <v>72</v>
      </c>
      <c r="P7" s="14" t="s">
        <v>31</v>
      </c>
      <c r="Q7" s="14" t="s">
        <v>31</v>
      </c>
      <c r="R7" s="14" t="s">
        <v>1735</v>
      </c>
    </row>
    <row r="8" spans="1:19" s="14" customFormat="1" x14ac:dyDescent="0.25">
      <c r="A8" s="14" t="str">
        <f>"84020"</f>
        <v>84020</v>
      </c>
      <c r="B8" s="14" t="str">
        <f>"07020"</f>
        <v>07020</v>
      </c>
      <c r="C8" s="14" t="str">
        <f>"1700"</f>
        <v>1700</v>
      </c>
      <c r="D8" s="14" t="str">
        <f>"84020"</f>
        <v>84020</v>
      </c>
      <c r="E8" s="14" t="s">
        <v>1557</v>
      </c>
      <c r="F8" s="14" t="s">
        <v>1532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1558</v>
      </c>
      <c r="L8" s="14" t="s">
        <v>113</v>
      </c>
      <c r="P8" s="14" t="s">
        <v>31</v>
      </c>
      <c r="Q8" s="14" t="s">
        <v>31</v>
      </c>
      <c r="R8" s="14" t="s">
        <v>1558</v>
      </c>
    </row>
    <row r="9" spans="1:19" s="14" customFormat="1" x14ac:dyDescent="0.25">
      <c r="A9" s="14" t="str">
        <f>"84191"</f>
        <v>84191</v>
      </c>
      <c r="B9" s="14" t="str">
        <f>"07020"</f>
        <v>07020</v>
      </c>
      <c r="C9" s="14" t="str">
        <f>"1700"</f>
        <v>1700</v>
      </c>
      <c r="D9" s="14" t="str">
        <f>"84191"</f>
        <v>84191</v>
      </c>
      <c r="E9" s="14" t="s">
        <v>1696</v>
      </c>
      <c r="F9" s="14" t="s">
        <v>1532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1697</v>
      </c>
      <c r="L9" s="14" t="s">
        <v>1698</v>
      </c>
      <c r="P9" s="14" t="s">
        <v>31</v>
      </c>
      <c r="Q9" s="14" t="s">
        <v>31</v>
      </c>
      <c r="R9" s="14" t="s">
        <v>392</v>
      </c>
    </row>
    <row r="10" spans="1:19" s="14" customFormat="1" x14ac:dyDescent="0.25">
      <c r="A10" s="14" t="str">
        <f>"84250"</f>
        <v>84250</v>
      </c>
      <c r="B10" s="14" t="str">
        <f>"07020"</f>
        <v>07020</v>
      </c>
      <c r="C10" s="14" t="str">
        <f>"1700"</f>
        <v>1700</v>
      </c>
      <c r="D10" s="14" t="str">
        <f>"84250"</f>
        <v>84250</v>
      </c>
      <c r="E10" s="14" t="s">
        <v>1768</v>
      </c>
      <c r="F10" s="14" t="s">
        <v>1532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1697</v>
      </c>
      <c r="L10" s="14" t="s">
        <v>1698</v>
      </c>
      <c r="P10" s="14" t="s">
        <v>31</v>
      </c>
      <c r="Q10" s="14" t="s">
        <v>25</v>
      </c>
      <c r="R10" s="14" t="s">
        <v>392</v>
      </c>
    </row>
    <row r="11" spans="1:19" s="14" customFormat="1" x14ac:dyDescent="0.25">
      <c r="A11" s="14" t="str">
        <f>"84079"</f>
        <v>84079</v>
      </c>
      <c r="B11" s="14" t="str">
        <f>"07020"</f>
        <v>07020</v>
      </c>
      <c r="C11" s="14" t="str">
        <f>"1700"</f>
        <v>1700</v>
      </c>
      <c r="D11" s="14" t="str">
        <f>"84079"</f>
        <v>84079</v>
      </c>
      <c r="E11" s="14" t="s">
        <v>1616</v>
      </c>
      <c r="F11" s="14" t="s">
        <v>1532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1540</v>
      </c>
      <c r="L11" s="14" t="s">
        <v>1617</v>
      </c>
      <c r="M11" s="14" t="s">
        <v>72</v>
      </c>
      <c r="P11" s="14" t="s">
        <v>31</v>
      </c>
      <c r="Q11" s="14" t="s">
        <v>31</v>
      </c>
      <c r="R11" s="14" t="s">
        <v>1540</v>
      </c>
    </row>
    <row r="12" spans="1:19" s="14" customFormat="1" x14ac:dyDescent="0.25">
      <c r="A12" s="14" t="str">
        <f>"84122"</f>
        <v>84122</v>
      </c>
      <c r="B12" s="14" t="str">
        <f>"07020"</f>
        <v>07020</v>
      </c>
      <c r="C12" s="14" t="str">
        <f>"1700"</f>
        <v>1700</v>
      </c>
      <c r="D12" s="14" t="str">
        <f>"84122"</f>
        <v>84122</v>
      </c>
      <c r="E12" s="14" t="s">
        <v>1658</v>
      </c>
      <c r="F12" s="14" t="s">
        <v>1532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1540</v>
      </c>
      <c r="L12" s="14" t="s">
        <v>70</v>
      </c>
      <c r="M12" s="14" t="s">
        <v>72</v>
      </c>
      <c r="P12" s="14" t="s">
        <v>31</v>
      </c>
      <c r="Q12" s="14" t="s">
        <v>31</v>
      </c>
      <c r="R12" s="14" t="s">
        <v>1540</v>
      </c>
    </row>
    <row r="13" spans="1:19" s="14" customFormat="1" x14ac:dyDescent="0.25">
      <c r="A13" s="14" t="str">
        <f>"10001"</f>
        <v>10001</v>
      </c>
      <c r="B13" s="14" t="str">
        <f>"05030"</f>
        <v>05030</v>
      </c>
      <c r="C13" s="14" t="str">
        <f>"1700"</f>
        <v>1700</v>
      </c>
      <c r="D13" s="14" t="str">
        <f>"05030"</f>
        <v>05030</v>
      </c>
      <c r="E13" s="14" t="s">
        <v>20</v>
      </c>
      <c r="F13" s="14" t="s">
        <v>378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377</v>
      </c>
      <c r="L13" s="14" t="s">
        <v>47</v>
      </c>
      <c r="M13" s="14" t="s">
        <v>370</v>
      </c>
      <c r="P13" s="14" t="s">
        <v>31</v>
      </c>
      <c r="Q13" s="14" t="s">
        <v>25</v>
      </c>
      <c r="R13" s="14" t="s">
        <v>379</v>
      </c>
    </row>
    <row r="14" spans="1:19" s="14" customFormat="1" x14ac:dyDescent="0.25">
      <c r="A14" s="14" t="str">
        <f>"16004"</f>
        <v>16004</v>
      </c>
      <c r="B14" s="14" t="str">
        <f>"05030"</f>
        <v>05030</v>
      </c>
      <c r="C14" s="14" t="str">
        <f>"1700"</f>
        <v>1700</v>
      </c>
      <c r="D14" s="14" t="str">
        <f>"16004"</f>
        <v>16004</v>
      </c>
      <c r="E14" s="14" t="s">
        <v>523</v>
      </c>
      <c r="F14" s="14" t="s">
        <v>378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377</v>
      </c>
      <c r="L14" s="14" t="s">
        <v>47</v>
      </c>
      <c r="M14" s="14" t="s">
        <v>370</v>
      </c>
      <c r="P14" s="14" t="s">
        <v>31</v>
      </c>
      <c r="Q14" s="14" t="s">
        <v>25</v>
      </c>
      <c r="R14" s="14" t="s">
        <v>379</v>
      </c>
    </row>
    <row r="15" spans="1:19" s="14" customFormat="1" x14ac:dyDescent="0.25">
      <c r="A15" s="14" t="str">
        <f>"16012"</f>
        <v>16012</v>
      </c>
      <c r="B15" s="14" t="str">
        <f>"05030"</f>
        <v>05030</v>
      </c>
      <c r="C15" s="14" t="str">
        <f>"1700"</f>
        <v>1700</v>
      </c>
      <c r="D15" s="14" t="str">
        <f>"16012"</f>
        <v>16012</v>
      </c>
      <c r="E15" s="14" t="s">
        <v>531</v>
      </c>
      <c r="F15" s="14" t="s">
        <v>378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377</v>
      </c>
      <c r="L15" s="14" t="s">
        <v>47</v>
      </c>
      <c r="M15" s="14" t="s">
        <v>370</v>
      </c>
      <c r="P15" s="14" t="s">
        <v>31</v>
      </c>
      <c r="Q15" s="14" t="s">
        <v>25</v>
      </c>
      <c r="R15" s="14" t="s">
        <v>532</v>
      </c>
    </row>
    <row r="16" spans="1:19" s="14" customFormat="1" x14ac:dyDescent="0.25">
      <c r="A16" s="14" t="str">
        <f>"18613"</f>
        <v>18613</v>
      </c>
      <c r="B16" s="14" t="str">
        <f>"05030"</f>
        <v>05030</v>
      </c>
      <c r="C16" s="14" t="str">
        <f>"1800"</f>
        <v>1800</v>
      </c>
      <c r="D16" s="14" t="str">
        <f>"18613"</f>
        <v>18613</v>
      </c>
      <c r="E16" s="14" t="s">
        <v>746</v>
      </c>
      <c r="F16" s="14" t="s">
        <v>378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377</v>
      </c>
      <c r="L16" s="14" t="s">
        <v>379</v>
      </c>
      <c r="P16" s="14" t="s">
        <v>31</v>
      </c>
      <c r="Q16" s="14" t="s">
        <v>25</v>
      </c>
      <c r="R16" s="14" t="s">
        <v>377</v>
      </c>
    </row>
    <row r="17" spans="1:18" s="14" customFormat="1" x14ac:dyDescent="0.25">
      <c r="A17" s="14" t="str">
        <f>"85057"</f>
        <v>85057</v>
      </c>
      <c r="B17" s="14" t="str">
        <f>"07030"</f>
        <v>07030</v>
      </c>
      <c r="C17" s="14" t="str">
        <f>"8000"</f>
        <v>8000</v>
      </c>
      <c r="D17" s="14" t="str">
        <f>"85057"</f>
        <v>85057</v>
      </c>
      <c r="E17" s="14" t="s">
        <v>1784</v>
      </c>
      <c r="F17" s="14" t="s">
        <v>1776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377</v>
      </c>
      <c r="L17" s="14" t="s">
        <v>47</v>
      </c>
      <c r="P17" s="14" t="s">
        <v>31</v>
      </c>
      <c r="Q17" s="14" t="s">
        <v>31</v>
      </c>
      <c r="R17" s="14" t="s">
        <v>379</v>
      </c>
    </row>
    <row r="18" spans="1:18" s="14" customFormat="1" x14ac:dyDescent="0.25">
      <c r="A18" s="14" t="str">
        <f>"10001"</f>
        <v>10001</v>
      </c>
      <c r="B18" s="14" t="str">
        <f>"00100"</f>
        <v>00100</v>
      </c>
      <c r="C18" s="14" t="str">
        <f>"1400"</f>
        <v>1400</v>
      </c>
      <c r="D18" s="14" t="str">
        <f>"00100"</f>
        <v>00100</v>
      </c>
      <c r="E18" s="14" t="s">
        <v>20</v>
      </c>
      <c r="F18" s="14" t="s">
        <v>21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22</v>
      </c>
      <c r="L18" s="14" t="s">
        <v>23</v>
      </c>
      <c r="P18" s="14" t="s">
        <v>24</v>
      </c>
      <c r="Q18" s="14" t="s">
        <v>25</v>
      </c>
      <c r="R18" s="14" t="s">
        <v>23</v>
      </c>
    </row>
    <row r="19" spans="1:18" s="14" customFormat="1" x14ac:dyDescent="0.25">
      <c r="A19" s="14" t="str">
        <f>"18128"</f>
        <v>18128</v>
      </c>
      <c r="B19" s="14" t="str">
        <f>"00100"</f>
        <v>00100</v>
      </c>
      <c r="C19" s="14" t="str">
        <f>"1400"</f>
        <v>1400</v>
      </c>
      <c r="D19" s="14" t="str">
        <f>"18128"</f>
        <v>18128</v>
      </c>
      <c r="E19" s="14" t="s">
        <v>693</v>
      </c>
      <c r="F19" s="14" t="s">
        <v>21</v>
      </c>
      <c r="G19" s="14" t="str">
        <f>""</f>
        <v/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22</v>
      </c>
      <c r="L19" s="14" t="s">
        <v>23</v>
      </c>
      <c r="P19" s="14" t="s">
        <v>239</v>
      </c>
      <c r="Q19" s="14" t="s">
        <v>25</v>
      </c>
      <c r="R19" s="14" t="s">
        <v>23</v>
      </c>
    </row>
    <row r="20" spans="1:18" s="14" customFormat="1" x14ac:dyDescent="0.25">
      <c r="A20" s="14" t="str">
        <f>"84036"</f>
        <v>84036</v>
      </c>
      <c r="B20" s="14" t="str">
        <f>"07020"</f>
        <v>07020</v>
      </c>
      <c r="C20" s="14" t="str">
        <f>"1700"</f>
        <v>1700</v>
      </c>
      <c r="D20" s="14" t="str">
        <f>"84036"</f>
        <v>84036</v>
      </c>
      <c r="E20" s="14" t="s">
        <v>1578</v>
      </c>
      <c r="F20" s="14" t="s">
        <v>1532</v>
      </c>
      <c r="G20" s="14" t="str">
        <f>""</f>
        <v/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1579</v>
      </c>
      <c r="L20" s="14" t="s">
        <v>824</v>
      </c>
      <c r="M20" s="14" t="s">
        <v>72</v>
      </c>
      <c r="P20" s="14" t="s">
        <v>31</v>
      </c>
      <c r="Q20" s="14" t="s">
        <v>31</v>
      </c>
      <c r="R20" s="14" t="s">
        <v>1579</v>
      </c>
    </row>
    <row r="21" spans="1:18" s="14" customFormat="1" x14ac:dyDescent="0.25">
      <c r="A21" s="14" t="str">
        <f>"10001"</f>
        <v>10001</v>
      </c>
      <c r="B21" s="14" t="str">
        <f>"00162"</f>
        <v>00162</v>
      </c>
      <c r="C21" s="14" t="str">
        <f>"1400"</f>
        <v>1400</v>
      </c>
      <c r="D21" s="14" t="str">
        <f>"00162"</f>
        <v>00162</v>
      </c>
      <c r="E21" s="14" t="s">
        <v>20</v>
      </c>
      <c r="F21" s="14" t="s">
        <v>36</v>
      </c>
      <c r="G21" s="14" t="str">
        <f>""</f>
        <v/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37</v>
      </c>
      <c r="L21" s="14" t="s">
        <v>38</v>
      </c>
      <c r="P21" s="14" t="s">
        <v>39</v>
      </c>
      <c r="Q21" s="14" t="s">
        <v>25</v>
      </c>
      <c r="R21" s="14" t="s">
        <v>38</v>
      </c>
    </row>
    <row r="22" spans="1:18" s="14" customFormat="1" x14ac:dyDescent="0.25">
      <c r="A22" s="14" t="str">
        <f>"10001"</f>
        <v>10001</v>
      </c>
      <c r="B22" s="14" t="str">
        <f>"01000"</f>
        <v>01000</v>
      </c>
      <c r="C22" s="14" t="str">
        <f>"1400"</f>
        <v>1400</v>
      </c>
      <c r="D22" s="14" t="str">
        <f>"01000"</f>
        <v>01000</v>
      </c>
      <c r="E22" s="14" t="s">
        <v>20</v>
      </c>
      <c r="F22" s="14" t="s">
        <v>44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37</v>
      </c>
      <c r="L22" s="14" t="s">
        <v>38</v>
      </c>
      <c r="P22" s="14" t="s">
        <v>39</v>
      </c>
      <c r="Q22" s="14" t="s">
        <v>25</v>
      </c>
      <c r="R22" s="14" t="s">
        <v>45</v>
      </c>
    </row>
    <row r="23" spans="1:18" s="14" customFormat="1" x14ac:dyDescent="0.25">
      <c r="A23" s="14" t="str">
        <f>"10001"</f>
        <v>10001</v>
      </c>
      <c r="B23" s="14" t="str">
        <f>"01010"</f>
        <v>01010</v>
      </c>
      <c r="C23" s="14" t="str">
        <f>"1400"</f>
        <v>1400</v>
      </c>
      <c r="D23" s="14" t="str">
        <f>"01010"</f>
        <v>01010</v>
      </c>
      <c r="E23" s="14" t="s">
        <v>20</v>
      </c>
      <c r="F23" s="14" t="s">
        <v>51</v>
      </c>
      <c r="G23" s="14" t="str">
        <f>""</f>
        <v/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37</v>
      </c>
      <c r="L23" s="14" t="s">
        <v>34</v>
      </c>
      <c r="P23" s="14" t="s">
        <v>39</v>
      </c>
      <c r="Q23" s="14" t="s">
        <v>25</v>
      </c>
      <c r="R23" s="14" t="s">
        <v>38</v>
      </c>
    </row>
    <row r="24" spans="1:18" s="14" customFormat="1" x14ac:dyDescent="0.25">
      <c r="A24" s="14" t="str">
        <f>"10001"</f>
        <v>10001</v>
      </c>
      <c r="B24" s="14" t="str">
        <f>"01080"</f>
        <v>01080</v>
      </c>
      <c r="C24" s="14" t="str">
        <f>"1700"</f>
        <v>1700</v>
      </c>
      <c r="D24" s="14" t="str">
        <f>"01080"</f>
        <v>01080</v>
      </c>
      <c r="E24" s="14" t="s">
        <v>20</v>
      </c>
      <c r="F24" s="14" t="s">
        <v>61</v>
      </c>
      <c r="G24" s="14" t="str">
        <f>""</f>
        <v/>
      </c>
      <c r="H24" s="14" t="str">
        <f>" 00"</f>
        <v xml:space="preserve"> 00</v>
      </c>
      <c r="I24" s="14">
        <v>0.01</v>
      </c>
      <c r="J24" s="14">
        <v>9999999.9900000002</v>
      </c>
      <c r="K24" s="14" t="s">
        <v>37</v>
      </c>
      <c r="L24" s="14" t="s">
        <v>50</v>
      </c>
      <c r="P24" s="14" t="s">
        <v>31</v>
      </c>
      <c r="Q24" s="14" t="s">
        <v>25</v>
      </c>
      <c r="R24" s="14" t="s">
        <v>38</v>
      </c>
    </row>
    <row r="25" spans="1:18" s="14" customFormat="1" x14ac:dyDescent="0.25">
      <c r="A25" s="14" t="str">
        <f>"10001"</f>
        <v>10001</v>
      </c>
      <c r="B25" s="14" t="str">
        <f>"01242"</f>
        <v>01242</v>
      </c>
      <c r="C25" s="14" t="str">
        <f>"1300"</f>
        <v>1300</v>
      </c>
      <c r="D25" s="14" t="str">
        <f>"01242"</f>
        <v>01242</v>
      </c>
      <c r="E25" s="14" t="s">
        <v>20</v>
      </c>
      <c r="F25" s="14" t="s">
        <v>85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37</v>
      </c>
      <c r="L25" s="14" t="s">
        <v>34</v>
      </c>
      <c r="P25" s="14" t="s">
        <v>39</v>
      </c>
      <c r="Q25" s="14" t="s">
        <v>25</v>
      </c>
      <c r="R25" s="14" t="s">
        <v>38</v>
      </c>
    </row>
    <row r="26" spans="1:18" s="14" customFormat="1" x14ac:dyDescent="0.25">
      <c r="A26" s="14" t="str">
        <f>"10001"</f>
        <v>10001</v>
      </c>
      <c r="B26" s="14" t="str">
        <f>"01250"</f>
        <v>01250</v>
      </c>
      <c r="C26" s="14" t="str">
        <f>"1300"</f>
        <v>1300</v>
      </c>
      <c r="D26" s="14" t="str">
        <f>"01250"</f>
        <v>01250</v>
      </c>
      <c r="E26" s="14" t="s">
        <v>20</v>
      </c>
      <c r="F26" s="14" t="s">
        <v>86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37</v>
      </c>
      <c r="L26" s="14" t="s">
        <v>601</v>
      </c>
      <c r="P26" s="14" t="s">
        <v>39</v>
      </c>
      <c r="Q26" s="14" t="s">
        <v>25</v>
      </c>
      <c r="R26" s="14" t="s">
        <v>38</v>
      </c>
    </row>
    <row r="27" spans="1:18" s="14" customFormat="1" x14ac:dyDescent="0.25">
      <c r="A27" s="14" t="str">
        <f>"10001"</f>
        <v>10001</v>
      </c>
      <c r="B27" s="14" t="str">
        <f>"01285"</f>
        <v>01285</v>
      </c>
      <c r="C27" s="14" t="str">
        <f>"1700"</f>
        <v>1700</v>
      </c>
      <c r="D27" s="14" t="str">
        <f>"01285"</f>
        <v>01285</v>
      </c>
      <c r="E27" s="14" t="s">
        <v>20</v>
      </c>
      <c r="F27" s="14" t="s">
        <v>92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37</v>
      </c>
      <c r="L27" s="14" t="s">
        <v>93</v>
      </c>
      <c r="P27" s="14" t="s">
        <v>39</v>
      </c>
      <c r="Q27" s="14" t="s">
        <v>25</v>
      </c>
      <c r="R27" s="14" t="s">
        <v>94</v>
      </c>
    </row>
    <row r="28" spans="1:18" s="14" customFormat="1" x14ac:dyDescent="0.25">
      <c r="A28" s="14" t="str">
        <f>"10001"</f>
        <v>10001</v>
      </c>
      <c r="B28" s="14" t="str">
        <f>"05140"</f>
        <v>05140</v>
      </c>
      <c r="C28" s="14" t="str">
        <f>"1700"</f>
        <v>1700</v>
      </c>
      <c r="D28" s="14" t="str">
        <f>"05140"</f>
        <v>05140</v>
      </c>
      <c r="E28" s="14" t="s">
        <v>20</v>
      </c>
      <c r="F28" s="14" t="s">
        <v>400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37</v>
      </c>
      <c r="L28" s="14" t="s">
        <v>34</v>
      </c>
      <c r="P28" s="14" t="s">
        <v>39</v>
      </c>
      <c r="Q28" s="14" t="s">
        <v>25</v>
      </c>
      <c r="R28" s="14" t="s">
        <v>401</v>
      </c>
    </row>
    <row r="29" spans="1:18" s="14" customFormat="1" x14ac:dyDescent="0.25">
      <c r="A29" s="14" t="str">
        <f>"11011"</f>
        <v>11011</v>
      </c>
      <c r="B29" s="14" t="str">
        <f>"05140"</f>
        <v>05140</v>
      </c>
      <c r="C29" s="14" t="str">
        <f>"1700"</f>
        <v>1700</v>
      </c>
      <c r="D29" s="14" t="str">
        <f>""</f>
        <v/>
      </c>
      <c r="E29" s="14" t="s">
        <v>446</v>
      </c>
      <c r="F29" s="14" t="s">
        <v>400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37</v>
      </c>
      <c r="L29" s="14" t="s">
        <v>34</v>
      </c>
      <c r="P29" s="14" t="s">
        <v>25</v>
      </c>
      <c r="Q29" s="14" t="s">
        <v>25</v>
      </c>
      <c r="R29" s="14" t="s">
        <v>401</v>
      </c>
    </row>
    <row r="30" spans="1:18" s="14" customFormat="1" x14ac:dyDescent="0.25">
      <c r="A30" s="14" t="str">
        <f>"11025"</f>
        <v>11025</v>
      </c>
      <c r="B30" s="14" t="str">
        <f>"01000"</f>
        <v>01000</v>
      </c>
      <c r="C30" s="14" t="str">
        <f>"1400"</f>
        <v>1400</v>
      </c>
      <c r="D30" s="14" t="str">
        <f>""</f>
        <v/>
      </c>
      <c r="E30" s="14" t="s">
        <v>459</v>
      </c>
      <c r="F30" s="14" t="s">
        <v>44</v>
      </c>
      <c r="G30" s="14" t="str">
        <f>""</f>
        <v/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37</v>
      </c>
      <c r="L30" s="14" t="s">
        <v>34</v>
      </c>
      <c r="P30" s="14" t="s">
        <v>25</v>
      </c>
      <c r="Q30" s="14" t="s">
        <v>25</v>
      </c>
      <c r="R30" s="14" t="s">
        <v>38</v>
      </c>
    </row>
    <row r="31" spans="1:18" s="14" customFormat="1" x14ac:dyDescent="0.25">
      <c r="A31" s="14" t="str">
        <f>"11028"</f>
        <v>11028</v>
      </c>
      <c r="B31" s="14" t="str">
        <f>"01035"</f>
        <v>01035</v>
      </c>
      <c r="C31" s="14" t="str">
        <f>"1600"</f>
        <v>1600</v>
      </c>
      <c r="D31" s="14" t="str">
        <f>""</f>
        <v/>
      </c>
      <c r="E31" s="14" t="s">
        <v>462</v>
      </c>
      <c r="F31" s="14" t="s">
        <v>56</v>
      </c>
      <c r="G31" s="14" t="str">
        <f>""</f>
        <v/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37</v>
      </c>
      <c r="L31" s="14" t="s">
        <v>34</v>
      </c>
      <c r="P31" s="14" t="s">
        <v>25</v>
      </c>
      <c r="Q31" s="14" t="s">
        <v>25</v>
      </c>
      <c r="R31" s="14" t="s">
        <v>38</v>
      </c>
    </row>
    <row r="32" spans="1:18" s="14" customFormat="1" x14ac:dyDescent="0.25">
      <c r="A32" s="14" t="str">
        <f>"11029"</f>
        <v>11029</v>
      </c>
      <c r="B32" s="14" t="str">
        <f>"01000"</f>
        <v>01000</v>
      </c>
      <c r="C32" s="14" t="str">
        <f>"1400"</f>
        <v>1400</v>
      </c>
      <c r="D32" s="14" t="str">
        <f>""</f>
        <v/>
      </c>
      <c r="E32" s="14" t="s">
        <v>463</v>
      </c>
      <c r="F32" s="14" t="s">
        <v>44</v>
      </c>
      <c r="G32" s="14" t="str">
        <f>""</f>
        <v/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37</v>
      </c>
      <c r="L32" s="14" t="s">
        <v>34</v>
      </c>
      <c r="P32" s="14" t="s">
        <v>25</v>
      </c>
      <c r="Q32" s="14" t="s">
        <v>25</v>
      </c>
      <c r="R32" s="14" t="s">
        <v>38</v>
      </c>
    </row>
    <row r="33" spans="1:18" s="14" customFormat="1" x14ac:dyDescent="0.25">
      <c r="A33" s="14" t="str">
        <f>"11030"</f>
        <v>11030</v>
      </c>
      <c r="B33" s="14" t="str">
        <f>"01780"</f>
        <v>01780</v>
      </c>
      <c r="C33" s="14" t="str">
        <f>"1300"</f>
        <v>1300</v>
      </c>
      <c r="D33" s="14" t="str">
        <f>""</f>
        <v/>
      </c>
      <c r="E33" s="14" t="s">
        <v>464</v>
      </c>
      <c r="F33" s="14" t="s">
        <v>175</v>
      </c>
      <c r="G33" s="14" t="str">
        <f>""</f>
        <v/>
      </c>
      <c r="H33" s="14" t="str">
        <f>" 00"</f>
        <v xml:space="preserve"> 00</v>
      </c>
      <c r="I33" s="14">
        <v>0.01</v>
      </c>
      <c r="J33" s="14">
        <v>9999999.9900000002</v>
      </c>
      <c r="K33" s="14" t="s">
        <v>37</v>
      </c>
      <c r="L33" s="14" t="s">
        <v>181</v>
      </c>
      <c r="M33" s="14" t="s">
        <v>113</v>
      </c>
      <c r="P33" s="14" t="s">
        <v>25</v>
      </c>
      <c r="Q33" s="14" t="s">
        <v>25</v>
      </c>
      <c r="R33" s="14" t="s">
        <v>115</v>
      </c>
    </row>
    <row r="34" spans="1:18" s="14" customFormat="1" x14ac:dyDescent="0.25">
      <c r="A34" s="14" t="str">
        <f>"11038"</f>
        <v>11038</v>
      </c>
      <c r="B34" s="14" t="str">
        <f>"01180"</f>
        <v>01180</v>
      </c>
      <c r="C34" s="14" t="str">
        <f>"1100"</f>
        <v>1100</v>
      </c>
      <c r="D34" s="14" t="str">
        <f>""</f>
        <v/>
      </c>
      <c r="E34" s="14" t="s">
        <v>472</v>
      </c>
      <c r="F34" s="14" t="s">
        <v>65</v>
      </c>
      <c r="G34" s="14" t="str">
        <f>""</f>
        <v/>
      </c>
      <c r="H34" s="14" t="str">
        <f>" 00"</f>
        <v xml:space="preserve"> 00</v>
      </c>
      <c r="I34" s="14">
        <v>0.01</v>
      </c>
      <c r="J34" s="14">
        <v>9999999.9900000002</v>
      </c>
      <c r="K34" s="14" t="s">
        <v>37</v>
      </c>
      <c r="L34" s="14" t="s">
        <v>34</v>
      </c>
      <c r="P34" s="14" t="s">
        <v>25</v>
      </c>
      <c r="Q34" s="14" t="s">
        <v>25</v>
      </c>
      <c r="R34" s="14" t="s">
        <v>38</v>
      </c>
    </row>
    <row r="35" spans="1:18" s="14" customFormat="1" x14ac:dyDescent="0.25">
      <c r="A35" s="14" t="str">
        <f>"15004"</f>
        <v>15004</v>
      </c>
      <c r="B35" s="14" t="str">
        <f>"03769"</f>
        <v>03769</v>
      </c>
      <c r="C35" s="14" t="str">
        <f>"1700"</f>
        <v>1700</v>
      </c>
      <c r="D35" s="14" t="str">
        <f>""</f>
        <v/>
      </c>
      <c r="E35" s="14" t="s">
        <v>515</v>
      </c>
      <c r="F35" s="14" t="s">
        <v>509</v>
      </c>
      <c r="G35" s="14" t="str">
        <f>""</f>
        <v/>
      </c>
      <c r="H35" s="14" t="str">
        <f>" 00"</f>
        <v xml:space="preserve"> 00</v>
      </c>
      <c r="I35" s="14">
        <v>0.01</v>
      </c>
      <c r="J35" s="14">
        <v>9999999.9900000002</v>
      </c>
      <c r="K35" s="14" t="s">
        <v>37</v>
      </c>
      <c r="L35" s="14" t="s">
        <v>38</v>
      </c>
      <c r="P35" s="14" t="s">
        <v>260</v>
      </c>
      <c r="Q35" s="14" t="s">
        <v>25</v>
      </c>
      <c r="R35" s="14" t="s">
        <v>38</v>
      </c>
    </row>
    <row r="36" spans="1:18" s="14" customFormat="1" x14ac:dyDescent="0.25">
      <c r="A36" s="14" t="str">
        <f>"16021"</f>
        <v>16021</v>
      </c>
      <c r="B36" s="14" t="str">
        <f>"05140"</f>
        <v>05140</v>
      </c>
      <c r="C36" s="14" t="str">
        <f>"1700"</f>
        <v>1700</v>
      </c>
      <c r="D36" s="14" t="str">
        <f>"05140A"</f>
        <v>05140A</v>
      </c>
      <c r="E36" s="14" t="s">
        <v>541</v>
      </c>
      <c r="F36" s="14" t="s">
        <v>400</v>
      </c>
      <c r="G36" s="14" t="str">
        <f>""</f>
        <v/>
      </c>
      <c r="H36" s="14" t="str">
        <f>" 00"</f>
        <v xml:space="preserve"> 00</v>
      </c>
      <c r="I36" s="14">
        <v>0.01</v>
      </c>
      <c r="J36" s="14">
        <v>9999999.9900000002</v>
      </c>
      <c r="K36" s="14" t="s">
        <v>37</v>
      </c>
      <c r="L36" s="14" t="s">
        <v>34</v>
      </c>
      <c r="P36" s="14" t="s">
        <v>39</v>
      </c>
      <c r="Q36" s="14" t="s">
        <v>25</v>
      </c>
      <c r="R36" s="14" t="s">
        <v>401</v>
      </c>
    </row>
    <row r="37" spans="1:18" s="14" customFormat="1" x14ac:dyDescent="0.25">
      <c r="A37" s="14" t="str">
        <f>"16021"</f>
        <v>16021</v>
      </c>
      <c r="B37" s="14" t="str">
        <f>"05141"</f>
        <v>05141</v>
      </c>
      <c r="C37" s="14" t="str">
        <f>"1700"</f>
        <v>1700</v>
      </c>
      <c r="D37" s="14" t="str">
        <f>"05141"</f>
        <v>05141</v>
      </c>
      <c r="E37" s="14" t="s">
        <v>541</v>
      </c>
      <c r="F37" s="14" t="s">
        <v>542</v>
      </c>
      <c r="G37" s="14" t="str">
        <f>""</f>
        <v/>
      </c>
      <c r="H37" s="14" t="str">
        <f>" 00"</f>
        <v xml:space="preserve"> 00</v>
      </c>
      <c r="I37" s="14">
        <v>0.01</v>
      </c>
      <c r="J37" s="14">
        <v>9999999.9900000002</v>
      </c>
      <c r="K37" s="14" t="s">
        <v>37</v>
      </c>
      <c r="L37" s="14" t="s">
        <v>34</v>
      </c>
      <c r="P37" s="14" t="s">
        <v>39</v>
      </c>
      <c r="Q37" s="14" t="s">
        <v>25</v>
      </c>
      <c r="R37" s="14" t="s">
        <v>401</v>
      </c>
    </row>
    <row r="38" spans="1:18" s="14" customFormat="1" x14ac:dyDescent="0.25">
      <c r="A38" s="14" t="str">
        <f>"16021"</f>
        <v>16021</v>
      </c>
      <c r="B38" s="14" t="str">
        <f>"05143"</f>
        <v>05143</v>
      </c>
      <c r="C38" s="14" t="str">
        <f>"1700"</f>
        <v>1700</v>
      </c>
      <c r="D38" s="14" t="str">
        <f>"05143"</f>
        <v>05143</v>
      </c>
      <c r="E38" s="14" t="s">
        <v>541</v>
      </c>
      <c r="F38" s="14" t="s">
        <v>543</v>
      </c>
      <c r="G38" s="14" t="str">
        <f>""</f>
        <v/>
      </c>
      <c r="H38" s="14" t="str">
        <f>" 00"</f>
        <v xml:space="preserve"> 00</v>
      </c>
      <c r="I38" s="14">
        <v>0.01</v>
      </c>
      <c r="J38" s="14">
        <v>9999999.9900000002</v>
      </c>
      <c r="K38" s="14" t="s">
        <v>37</v>
      </c>
      <c r="L38" s="14" t="s">
        <v>34</v>
      </c>
      <c r="P38" s="14" t="s">
        <v>39</v>
      </c>
      <c r="Q38" s="14" t="s">
        <v>25</v>
      </c>
      <c r="R38" s="14" t="s">
        <v>401</v>
      </c>
    </row>
    <row r="39" spans="1:18" s="14" customFormat="1" x14ac:dyDescent="0.25">
      <c r="A39" s="14" t="str">
        <f>"16021"</f>
        <v>16021</v>
      </c>
      <c r="B39" s="14" t="str">
        <f>"05144"</f>
        <v>05144</v>
      </c>
      <c r="C39" s="14" t="str">
        <f>"1700"</f>
        <v>1700</v>
      </c>
      <c r="D39" s="14" t="str">
        <f>"05144"</f>
        <v>05144</v>
      </c>
      <c r="E39" s="14" t="s">
        <v>541</v>
      </c>
      <c r="F39" s="14" t="s">
        <v>544</v>
      </c>
      <c r="G39" s="14" t="str">
        <f>""</f>
        <v/>
      </c>
      <c r="H39" s="14" t="str">
        <f>" 00"</f>
        <v xml:space="preserve"> 00</v>
      </c>
      <c r="I39" s="14">
        <v>0.01</v>
      </c>
      <c r="J39" s="14">
        <v>9999999.9900000002</v>
      </c>
      <c r="K39" s="14" t="s">
        <v>37</v>
      </c>
      <c r="L39" s="14" t="s">
        <v>34</v>
      </c>
      <c r="P39" s="14" t="s">
        <v>39</v>
      </c>
      <c r="Q39" s="14" t="s">
        <v>25</v>
      </c>
      <c r="R39" s="14" t="s">
        <v>401</v>
      </c>
    </row>
    <row r="40" spans="1:18" s="14" customFormat="1" x14ac:dyDescent="0.25">
      <c r="A40" s="14" t="str">
        <f>"17001"</f>
        <v>17001</v>
      </c>
      <c r="B40" s="14" t="str">
        <f>"01000"</f>
        <v>01000</v>
      </c>
      <c r="C40" s="14" t="str">
        <f>"1200"</f>
        <v>1200</v>
      </c>
      <c r="D40" s="14" t="str">
        <f>""</f>
        <v/>
      </c>
      <c r="E40" s="14" t="s">
        <v>578</v>
      </c>
      <c r="F40" s="14" t="s">
        <v>44</v>
      </c>
      <c r="G40" s="14" t="str">
        <f>"GR0017001"</f>
        <v>GR0017001</v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37</v>
      </c>
      <c r="L40" s="14" t="s">
        <v>38</v>
      </c>
      <c r="O40" s="14" t="s">
        <v>579</v>
      </c>
      <c r="P40" s="14" t="s">
        <v>39</v>
      </c>
      <c r="Q40" s="14" t="s">
        <v>25</v>
      </c>
      <c r="R40" s="14" t="s">
        <v>38</v>
      </c>
    </row>
    <row r="41" spans="1:18" s="14" customFormat="1" x14ac:dyDescent="0.25">
      <c r="A41" s="14" t="str">
        <f>"17002"</f>
        <v>17002</v>
      </c>
      <c r="B41" s="14" t="str">
        <f>"01290"</f>
        <v>01290</v>
      </c>
      <c r="C41" s="14" t="str">
        <f>"1300"</f>
        <v>1300</v>
      </c>
      <c r="D41" s="14" t="str">
        <f>""</f>
        <v/>
      </c>
      <c r="E41" s="14" t="s">
        <v>580</v>
      </c>
      <c r="F41" s="14" t="s">
        <v>95</v>
      </c>
      <c r="G41" s="14" t="str">
        <f>"GR0017002"</f>
        <v>GR0017002</v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37</v>
      </c>
      <c r="L41" s="14" t="s">
        <v>38</v>
      </c>
      <c r="O41" s="14" t="s">
        <v>37</v>
      </c>
      <c r="P41" s="14" t="s">
        <v>39</v>
      </c>
      <c r="Q41" s="14" t="s">
        <v>25</v>
      </c>
      <c r="R41" s="14" t="s">
        <v>38</v>
      </c>
    </row>
    <row r="42" spans="1:18" s="14" customFormat="1" x14ac:dyDescent="0.25">
      <c r="A42" s="14" t="str">
        <f>"17003"</f>
        <v>17003</v>
      </c>
      <c r="B42" s="14" t="str">
        <f>"01000"</f>
        <v>01000</v>
      </c>
      <c r="C42" s="14" t="str">
        <f>"1200"</f>
        <v>1200</v>
      </c>
      <c r="D42" s="14" t="str">
        <f>""</f>
        <v/>
      </c>
      <c r="E42" s="14" t="s">
        <v>581</v>
      </c>
      <c r="F42" s="14" t="s">
        <v>44</v>
      </c>
      <c r="G42" s="14" t="str">
        <f>"GR0017003"</f>
        <v>GR0017003</v>
      </c>
      <c r="H42" s="14" t="str">
        <f>" 00"</f>
        <v xml:space="preserve"> 00</v>
      </c>
      <c r="I42" s="14">
        <v>0.01</v>
      </c>
      <c r="J42" s="14">
        <v>9999999.9900000002</v>
      </c>
      <c r="K42" s="14" t="s">
        <v>37</v>
      </c>
      <c r="L42" s="14" t="s">
        <v>34</v>
      </c>
      <c r="O42" s="14" t="s">
        <v>38</v>
      </c>
      <c r="P42" s="14" t="s">
        <v>39</v>
      </c>
      <c r="Q42" s="14" t="s">
        <v>25</v>
      </c>
      <c r="R42" s="14" t="s">
        <v>38</v>
      </c>
    </row>
    <row r="43" spans="1:18" s="14" customFormat="1" x14ac:dyDescent="0.25">
      <c r="A43" s="14" t="str">
        <f>"17004"</f>
        <v>17004</v>
      </c>
      <c r="B43" s="14" t="str">
        <f>"01000"</f>
        <v>01000</v>
      </c>
      <c r="C43" s="14" t="str">
        <f>"1700"</f>
        <v>1700</v>
      </c>
      <c r="D43" s="14" t="str">
        <f>"17004"</f>
        <v>17004</v>
      </c>
      <c r="E43" s="14" t="s">
        <v>582</v>
      </c>
      <c r="F43" s="14" t="s">
        <v>44</v>
      </c>
      <c r="G43" s="14" t="str">
        <f>"GR0017004"</f>
        <v>GR0017004</v>
      </c>
      <c r="H43" s="14" t="str">
        <f>" 00"</f>
        <v xml:space="preserve"> 00</v>
      </c>
      <c r="I43" s="14">
        <v>0.01</v>
      </c>
      <c r="J43" s="14">
        <v>9999999.9900000002</v>
      </c>
      <c r="K43" s="14" t="s">
        <v>37</v>
      </c>
      <c r="L43" s="14" t="s">
        <v>34</v>
      </c>
      <c r="O43" s="14" t="s">
        <v>38</v>
      </c>
      <c r="P43" s="14" t="s">
        <v>39</v>
      </c>
      <c r="Q43" s="14" t="s">
        <v>25</v>
      </c>
      <c r="R43" s="14" t="s">
        <v>38</v>
      </c>
    </row>
    <row r="44" spans="1:18" s="14" customFormat="1" x14ac:dyDescent="0.25">
      <c r="A44" s="14" t="str">
        <f>"18001"</f>
        <v>18001</v>
      </c>
      <c r="B44" s="14" t="str">
        <f>"01000"</f>
        <v>01000</v>
      </c>
      <c r="C44" s="14" t="str">
        <f>"1300"</f>
        <v>1300</v>
      </c>
      <c r="D44" s="14" t="str">
        <f>"18001"</f>
        <v>18001</v>
      </c>
      <c r="E44" s="14" t="s">
        <v>584</v>
      </c>
      <c r="F44" s="14" t="s">
        <v>44</v>
      </c>
      <c r="G44" s="14" t="str">
        <f>""</f>
        <v/>
      </c>
      <c r="H44" s="14" t="str">
        <f>" 00"</f>
        <v xml:space="preserve"> 00</v>
      </c>
      <c r="I44" s="14">
        <v>0.01</v>
      </c>
      <c r="J44" s="14">
        <v>9999999.9900000002</v>
      </c>
      <c r="K44" s="14" t="s">
        <v>37</v>
      </c>
      <c r="L44" s="14" t="s">
        <v>601</v>
      </c>
      <c r="P44" s="14" t="s">
        <v>39</v>
      </c>
      <c r="Q44" s="14" t="s">
        <v>25</v>
      </c>
      <c r="R44" s="14" t="s">
        <v>38</v>
      </c>
    </row>
    <row r="45" spans="1:18" s="14" customFormat="1" x14ac:dyDescent="0.25">
      <c r="A45" s="14" t="str">
        <f>"18014"</f>
        <v>18014</v>
      </c>
      <c r="B45" s="14" t="str">
        <f>"01000"</f>
        <v>01000</v>
      </c>
      <c r="C45" s="14" t="str">
        <f>"1300"</f>
        <v>1300</v>
      </c>
      <c r="D45" s="14" t="str">
        <f>"18014"</f>
        <v>18014</v>
      </c>
      <c r="E45" s="14" t="s">
        <v>597</v>
      </c>
      <c r="F45" s="14" t="s">
        <v>44</v>
      </c>
      <c r="G45" s="14" t="str">
        <f>""</f>
        <v/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37</v>
      </c>
      <c r="L45" s="14" t="s">
        <v>34</v>
      </c>
      <c r="P45" s="14" t="s">
        <v>39</v>
      </c>
      <c r="Q45" s="14" t="s">
        <v>25</v>
      </c>
      <c r="R45" s="14" t="s">
        <v>38</v>
      </c>
    </row>
    <row r="46" spans="1:18" s="14" customFormat="1" x14ac:dyDescent="0.25">
      <c r="A46" s="14" t="str">
        <f>"18015"</f>
        <v>18015</v>
      </c>
      <c r="B46" s="14" t="str">
        <f>"01000"</f>
        <v>01000</v>
      </c>
      <c r="C46" s="14" t="str">
        <f>"1300"</f>
        <v>1300</v>
      </c>
      <c r="D46" s="14" t="str">
        <f>"18015"</f>
        <v>18015</v>
      </c>
      <c r="E46" s="14" t="s">
        <v>598</v>
      </c>
      <c r="F46" s="14" t="s">
        <v>44</v>
      </c>
      <c r="G46" s="14" t="str">
        <f>""</f>
        <v/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37</v>
      </c>
      <c r="L46" s="14" t="s">
        <v>38</v>
      </c>
      <c r="P46" s="14" t="s">
        <v>39</v>
      </c>
      <c r="Q46" s="14" t="s">
        <v>25</v>
      </c>
      <c r="R46" s="14" t="s">
        <v>38</v>
      </c>
    </row>
    <row r="47" spans="1:18" s="14" customFormat="1" x14ac:dyDescent="0.25">
      <c r="A47" s="14" t="str">
        <f>"18016"</f>
        <v>18016</v>
      </c>
      <c r="B47" s="14" t="str">
        <f>"01000"</f>
        <v>01000</v>
      </c>
      <c r="C47" s="14" t="str">
        <f>"1300"</f>
        <v>1300</v>
      </c>
      <c r="D47" s="14" t="str">
        <f>"18016"</f>
        <v>18016</v>
      </c>
      <c r="E47" s="14" t="s">
        <v>599</v>
      </c>
      <c r="F47" s="14" t="s">
        <v>44</v>
      </c>
      <c r="G47" s="14" t="str">
        <f>""</f>
        <v/>
      </c>
      <c r="H47" s="14" t="str">
        <f>" 00"</f>
        <v xml:space="preserve"> 00</v>
      </c>
      <c r="I47" s="14">
        <v>0.01</v>
      </c>
      <c r="J47" s="14">
        <v>9999999.9900000002</v>
      </c>
      <c r="K47" s="14" t="s">
        <v>37</v>
      </c>
      <c r="L47" s="14" t="s">
        <v>34</v>
      </c>
      <c r="P47" s="14" t="s">
        <v>39</v>
      </c>
      <c r="Q47" s="14" t="s">
        <v>25</v>
      </c>
      <c r="R47" s="14" t="s">
        <v>38</v>
      </c>
    </row>
    <row r="48" spans="1:18" s="14" customFormat="1" x14ac:dyDescent="0.25">
      <c r="A48" s="14" t="str">
        <f>"18017"</f>
        <v>18017</v>
      </c>
      <c r="B48" s="14" t="str">
        <f>"01000"</f>
        <v>01000</v>
      </c>
      <c r="C48" s="14" t="str">
        <f>"1300"</f>
        <v>1300</v>
      </c>
      <c r="D48" s="14" t="str">
        <f>"18017"</f>
        <v>18017</v>
      </c>
      <c r="E48" s="14" t="s">
        <v>600</v>
      </c>
      <c r="F48" s="14" t="s">
        <v>44</v>
      </c>
      <c r="G48" s="14" t="str">
        <f>""</f>
        <v/>
      </c>
      <c r="H48" s="14" t="str">
        <f>" 00"</f>
        <v xml:space="preserve"> 00</v>
      </c>
      <c r="I48" s="14">
        <v>0.01</v>
      </c>
      <c r="J48" s="14">
        <v>9999999.9900000002</v>
      </c>
      <c r="K48" s="14" t="s">
        <v>37</v>
      </c>
      <c r="L48" s="14" t="s">
        <v>601</v>
      </c>
      <c r="M48" s="14" t="s">
        <v>38</v>
      </c>
      <c r="P48" s="14" t="s">
        <v>39</v>
      </c>
      <c r="Q48" s="14" t="s">
        <v>25</v>
      </c>
      <c r="R48" s="14" t="s">
        <v>45</v>
      </c>
    </row>
    <row r="49" spans="1:18" s="14" customFormat="1" x14ac:dyDescent="0.25">
      <c r="A49" s="14" t="str">
        <f>"18067"</f>
        <v>18067</v>
      </c>
      <c r="B49" s="14" t="str">
        <f>"01000"</f>
        <v>01000</v>
      </c>
      <c r="C49" s="14" t="str">
        <f>"1300"</f>
        <v>1300</v>
      </c>
      <c r="D49" s="14" t="str">
        <f>"18067"</f>
        <v>18067</v>
      </c>
      <c r="E49" s="14" t="s">
        <v>654</v>
      </c>
      <c r="F49" s="14" t="s">
        <v>44</v>
      </c>
      <c r="G49" s="14" t="str">
        <f>""</f>
        <v/>
      </c>
      <c r="H49" s="14" t="str">
        <f>" 00"</f>
        <v xml:space="preserve"> 00</v>
      </c>
      <c r="I49" s="14">
        <v>0.01</v>
      </c>
      <c r="J49" s="14">
        <v>9999999.9900000002</v>
      </c>
      <c r="K49" s="14" t="s">
        <v>37</v>
      </c>
      <c r="L49" s="14" t="s">
        <v>601</v>
      </c>
      <c r="P49" s="14" t="s">
        <v>39</v>
      </c>
      <c r="Q49" s="14" t="s">
        <v>25</v>
      </c>
      <c r="R49" s="14" t="s">
        <v>38</v>
      </c>
    </row>
    <row r="50" spans="1:18" s="14" customFormat="1" x14ac:dyDescent="0.25">
      <c r="A50" s="14" t="str">
        <f>"18068"</f>
        <v>18068</v>
      </c>
      <c r="B50" s="14" t="str">
        <f>"01000"</f>
        <v>01000</v>
      </c>
      <c r="C50" s="14" t="str">
        <f>"1300"</f>
        <v>1300</v>
      </c>
      <c r="D50" s="14" t="str">
        <f>"18068"</f>
        <v>18068</v>
      </c>
      <c r="E50" s="14" t="s">
        <v>655</v>
      </c>
      <c r="F50" s="14" t="s">
        <v>44</v>
      </c>
      <c r="G50" s="14" t="str">
        <f>""</f>
        <v/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37</v>
      </c>
      <c r="L50" s="14" t="s">
        <v>601</v>
      </c>
      <c r="P50" s="14" t="s">
        <v>39</v>
      </c>
      <c r="Q50" s="14" t="s">
        <v>25</v>
      </c>
      <c r="R50" s="14" t="s">
        <v>38</v>
      </c>
    </row>
    <row r="51" spans="1:18" s="14" customFormat="1" x14ac:dyDescent="0.25">
      <c r="A51" s="14" t="str">
        <f>"18080"</f>
        <v>18080</v>
      </c>
      <c r="B51" s="14" t="str">
        <f>"01285"</f>
        <v>01285</v>
      </c>
      <c r="C51" s="14" t="str">
        <f>"1700"</f>
        <v>1700</v>
      </c>
      <c r="D51" s="14" t="str">
        <f>"18080"</f>
        <v>18080</v>
      </c>
      <c r="E51" s="14" t="s">
        <v>659</v>
      </c>
      <c r="F51" s="14" t="s">
        <v>92</v>
      </c>
      <c r="G51" s="14" t="str">
        <f>""</f>
        <v/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37</v>
      </c>
      <c r="L51" s="14" t="s">
        <v>93</v>
      </c>
      <c r="P51" s="14" t="s">
        <v>39</v>
      </c>
      <c r="Q51" s="14" t="s">
        <v>25</v>
      </c>
      <c r="R51" s="14" t="s">
        <v>38</v>
      </c>
    </row>
    <row r="52" spans="1:18" s="14" customFormat="1" x14ac:dyDescent="0.25">
      <c r="A52" s="14" t="str">
        <f>"18124"</f>
        <v>18124</v>
      </c>
      <c r="B52" s="14" t="str">
        <f>"01000"</f>
        <v>01000</v>
      </c>
      <c r="C52" s="14" t="str">
        <f>"1600"</f>
        <v>1600</v>
      </c>
      <c r="D52" s="14" t="str">
        <f>"18124"</f>
        <v>18124</v>
      </c>
      <c r="E52" s="14" t="s">
        <v>689</v>
      </c>
      <c r="F52" s="14" t="s">
        <v>44</v>
      </c>
      <c r="G52" s="14" t="str">
        <f>""</f>
        <v/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37</v>
      </c>
      <c r="L52" s="14" t="s">
        <v>34</v>
      </c>
      <c r="P52" s="14" t="s">
        <v>39</v>
      </c>
      <c r="Q52" s="14" t="s">
        <v>25</v>
      </c>
      <c r="R52" s="14" t="s">
        <v>45</v>
      </c>
    </row>
    <row r="53" spans="1:18" s="14" customFormat="1" x14ac:dyDescent="0.25">
      <c r="A53" s="14" t="str">
        <f>"18126"</f>
        <v>18126</v>
      </c>
      <c r="B53" s="14" t="str">
        <f>"01000"</f>
        <v>01000</v>
      </c>
      <c r="C53" s="14" t="str">
        <f>"1100"</f>
        <v>1100</v>
      </c>
      <c r="D53" s="14" t="str">
        <f>"18126"</f>
        <v>18126</v>
      </c>
      <c r="E53" s="14" t="s">
        <v>691</v>
      </c>
      <c r="F53" s="14" t="s">
        <v>44</v>
      </c>
      <c r="G53" s="14" t="str">
        <f>""</f>
        <v/>
      </c>
      <c r="H53" s="14" t="str">
        <f>" 00"</f>
        <v xml:space="preserve"> 00</v>
      </c>
      <c r="I53" s="14">
        <v>0.01</v>
      </c>
      <c r="J53" s="14">
        <v>9999999.9900000002</v>
      </c>
      <c r="K53" s="14" t="s">
        <v>37</v>
      </c>
      <c r="L53" s="14" t="s">
        <v>34</v>
      </c>
      <c r="P53" s="14" t="s">
        <v>39</v>
      </c>
      <c r="Q53" s="14" t="s">
        <v>25</v>
      </c>
      <c r="R53" s="14" t="s">
        <v>45</v>
      </c>
    </row>
    <row r="54" spans="1:18" s="14" customFormat="1" x14ac:dyDescent="0.25">
      <c r="A54" s="14" t="str">
        <f>"18520"</f>
        <v>18520</v>
      </c>
      <c r="B54" s="14" t="str">
        <f>"01260"</f>
        <v>01260</v>
      </c>
      <c r="C54" s="14" t="str">
        <f>"1300"</f>
        <v>1300</v>
      </c>
      <c r="D54" s="14" t="str">
        <f>""</f>
        <v/>
      </c>
      <c r="E54" s="14" t="s">
        <v>717</v>
      </c>
      <c r="F54" s="14" t="s">
        <v>87</v>
      </c>
      <c r="G54" s="14" t="str">
        <f>""</f>
        <v/>
      </c>
      <c r="H54" s="14" t="str">
        <f>" 00"</f>
        <v xml:space="preserve"> 00</v>
      </c>
      <c r="I54" s="14">
        <v>0.01</v>
      </c>
      <c r="J54" s="14">
        <v>9999999.9900000002</v>
      </c>
      <c r="K54" s="14" t="s">
        <v>37</v>
      </c>
      <c r="L54" s="14" t="s">
        <v>38</v>
      </c>
      <c r="P54" s="14" t="s">
        <v>701</v>
      </c>
      <c r="Q54" s="14" t="s">
        <v>25</v>
      </c>
      <c r="R54" s="14" t="s">
        <v>38</v>
      </c>
    </row>
    <row r="55" spans="1:18" s="14" customFormat="1" x14ac:dyDescent="0.25">
      <c r="A55" s="14" t="str">
        <f>"18532"</f>
        <v>18532</v>
      </c>
      <c r="B55" s="14" t="str">
        <f>"01000"</f>
        <v>01000</v>
      </c>
      <c r="C55" s="14" t="str">
        <f>"1400"</f>
        <v>1400</v>
      </c>
      <c r="D55" s="14" t="str">
        <f>""</f>
        <v/>
      </c>
      <c r="E55" s="14" t="s">
        <v>732</v>
      </c>
      <c r="F55" s="14" t="s">
        <v>44</v>
      </c>
      <c r="G55" s="14" t="str">
        <f>""</f>
        <v/>
      </c>
      <c r="H55" s="14" t="str">
        <f>" 00"</f>
        <v xml:space="preserve"> 00</v>
      </c>
      <c r="I55" s="14">
        <v>0.01</v>
      </c>
      <c r="J55" s="14">
        <v>9999999.9900000002</v>
      </c>
      <c r="K55" s="14" t="s">
        <v>37</v>
      </c>
      <c r="L55" s="14" t="s">
        <v>34</v>
      </c>
      <c r="P55" s="14" t="s">
        <v>701</v>
      </c>
      <c r="Q55" s="14" t="s">
        <v>25</v>
      </c>
      <c r="R55" s="14" t="s">
        <v>38</v>
      </c>
    </row>
    <row r="56" spans="1:18" s="14" customFormat="1" x14ac:dyDescent="0.25">
      <c r="A56" s="14" t="str">
        <f>"18533"</f>
        <v>18533</v>
      </c>
      <c r="B56" s="14" t="str">
        <f>"01080"</f>
        <v>01080</v>
      </c>
      <c r="C56" s="14" t="str">
        <f>"1700"</f>
        <v>1700</v>
      </c>
      <c r="D56" s="14" t="str">
        <f>""</f>
        <v/>
      </c>
      <c r="E56" s="14" t="s">
        <v>733</v>
      </c>
      <c r="F56" s="14" t="s">
        <v>61</v>
      </c>
      <c r="G56" s="14" t="str">
        <f>""</f>
        <v/>
      </c>
      <c r="H56" s="14" t="str">
        <f>" 00"</f>
        <v xml:space="preserve"> 00</v>
      </c>
      <c r="I56" s="14">
        <v>0.01</v>
      </c>
      <c r="J56" s="14">
        <v>9999999.9900000002</v>
      </c>
      <c r="K56" s="14" t="s">
        <v>37</v>
      </c>
      <c r="L56" s="14" t="s">
        <v>50</v>
      </c>
      <c r="P56" s="14" t="s">
        <v>701</v>
      </c>
      <c r="Q56" s="14" t="s">
        <v>25</v>
      </c>
      <c r="R56" s="14" t="s">
        <v>38</v>
      </c>
    </row>
    <row r="57" spans="1:18" s="14" customFormat="1" x14ac:dyDescent="0.25">
      <c r="A57" s="14" t="str">
        <f>"18603"</f>
        <v>18603</v>
      </c>
      <c r="B57" s="14" t="str">
        <f>"01000"</f>
        <v>01000</v>
      </c>
      <c r="C57" s="14" t="str">
        <f>"1800"</f>
        <v>1800</v>
      </c>
      <c r="D57" s="14" t="str">
        <f>"18603"</f>
        <v>18603</v>
      </c>
      <c r="E57" s="14" t="s">
        <v>738</v>
      </c>
      <c r="F57" s="14" t="s">
        <v>44</v>
      </c>
      <c r="G57" s="14" t="str">
        <f>""</f>
        <v/>
      </c>
      <c r="H57" s="14" t="str">
        <f>" 00"</f>
        <v xml:space="preserve"> 00</v>
      </c>
      <c r="I57" s="14">
        <v>0.01</v>
      </c>
      <c r="J57" s="14">
        <v>9999999.9900000002</v>
      </c>
      <c r="K57" s="14" t="s">
        <v>37</v>
      </c>
      <c r="L57" s="14" t="s">
        <v>34</v>
      </c>
      <c r="P57" s="14" t="s">
        <v>39</v>
      </c>
      <c r="Q57" s="14" t="s">
        <v>25</v>
      </c>
      <c r="R57" s="14" t="s">
        <v>38</v>
      </c>
    </row>
    <row r="58" spans="1:18" s="14" customFormat="1" x14ac:dyDescent="0.25">
      <c r="A58" s="14" t="str">
        <f>"19052"</f>
        <v>19052</v>
      </c>
      <c r="B58" s="14" t="str">
        <f>"01000"</f>
        <v>01000</v>
      </c>
      <c r="C58" s="14" t="str">
        <f>"1200"</f>
        <v>1200</v>
      </c>
      <c r="D58" s="14" t="str">
        <f>""</f>
        <v/>
      </c>
      <c r="E58" s="14" t="s">
        <v>749</v>
      </c>
      <c r="F58" s="14" t="s">
        <v>44</v>
      </c>
      <c r="G58" s="14" t="str">
        <f>"GR0019052"</f>
        <v>GR0019052</v>
      </c>
      <c r="H58" s="14" t="str">
        <f>" 00"</f>
        <v xml:space="preserve"> 00</v>
      </c>
      <c r="I58" s="14">
        <v>0.01</v>
      </c>
      <c r="J58" s="14">
        <v>9999999.9900000002</v>
      </c>
      <c r="K58" s="14" t="s">
        <v>37</v>
      </c>
      <c r="L58" s="14" t="s">
        <v>34</v>
      </c>
      <c r="O58" s="14" t="s">
        <v>38</v>
      </c>
      <c r="P58" s="14" t="s">
        <v>39</v>
      </c>
      <c r="Q58" s="14" t="s">
        <v>39</v>
      </c>
      <c r="R58" s="14" t="s">
        <v>38</v>
      </c>
    </row>
    <row r="59" spans="1:18" s="14" customFormat="1" x14ac:dyDescent="0.25">
      <c r="A59" s="14" t="str">
        <f>"20302"</f>
        <v>20302</v>
      </c>
      <c r="B59" s="14" t="str">
        <f>"05140"</f>
        <v>05140</v>
      </c>
      <c r="C59" s="14" t="str">
        <f>"1700"</f>
        <v>1700</v>
      </c>
      <c r="D59" s="14" t="str">
        <f>"20302"</f>
        <v>20302</v>
      </c>
      <c r="E59" s="14" t="s">
        <v>842</v>
      </c>
      <c r="F59" s="14" t="s">
        <v>400</v>
      </c>
      <c r="G59" s="14" t="str">
        <f>""</f>
        <v/>
      </c>
      <c r="H59" s="14" t="str">
        <f>" 00"</f>
        <v xml:space="preserve"> 00</v>
      </c>
      <c r="I59" s="14">
        <v>0.01</v>
      </c>
      <c r="J59" s="14">
        <v>9999999.9900000002</v>
      </c>
      <c r="K59" s="14" t="s">
        <v>37</v>
      </c>
      <c r="L59" s="14" t="s">
        <v>34</v>
      </c>
      <c r="P59" s="14" t="s">
        <v>260</v>
      </c>
      <c r="Q59" s="14" t="s">
        <v>25</v>
      </c>
      <c r="R59" s="14" t="s">
        <v>401</v>
      </c>
    </row>
    <row r="60" spans="1:18" s="14" customFormat="1" x14ac:dyDescent="0.25">
      <c r="A60" s="14" t="str">
        <f>"25133"</f>
        <v>25133</v>
      </c>
      <c r="B60" s="14" t="str">
        <f>"01080"</f>
        <v>01080</v>
      </c>
      <c r="C60" s="14" t="str">
        <f>"1700"</f>
        <v>1700</v>
      </c>
      <c r="D60" s="14" t="str">
        <f>"25133"</f>
        <v>25133</v>
      </c>
      <c r="E60" s="14" t="s">
        <v>920</v>
      </c>
      <c r="F60" s="14" t="s">
        <v>61</v>
      </c>
      <c r="G60" s="14" t="str">
        <f>"GR0025133"</f>
        <v>GR0025133</v>
      </c>
      <c r="H60" s="14" t="str">
        <f>" 00"</f>
        <v xml:space="preserve"> 00</v>
      </c>
      <c r="I60" s="14">
        <v>0.01</v>
      </c>
      <c r="J60" s="14">
        <v>9999999.9900000002</v>
      </c>
      <c r="K60" s="14" t="s">
        <v>37</v>
      </c>
      <c r="L60" s="14" t="s">
        <v>50</v>
      </c>
      <c r="O60" s="14" t="s">
        <v>37</v>
      </c>
      <c r="P60" s="14" t="s">
        <v>701</v>
      </c>
      <c r="Q60" s="14" t="s">
        <v>701</v>
      </c>
      <c r="R60" s="14" t="s">
        <v>38</v>
      </c>
    </row>
    <row r="61" spans="1:18" s="14" customFormat="1" x14ac:dyDescent="0.25">
      <c r="A61" s="14" t="str">
        <f>"25136"</f>
        <v>25136</v>
      </c>
      <c r="B61" s="14" t="str">
        <f>"01240"</f>
        <v>01240</v>
      </c>
      <c r="C61" s="14" t="str">
        <f>"1400"</f>
        <v>1400</v>
      </c>
      <c r="D61" s="14" t="str">
        <f>"25136"</f>
        <v>25136</v>
      </c>
      <c r="E61" s="14" t="s">
        <v>921</v>
      </c>
      <c r="F61" s="14" t="s">
        <v>80</v>
      </c>
      <c r="G61" s="14" t="str">
        <f>"GR0025136"</f>
        <v>GR0025136</v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37</v>
      </c>
      <c r="L61" s="14" t="s">
        <v>81</v>
      </c>
      <c r="O61" s="14" t="s">
        <v>81</v>
      </c>
      <c r="P61" s="14" t="s">
        <v>701</v>
      </c>
      <c r="Q61" s="14" t="s">
        <v>701</v>
      </c>
      <c r="R61" s="14" t="s">
        <v>81</v>
      </c>
    </row>
    <row r="62" spans="1:18" s="14" customFormat="1" x14ac:dyDescent="0.25">
      <c r="A62" s="14" t="str">
        <f>"26029"</f>
        <v>26029</v>
      </c>
      <c r="B62" s="14" t="str">
        <f>"01000"</f>
        <v>01000</v>
      </c>
      <c r="C62" s="14" t="str">
        <f>"1300"</f>
        <v>1300</v>
      </c>
      <c r="D62" s="14" t="str">
        <f>"26029"</f>
        <v>26029</v>
      </c>
      <c r="E62" s="14" t="s">
        <v>940</v>
      </c>
      <c r="F62" s="14" t="s">
        <v>44</v>
      </c>
      <c r="G62" s="14" t="str">
        <f>"GR0026029"</f>
        <v>GR0026029</v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37</v>
      </c>
      <c r="L62" s="14" t="s">
        <v>38</v>
      </c>
      <c r="O62" s="14" t="s">
        <v>579</v>
      </c>
      <c r="P62" s="14" t="s">
        <v>701</v>
      </c>
      <c r="Q62" s="14" t="s">
        <v>701</v>
      </c>
      <c r="R62" s="14" t="s">
        <v>38</v>
      </c>
    </row>
    <row r="63" spans="1:18" s="14" customFormat="1" x14ac:dyDescent="0.25">
      <c r="A63" s="14" t="str">
        <f>"26030"</f>
        <v>26030</v>
      </c>
      <c r="B63" s="14" t="str">
        <f>"01000"</f>
        <v>01000</v>
      </c>
      <c r="C63" s="14" t="str">
        <f>"1300"</f>
        <v>1300</v>
      </c>
      <c r="D63" s="14" t="str">
        <f>"26030"</f>
        <v>26030</v>
      </c>
      <c r="E63" s="14" t="s">
        <v>941</v>
      </c>
      <c r="F63" s="14" t="s">
        <v>44</v>
      </c>
      <c r="G63" s="14" t="str">
        <f>"GR0026029"</f>
        <v>GR0026029</v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37</v>
      </c>
      <c r="L63" s="14" t="s">
        <v>38</v>
      </c>
      <c r="O63" s="14" t="s">
        <v>579</v>
      </c>
      <c r="P63" s="14" t="s">
        <v>701</v>
      </c>
      <c r="Q63" s="14" t="s">
        <v>701</v>
      </c>
      <c r="R63" s="14" t="s">
        <v>38</v>
      </c>
    </row>
    <row r="64" spans="1:18" s="14" customFormat="1" x14ac:dyDescent="0.25">
      <c r="A64" s="14" t="str">
        <f>"26032"</f>
        <v>26032</v>
      </c>
      <c r="B64" s="14" t="str">
        <f>"01000"</f>
        <v>01000</v>
      </c>
      <c r="C64" s="14" t="str">
        <f>"1700"</f>
        <v>1700</v>
      </c>
      <c r="D64" s="14" t="str">
        <f>"26032"</f>
        <v>26032</v>
      </c>
      <c r="E64" s="14" t="s">
        <v>942</v>
      </c>
      <c r="F64" s="14" t="s">
        <v>44</v>
      </c>
      <c r="G64" s="14" t="str">
        <f>"GR0026029"</f>
        <v>GR0026029</v>
      </c>
      <c r="H64" s="14" t="str">
        <f>" 00"</f>
        <v xml:space="preserve"> 00</v>
      </c>
      <c r="I64" s="14">
        <v>0.01</v>
      </c>
      <c r="J64" s="14">
        <v>9999999.9900000002</v>
      </c>
      <c r="K64" s="14" t="s">
        <v>37</v>
      </c>
      <c r="L64" s="14" t="s">
        <v>38</v>
      </c>
      <c r="O64" s="14" t="s">
        <v>579</v>
      </c>
      <c r="P64" s="14" t="s">
        <v>701</v>
      </c>
      <c r="Q64" s="14" t="s">
        <v>701</v>
      </c>
      <c r="R64" s="14" t="s">
        <v>38</v>
      </c>
    </row>
    <row r="65" spans="1:18" s="14" customFormat="1" x14ac:dyDescent="0.25">
      <c r="A65" s="14" t="str">
        <f>"26034"</f>
        <v>26034</v>
      </c>
      <c r="B65" s="14" t="str">
        <f>"01000"</f>
        <v>01000</v>
      </c>
      <c r="C65" s="14" t="str">
        <f>"1300"</f>
        <v>1300</v>
      </c>
      <c r="D65" s="14" t="str">
        <f>"26034"</f>
        <v>26034</v>
      </c>
      <c r="E65" s="14" t="s">
        <v>943</v>
      </c>
      <c r="F65" s="14" t="s">
        <v>44</v>
      </c>
      <c r="G65" s="14" t="str">
        <f>"GR0026029"</f>
        <v>GR0026029</v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37</v>
      </c>
      <c r="L65" s="14" t="s">
        <v>38</v>
      </c>
      <c r="O65" s="14" t="s">
        <v>579</v>
      </c>
      <c r="P65" s="14" t="s">
        <v>701</v>
      </c>
      <c r="Q65" s="14" t="s">
        <v>701</v>
      </c>
      <c r="R65" s="14" t="s">
        <v>38</v>
      </c>
    </row>
    <row r="66" spans="1:18" s="14" customFormat="1" x14ac:dyDescent="0.25">
      <c r="A66" s="14" t="str">
        <f>"26035"</f>
        <v>26035</v>
      </c>
      <c r="B66" s="14" t="str">
        <f>"01000"</f>
        <v>01000</v>
      </c>
      <c r="C66" s="14" t="str">
        <f>"1300"</f>
        <v>1300</v>
      </c>
      <c r="D66" s="14" t="str">
        <f>"26035"</f>
        <v>26035</v>
      </c>
      <c r="E66" s="14" t="s">
        <v>944</v>
      </c>
      <c r="F66" s="14" t="s">
        <v>44</v>
      </c>
      <c r="G66" s="14" t="str">
        <f>"GR0026029"</f>
        <v>GR0026029</v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37</v>
      </c>
      <c r="L66" s="14" t="s">
        <v>38</v>
      </c>
      <c r="O66" s="14" t="s">
        <v>579</v>
      </c>
      <c r="P66" s="14" t="s">
        <v>701</v>
      </c>
      <c r="Q66" s="14" t="s">
        <v>701</v>
      </c>
      <c r="R66" s="14" t="s">
        <v>38</v>
      </c>
    </row>
    <row r="67" spans="1:18" s="14" customFormat="1" x14ac:dyDescent="0.25">
      <c r="A67" s="14" t="str">
        <f>"84107"</f>
        <v>84107</v>
      </c>
      <c r="B67" s="14" t="str">
        <f>"07020"</f>
        <v>07020</v>
      </c>
      <c r="C67" s="14" t="str">
        <f>"1700"</f>
        <v>1700</v>
      </c>
      <c r="D67" s="14" t="str">
        <f>"84107"</f>
        <v>84107</v>
      </c>
      <c r="E67" s="14" t="s">
        <v>1646</v>
      </c>
      <c r="F67" s="14" t="s">
        <v>1532</v>
      </c>
      <c r="G67" s="14" t="str">
        <f>""</f>
        <v/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37</v>
      </c>
      <c r="L67" s="14" t="s">
        <v>1619</v>
      </c>
      <c r="P67" s="14" t="s">
        <v>31</v>
      </c>
      <c r="Q67" s="14" t="s">
        <v>31</v>
      </c>
      <c r="R67" s="14" t="s">
        <v>38</v>
      </c>
    </row>
    <row r="68" spans="1:18" s="14" customFormat="1" x14ac:dyDescent="0.25">
      <c r="A68" s="14" t="str">
        <f>"10001"</f>
        <v>10001</v>
      </c>
      <c r="B68" s="14" t="str">
        <f>"02040"</f>
        <v>02040</v>
      </c>
      <c r="C68" s="14" t="str">
        <f>"1400"</f>
        <v>1400</v>
      </c>
      <c r="D68" s="14" t="str">
        <f>"02040"</f>
        <v>02040</v>
      </c>
      <c r="E68" s="14" t="s">
        <v>20</v>
      </c>
      <c r="F68" s="14" t="s">
        <v>195</v>
      </c>
      <c r="G68" s="14" t="str">
        <f>""</f>
        <v/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193</v>
      </c>
      <c r="L68" s="14" t="s">
        <v>196</v>
      </c>
      <c r="M68" s="14" t="s">
        <v>192</v>
      </c>
      <c r="P68" s="14" t="s">
        <v>31</v>
      </c>
      <c r="Q68" s="14" t="s">
        <v>25</v>
      </c>
      <c r="R68" s="14" t="s">
        <v>193</v>
      </c>
    </row>
    <row r="69" spans="1:18" s="14" customFormat="1" x14ac:dyDescent="0.25">
      <c r="A69" s="14" t="str">
        <f>"10001"</f>
        <v>10001</v>
      </c>
      <c r="B69" s="14" t="str">
        <f>"02130"</f>
        <v>02130</v>
      </c>
      <c r="C69" s="14" t="str">
        <f>"1400"</f>
        <v>1400</v>
      </c>
      <c r="D69" s="14" t="str">
        <f>"02130"</f>
        <v>02130</v>
      </c>
      <c r="E69" s="14" t="s">
        <v>20</v>
      </c>
      <c r="F69" s="14" t="s">
        <v>212</v>
      </c>
      <c r="G69" s="14" t="str">
        <f>""</f>
        <v/>
      </c>
      <c r="H69" s="14" t="str">
        <f>" 00"</f>
        <v xml:space="preserve"> 00</v>
      </c>
      <c r="I69" s="14">
        <v>0.01</v>
      </c>
      <c r="J69" s="14">
        <v>9999999.9900000002</v>
      </c>
      <c r="K69" s="14" t="s">
        <v>193</v>
      </c>
      <c r="L69" s="14" t="s">
        <v>196</v>
      </c>
      <c r="M69" s="14" t="s">
        <v>213</v>
      </c>
      <c r="P69" s="14" t="s">
        <v>31</v>
      </c>
      <c r="Q69" s="14" t="s">
        <v>25</v>
      </c>
      <c r="R69" s="14" t="s">
        <v>214</v>
      </c>
    </row>
    <row r="70" spans="1:18" s="14" customFormat="1" x14ac:dyDescent="0.25">
      <c r="A70" s="14" t="str">
        <f>"18103"</f>
        <v>18103</v>
      </c>
      <c r="B70" s="14" t="str">
        <f>"02040"</f>
        <v>02040</v>
      </c>
      <c r="C70" s="14" t="str">
        <f>"1600"</f>
        <v>1600</v>
      </c>
      <c r="D70" s="14" t="str">
        <f>"18103"</f>
        <v>18103</v>
      </c>
      <c r="E70" s="14" t="s">
        <v>672</v>
      </c>
      <c r="F70" s="14" t="s">
        <v>195</v>
      </c>
      <c r="G70" s="14" t="str">
        <f>""</f>
        <v/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193</v>
      </c>
      <c r="L70" s="14" t="s">
        <v>196</v>
      </c>
      <c r="M70" s="14" t="s">
        <v>25</v>
      </c>
      <c r="P70" s="14" t="s">
        <v>31</v>
      </c>
      <c r="Q70" s="14" t="s">
        <v>25</v>
      </c>
      <c r="R70" s="14" t="s">
        <v>193</v>
      </c>
    </row>
    <row r="71" spans="1:18" s="14" customFormat="1" x14ac:dyDescent="0.25">
      <c r="A71" s="14" t="str">
        <f>"18610"</f>
        <v>18610</v>
      </c>
      <c r="B71" s="14" t="str">
        <f>"02040"</f>
        <v>02040</v>
      </c>
      <c r="C71" s="14" t="str">
        <f>"1800"</f>
        <v>1800</v>
      </c>
      <c r="D71" s="14" t="str">
        <f>""</f>
        <v/>
      </c>
      <c r="E71" s="14" t="s">
        <v>743</v>
      </c>
      <c r="F71" s="14" t="s">
        <v>195</v>
      </c>
      <c r="G71" s="14" t="str">
        <f>""</f>
        <v/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193</v>
      </c>
      <c r="L71" s="14" t="s">
        <v>196</v>
      </c>
      <c r="M71" s="14" t="s">
        <v>25</v>
      </c>
      <c r="P71" s="14" t="s">
        <v>31</v>
      </c>
      <c r="Q71" s="14" t="s">
        <v>25</v>
      </c>
      <c r="R71" s="14" t="s">
        <v>193</v>
      </c>
    </row>
    <row r="72" spans="1:18" s="14" customFormat="1" x14ac:dyDescent="0.25">
      <c r="A72" s="14" t="str">
        <f>"85127"</f>
        <v>85127</v>
      </c>
      <c r="B72" s="14" t="str">
        <f>"07030"</f>
        <v>07030</v>
      </c>
      <c r="C72" s="14" t="str">
        <f>"8000"</f>
        <v>8000</v>
      </c>
      <c r="D72" s="14" t="str">
        <f>"85127"</f>
        <v>85127</v>
      </c>
      <c r="E72" s="14" t="s">
        <v>1792</v>
      </c>
      <c r="F72" s="14" t="s">
        <v>1776</v>
      </c>
      <c r="G72" s="14" t="str">
        <f>""</f>
        <v/>
      </c>
      <c r="H72" s="14" t="str">
        <f>" 00"</f>
        <v xml:space="preserve"> 00</v>
      </c>
      <c r="I72" s="14">
        <v>0.01</v>
      </c>
      <c r="J72" s="14">
        <v>9999999.9900000002</v>
      </c>
      <c r="K72" s="14" t="s">
        <v>193</v>
      </c>
      <c r="L72" s="14" t="s">
        <v>196</v>
      </c>
      <c r="P72" s="14" t="s">
        <v>31</v>
      </c>
      <c r="Q72" s="14" t="s">
        <v>31</v>
      </c>
      <c r="R72" s="14" t="s">
        <v>1793</v>
      </c>
    </row>
    <row r="73" spans="1:18" s="14" customFormat="1" x14ac:dyDescent="0.25">
      <c r="A73" s="14" t="str">
        <f>"10001"</f>
        <v>10001</v>
      </c>
      <c r="B73" s="14" t="str">
        <f>"01785"</f>
        <v>01785</v>
      </c>
      <c r="C73" s="14" t="str">
        <f>"1300"</f>
        <v>1300</v>
      </c>
      <c r="D73" s="14" t="str">
        <f>"01785"</f>
        <v>01785</v>
      </c>
      <c r="E73" s="14" t="s">
        <v>20</v>
      </c>
      <c r="F73" s="14" t="s">
        <v>176</v>
      </c>
      <c r="G73" s="14" t="str">
        <f>""</f>
        <v/>
      </c>
      <c r="H73" s="14" t="str">
        <f>" 10"</f>
        <v xml:space="preserve"> 10</v>
      </c>
      <c r="I73" s="14">
        <v>0.01</v>
      </c>
      <c r="J73" s="14">
        <v>500</v>
      </c>
      <c r="K73" s="14" t="s">
        <v>177</v>
      </c>
      <c r="P73" s="14" t="s">
        <v>31</v>
      </c>
      <c r="Q73" s="14" t="s">
        <v>25</v>
      </c>
      <c r="R73" s="14" t="s">
        <v>90</v>
      </c>
    </row>
    <row r="74" spans="1:18" s="14" customFormat="1" x14ac:dyDescent="0.25">
      <c r="A74" s="14" t="str">
        <f>"10001"</f>
        <v>10001</v>
      </c>
      <c r="B74" s="14" t="str">
        <f>"00121"</f>
        <v>00121</v>
      </c>
      <c r="C74" s="14" t="str">
        <f>"1400"</f>
        <v>1400</v>
      </c>
      <c r="D74" s="14" t="str">
        <f>"00121"</f>
        <v>00121</v>
      </c>
      <c r="E74" s="14" t="s">
        <v>20</v>
      </c>
      <c r="F74" s="14" t="s">
        <v>33</v>
      </c>
      <c r="G74" s="14" t="str">
        <f>""</f>
        <v/>
      </c>
      <c r="H74" s="14" t="str">
        <f>" 00"</f>
        <v xml:space="preserve"> 00</v>
      </c>
      <c r="I74" s="14">
        <v>0.01</v>
      </c>
      <c r="J74" s="14">
        <v>9999999.9900000002</v>
      </c>
      <c r="K74" s="14" t="s">
        <v>34</v>
      </c>
      <c r="P74" s="14" t="s">
        <v>31</v>
      </c>
      <c r="Q74" s="14" t="s">
        <v>25</v>
      </c>
      <c r="R74" s="14" t="s">
        <v>35</v>
      </c>
    </row>
    <row r="75" spans="1:18" s="14" customFormat="1" x14ac:dyDescent="0.25">
      <c r="A75" s="14" t="str">
        <f>"10001"</f>
        <v>10001</v>
      </c>
      <c r="B75" s="14" t="str">
        <f>"00163"</f>
        <v>00163</v>
      </c>
      <c r="C75" s="14" t="str">
        <f>"1400"</f>
        <v>1400</v>
      </c>
      <c r="D75" s="14" t="str">
        <f>"00163"</f>
        <v>00163</v>
      </c>
      <c r="E75" s="14" t="s">
        <v>20</v>
      </c>
      <c r="F75" s="14" t="s">
        <v>40</v>
      </c>
      <c r="G75" s="14" t="str">
        <f>""</f>
        <v/>
      </c>
      <c r="H75" s="14" t="str">
        <f>" 00"</f>
        <v xml:space="preserve"> 00</v>
      </c>
      <c r="I75" s="14">
        <v>0.01</v>
      </c>
      <c r="J75" s="14">
        <v>9999999.9900000002</v>
      </c>
      <c r="K75" s="14" t="s">
        <v>34</v>
      </c>
      <c r="L75" s="14" t="s">
        <v>25</v>
      </c>
      <c r="P75" s="14" t="s">
        <v>31</v>
      </c>
      <c r="Q75" s="14" t="s">
        <v>25</v>
      </c>
      <c r="R75" s="14" t="s">
        <v>35</v>
      </c>
    </row>
    <row r="76" spans="1:18" s="14" customFormat="1" x14ac:dyDescent="0.25">
      <c r="A76" s="14" t="str">
        <f>"10001"</f>
        <v>10001</v>
      </c>
      <c r="B76" s="14" t="str">
        <f>"03000"</f>
        <v>03000</v>
      </c>
      <c r="C76" s="14" t="str">
        <f>"1400"</f>
        <v>1400</v>
      </c>
      <c r="D76" s="14" t="str">
        <f>"03000A"</f>
        <v>03000A</v>
      </c>
      <c r="E76" s="14" t="s">
        <v>20</v>
      </c>
      <c r="F76" s="14" t="s">
        <v>217</v>
      </c>
      <c r="G76" s="14" t="str">
        <f>""</f>
        <v/>
      </c>
      <c r="H76" s="14" t="str">
        <f>" 00"</f>
        <v xml:space="preserve"> 00</v>
      </c>
      <c r="I76" s="14">
        <v>0.01</v>
      </c>
      <c r="J76" s="14">
        <v>9999999.9900000002</v>
      </c>
      <c r="K76" s="14" t="s">
        <v>34</v>
      </c>
      <c r="L76" s="14" t="s">
        <v>25</v>
      </c>
      <c r="P76" s="14" t="s">
        <v>31</v>
      </c>
      <c r="Q76" s="14" t="s">
        <v>25</v>
      </c>
      <c r="R76" s="14" t="s">
        <v>35</v>
      </c>
    </row>
    <row r="77" spans="1:18" s="14" customFormat="1" x14ac:dyDescent="0.25">
      <c r="A77" s="14" t="str">
        <f>"10001"</f>
        <v>10001</v>
      </c>
      <c r="B77" s="14" t="str">
        <f>"03010"</f>
        <v>03010</v>
      </c>
      <c r="C77" s="14" t="str">
        <f>"1400"</f>
        <v>1400</v>
      </c>
      <c r="D77" s="14" t="str">
        <f>"03010"</f>
        <v>03010</v>
      </c>
      <c r="E77" s="14" t="s">
        <v>20</v>
      </c>
      <c r="F77" s="14" t="s">
        <v>218</v>
      </c>
      <c r="G77" s="14" t="str">
        <f>""</f>
        <v/>
      </c>
      <c r="H77" s="14" t="str">
        <f>" 00"</f>
        <v xml:space="preserve"> 00</v>
      </c>
      <c r="I77" s="14">
        <v>0.01</v>
      </c>
      <c r="J77" s="14">
        <v>9999999.9900000002</v>
      </c>
      <c r="K77" s="14" t="s">
        <v>34</v>
      </c>
      <c r="L77" s="14" t="s">
        <v>25</v>
      </c>
      <c r="P77" s="14" t="s">
        <v>31</v>
      </c>
      <c r="Q77" s="14" t="s">
        <v>25</v>
      </c>
      <c r="R77" s="14" t="s">
        <v>190</v>
      </c>
    </row>
    <row r="78" spans="1:18" s="14" customFormat="1" x14ac:dyDescent="0.25">
      <c r="A78" s="14" t="str">
        <f>"10001"</f>
        <v>10001</v>
      </c>
      <c r="B78" s="14" t="str">
        <f>"03018"</f>
        <v>03018</v>
      </c>
      <c r="C78" s="14" t="str">
        <f>"1100"</f>
        <v>1100</v>
      </c>
      <c r="D78" s="14" t="str">
        <f>"03018"</f>
        <v>03018</v>
      </c>
      <c r="E78" s="14" t="s">
        <v>20</v>
      </c>
      <c r="F78" s="14" t="s">
        <v>219</v>
      </c>
      <c r="G78" s="14" t="str">
        <f>""</f>
        <v/>
      </c>
      <c r="H78" s="14" t="str">
        <f>" 00"</f>
        <v xml:space="preserve"> 00</v>
      </c>
      <c r="I78" s="14">
        <v>0.01</v>
      </c>
      <c r="J78" s="14">
        <v>9999999.9900000002</v>
      </c>
      <c r="K78" s="14" t="s">
        <v>34</v>
      </c>
      <c r="L78" s="14" t="s">
        <v>25</v>
      </c>
      <c r="P78" s="14" t="s">
        <v>31</v>
      </c>
      <c r="Q78" s="14" t="s">
        <v>25</v>
      </c>
      <c r="R78" s="14" t="s">
        <v>35</v>
      </c>
    </row>
    <row r="79" spans="1:18" s="14" customFormat="1" x14ac:dyDescent="0.25">
      <c r="A79" s="14" t="str">
        <f>"10001"</f>
        <v>10001</v>
      </c>
      <c r="B79" s="14" t="str">
        <f>"03020"</f>
        <v>03020</v>
      </c>
      <c r="C79" s="14" t="str">
        <f>"1400"</f>
        <v>1400</v>
      </c>
      <c r="D79" s="14" t="str">
        <f>"03020"</f>
        <v>03020</v>
      </c>
      <c r="E79" s="14" t="s">
        <v>20</v>
      </c>
      <c r="F79" s="14" t="s">
        <v>220</v>
      </c>
      <c r="G79" s="14" t="str">
        <f>""</f>
        <v/>
      </c>
      <c r="H79" s="14" t="str">
        <f>" 00"</f>
        <v xml:space="preserve"> 00</v>
      </c>
      <c r="I79" s="14">
        <v>0.01</v>
      </c>
      <c r="J79" s="14">
        <v>9999999.9900000002</v>
      </c>
      <c r="K79" s="14" t="s">
        <v>34</v>
      </c>
      <c r="L79" s="14" t="s">
        <v>25</v>
      </c>
      <c r="P79" s="14" t="s">
        <v>31</v>
      </c>
      <c r="Q79" s="14" t="s">
        <v>25</v>
      </c>
      <c r="R79" s="14" t="s">
        <v>35</v>
      </c>
    </row>
    <row r="80" spans="1:18" s="14" customFormat="1" x14ac:dyDescent="0.25">
      <c r="A80" s="14" t="str">
        <f>"10001"</f>
        <v>10001</v>
      </c>
      <c r="B80" s="14" t="str">
        <f>"03022"</f>
        <v>03022</v>
      </c>
      <c r="C80" s="14" t="str">
        <f>"1300"</f>
        <v>1300</v>
      </c>
      <c r="D80" s="14" t="str">
        <f>"03022"</f>
        <v>03022</v>
      </c>
      <c r="E80" s="14" t="s">
        <v>20</v>
      </c>
      <c r="F80" s="14" t="s">
        <v>221</v>
      </c>
      <c r="G80" s="14" t="str">
        <f>""</f>
        <v/>
      </c>
      <c r="H80" s="14" t="str">
        <f>" 00"</f>
        <v xml:space="preserve"> 00</v>
      </c>
      <c r="I80" s="14">
        <v>0.01</v>
      </c>
      <c r="J80" s="14">
        <v>9999999.9900000002</v>
      </c>
      <c r="K80" s="14" t="s">
        <v>34</v>
      </c>
      <c r="L80" s="14" t="s">
        <v>25</v>
      </c>
      <c r="P80" s="14" t="s">
        <v>31</v>
      </c>
      <c r="Q80" s="14" t="s">
        <v>25</v>
      </c>
      <c r="R80" s="14" t="s">
        <v>35</v>
      </c>
    </row>
    <row r="81" spans="1:18" s="14" customFormat="1" x14ac:dyDescent="0.25">
      <c r="A81" s="14" t="str">
        <f>"10001"</f>
        <v>10001</v>
      </c>
      <c r="B81" s="14" t="str">
        <f>"03024"</f>
        <v>03024</v>
      </c>
      <c r="C81" s="14" t="str">
        <f>"1700"</f>
        <v>1700</v>
      </c>
      <c r="D81" s="14" t="str">
        <f>"03024"</f>
        <v>03024</v>
      </c>
      <c r="E81" s="14" t="s">
        <v>20</v>
      </c>
      <c r="F81" s="14" t="s">
        <v>222</v>
      </c>
      <c r="G81" s="14" t="str">
        <f>""</f>
        <v/>
      </c>
      <c r="H81" s="14" t="str">
        <f>" 00"</f>
        <v xml:space="preserve"> 00</v>
      </c>
      <c r="I81" s="14">
        <v>0.01</v>
      </c>
      <c r="J81" s="14">
        <v>9999999.9900000002</v>
      </c>
      <c r="K81" s="14" t="s">
        <v>34</v>
      </c>
      <c r="L81" s="14" t="s">
        <v>25</v>
      </c>
      <c r="P81" s="14" t="s">
        <v>31</v>
      </c>
      <c r="Q81" s="14" t="s">
        <v>25</v>
      </c>
      <c r="R81" s="14" t="s">
        <v>35</v>
      </c>
    </row>
    <row r="82" spans="1:18" s="14" customFormat="1" x14ac:dyDescent="0.25">
      <c r="A82" s="14" t="str">
        <f>"10001"</f>
        <v>10001</v>
      </c>
      <c r="B82" s="14" t="str">
        <f>"03026"</f>
        <v>03026</v>
      </c>
      <c r="C82" s="14" t="str">
        <f>"1400"</f>
        <v>1400</v>
      </c>
      <c r="D82" s="14" t="str">
        <f>"03026"</f>
        <v>03026</v>
      </c>
      <c r="E82" s="14" t="s">
        <v>20</v>
      </c>
      <c r="F82" s="14" t="s">
        <v>223</v>
      </c>
      <c r="G82" s="14" t="str">
        <f>""</f>
        <v/>
      </c>
      <c r="H82" s="14" t="str">
        <f>" 00"</f>
        <v xml:space="preserve"> 00</v>
      </c>
      <c r="I82" s="14">
        <v>0.01</v>
      </c>
      <c r="J82" s="14">
        <v>9999999.9900000002</v>
      </c>
      <c r="K82" s="14" t="s">
        <v>34</v>
      </c>
      <c r="L82" s="14" t="s">
        <v>25</v>
      </c>
      <c r="P82" s="14" t="s">
        <v>31</v>
      </c>
      <c r="Q82" s="14" t="s">
        <v>25</v>
      </c>
      <c r="R82" s="14" t="s">
        <v>35</v>
      </c>
    </row>
    <row r="83" spans="1:18" s="14" customFormat="1" x14ac:dyDescent="0.25">
      <c r="A83" s="14" t="str">
        <f>"10001"</f>
        <v>10001</v>
      </c>
      <c r="B83" s="14" t="str">
        <f>"03030"</f>
        <v>03030</v>
      </c>
      <c r="C83" s="14" t="str">
        <f>"1500"</f>
        <v>1500</v>
      </c>
      <c r="D83" s="14" t="str">
        <f>"03030"</f>
        <v>03030</v>
      </c>
      <c r="E83" s="14" t="s">
        <v>20</v>
      </c>
      <c r="F83" s="14" t="s">
        <v>224</v>
      </c>
      <c r="G83" s="14" t="str">
        <f>""</f>
        <v/>
      </c>
      <c r="H83" s="14" t="str">
        <f>" 00"</f>
        <v xml:space="preserve"> 00</v>
      </c>
      <c r="I83" s="14">
        <v>0.01</v>
      </c>
      <c r="J83" s="14">
        <v>9999999.9900000002</v>
      </c>
      <c r="K83" s="14" t="s">
        <v>34</v>
      </c>
      <c r="L83" s="14" t="s">
        <v>25</v>
      </c>
      <c r="P83" s="14" t="s">
        <v>31</v>
      </c>
      <c r="Q83" s="14" t="s">
        <v>25</v>
      </c>
      <c r="R83" s="14" t="s">
        <v>35</v>
      </c>
    </row>
    <row r="84" spans="1:18" s="14" customFormat="1" x14ac:dyDescent="0.25">
      <c r="A84" s="14" t="str">
        <f>"10001"</f>
        <v>10001</v>
      </c>
      <c r="B84" s="14" t="str">
        <f>"03510"</f>
        <v>03510</v>
      </c>
      <c r="C84" s="14" t="str">
        <f>"1000"</f>
        <v>1000</v>
      </c>
      <c r="D84" s="14" t="str">
        <f>""</f>
        <v/>
      </c>
      <c r="E84" s="14" t="s">
        <v>20</v>
      </c>
      <c r="F84" s="14" t="s">
        <v>259</v>
      </c>
      <c r="G84" s="14" t="str">
        <f>""</f>
        <v/>
      </c>
      <c r="H84" s="14" t="str">
        <f>" 00"</f>
        <v xml:space="preserve"> 00</v>
      </c>
      <c r="I84" s="14">
        <v>0.01</v>
      </c>
      <c r="J84" s="14">
        <v>9999999.9900000002</v>
      </c>
      <c r="K84" s="14" t="s">
        <v>34</v>
      </c>
      <c r="P84" s="14" t="s">
        <v>260</v>
      </c>
      <c r="Q84" s="14" t="s">
        <v>25</v>
      </c>
      <c r="R84" s="14" t="s">
        <v>35</v>
      </c>
    </row>
    <row r="85" spans="1:18" s="14" customFormat="1" x14ac:dyDescent="0.25">
      <c r="A85" s="14" t="str">
        <f>"10001"</f>
        <v>10001</v>
      </c>
      <c r="B85" s="14" t="str">
        <f>"03520"</f>
        <v>03520</v>
      </c>
      <c r="C85" s="14" t="str">
        <f>"1000"</f>
        <v>1000</v>
      </c>
      <c r="D85" s="14" t="str">
        <f>""</f>
        <v/>
      </c>
      <c r="E85" s="14" t="s">
        <v>20</v>
      </c>
      <c r="F85" s="14" t="s">
        <v>261</v>
      </c>
      <c r="G85" s="14" t="str">
        <f>""</f>
        <v/>
      </c>
      <c r="H85" s="14" t="str">
        <f>" 00"</f>
        <v xml:space="preserve"> 00</v>
      </c>
      <c r="I85" s="14">
        <v>0.01</v>
      </c>
      <c r="J85" s="14">
        <v>9999999.9900000002</v>
      </c>
      <c r="K85" s="14" t="s">
        <v>34</v>
      </c>
      <c r="P85" s="14" t="s">
        <v>260</v>
      </c>
      <c r="Q85" s="14" t="s">
        <v>25</v>
      </c>
      <c r="R85" s="14" t="s">
        <v>35</v>
      </c>
    </row>
    <row r="86" spans="1:18" s="14" customFormat="1" x14ac:dyDescent="0.25">
      <c r="A86" s="14" t="str">
        <f>"10001"</f>
        <v>10001</v>
      </c>
      <c r="B86" s="14" t="str">
        <f>"03530"</f>
        <v>03530</v>
      </c>
      <c r="C86" s="14" t="str">
        <f>"1000"</f>
        <v>1000</v>
      </c>
      <c r="D86" s="14" t="str">
        <f>""</f>
        <v/>
      </c>
      <c r="E86" s="14" t="s">
        <v>20</v>
      </c>
      <c r="F86" s="14" t="s">
        <v>262</v>
      </c>
      <c r="G86" s="14" t="str">
        <f>""</f>
        <v/>
      </c>
      <c r="H86" s="14" t="str">
        <f>" 00"</f>
        <v xml:space="preserve"> 00</v>
      </c>
      <c r="I86" s="14">
        <v>0.01</v>
      </c>
      <c r="J86" s="14">
        <v>9999999.9900000002</v>
      </c>
      <c r="K86" s="14" t="s">
        <v>34</v>
      </c>
      <c r="P86" s="14" t="s">
        <v>260</v>
      </c>
      <c r="Q86" s="14" t="s">
        <v>25</v>
      </c>
      <c r="R86" s="14" t="s">
        <v>35</v>
      </c>
    </row>
    <row r="87" spans="1:18" s="14" customFormat="1" x14ac:dyDescent="0.25">
      <c r="A87" s="14" t="str">
        <f>"10001"</f>
        <v>10001</v>
      </c>
      <c r="B87" s="14" t="str">
        <f>"03531"</f>
        <v>03531</v>
      </c>
      <c r="C87" s="14" t="str">
        <f>"1400"</f>
        <v>1400</v>
      </c>
      <c r="D87" s="14" t="str">
        <f>"03531"</f>
        <v>03531</v>
      </c>
      <c r="E87" s="14" t="s">
        <v>20</v>
      </c>
      <c r="F87" s="14" t="s">
        <v>263</v>
      </c>
      <c r="G87" s="14" t="str">
        <f>""</f>
        <v/>
      </c>
      <c r="H87" s="14" t="str">
        <f>" 00"</f>
        <v xml:space="preserve"> 00</v>
      </c>
      <c r="I87" s="14">
        <v>0.01</v>
      </c>
      <c r="J87" s="14">
        <v>9999999.9900000002</v>
      </c>
      <c r="K87" s="14" t="s">
        <v>34</v>
      </c>
      <c r="L87" s="14" t="s">
        <v>25</v>
      </c>
      <c r="P87" s="14" t="s">
        <v>260</v>
      </c>
      <c r="Q87" s="14" t="s">
        <v>25</v>
      </c>
      <c r="R87" s="14" t="s">
        <v>35</v>
      </c>
    </row>
    <row r="88" spans="1:18" s="14" customFormat="1" x14ac:dyDescent="0.25">
      <c r="A88" s="14" t="str">
        <f>"10001"</f>
        <v>10001</v>
      </c>
      <c r="B88" s="14" t="str">
        <f>"03540"</f>
        <v>03540</v>
      </c>
      <c r="C88" s="14" t="str">
        <f>"1000"</f>
        <v>1000</v>
      </c>
      <c r="D88" s="14" t="str">
        <f>""</f>
        <v/>
      </c>
      <c r="E88" s="14" t="s">
        <v>20</v>
      </c>
      <c r="F88" s="14" t="s">
        <v>267</v>
      </c>
      <c r="G88" s="14" t="str">
        <f>""</f>
        <v/>
      </c>
      <c r="H88" s="14" t="str">
        <f>" 00"</f>
        <v xml:space="preserve"> 00</v>
      </c>
      <c r="I88" s="14">
        <v>0.01</v>
      </c>
      <c r="J88" s="14">
        <v>9999999.9900000002</v>
      </c>
      <c r="K88" s="14" t="s">
        <v>34</v>
      </c>
      <c r="P88" s="14" t="s">
        <v>260</v>
      </c>
      <c r="Q88" s="14" t="s">
        <v>25</v>
      </c>
      <c r="R88" s="14" t="s">
        <v>35</v>
      </c>
    </row>
    <row r="89" spans="1:18" s="14" customFormat="1" x14ac:dyDescent="0.25">
      <c r="A89" s="14" t="str">
        <f>"10001"</f>
        <v>10001</v>
      </c>
      <c r="B89" s="14" t="str">
        <f>"03541"</f>
        <v>03541</v>
      </c>
      <c r="C89" s="14" t="str">
        <f>"1400"</f>
        <v>1400</v>
      </c>
      <c r="D89" s="14" t="str">
        <f>"03541"</f>
        <v>03541</v>
      </c>
      <c r="E89" s="14" t="s">
        <v>20</v>
      </c>
      <c r="F89" s="14" t="s">
        <v>268</v>
      </c>
      <c r="G89" s="14" t="str">
        <f>""</f>
        <v/>
      </c>
      <c r="H89" s="14" t="str">
        <f>" 00"</f>
        <v xml:space="preserve"> 00</v>
      </c>
      <c r="I89" s="14">
        <v>0.01</v>
      </c>
      <c r="J89" s="14">
        <v>9999999.9900000002</v>
      </c>
      <c r="K89" s="14" t="s">
        <v>34</v>
      </c>
      <c r="L89" s="14" t="s">
        <v>25</v>
      </c>
      <c r="P89" s="14" t="s">
        <v>260</v>
      </c>
      <c r="Q89" s="14" t="s">
        <v>25</v>
      </c>
      <c r="R89" s="14" t="s">
        <v>35</v>
      </c>
    </row>
    <row r="90" spans="1:18" s="14" customFormat="1" x14ac:dyDescent="0.25">
      <c r="A90" s="14" t="str">
        <f>"10001"</f>
        <v>10001</v>
      </c>
      <c r="B90" s="14" t="str">
        <f>"03544"</f>
        <v>03544</v>
      </c>
      <c r="C90" s="14" t="str">
        <f>"1400"</f>
        <v>1400</v>
      </c>
      <c r="D90" s="14" t="str">
        <f>""</f>
        <v/>
      </c>
      <c r="E90" s="14" t="s">
        <v>20</v>
      </c>
      <c r="F90" s="14" t="s">
        <v>270</v>
      </c>
      <c r="G90" s="14" t="str">
        <f>""</f>
        <v/>
      </c>
      <c r="H90" s="14" t="str">
        <f>" 00"</f>
        <v xml:space="preserve"> 00</v>
      </c>
      <c r="I90" s="14">
        <v>0.01</v>
      </c>
      <c r="J90" s="14">
        <v>9999999.9900000002</v>
      </c>
      <c r="K90" s="14" t="s">
        <v>34</v>
      </c>
      <c r="L90" s="14" t="s">
        <v>25</v>
      </c>
      <c r="P90" s="14" t="s">
        <v>260</v>
      </c>
      <c r="Q90" s="14" t="s">
        <v>25</v>
      </c>
      <c r="R90" s="14" t="s">
        <v>35</v>
      </c>
    </row>
    <row r="91" spans="1:18" s="14" customFormat="1" x14ac:dyDescent="0.25">
      <c r="A91" s="14" t="str">
        <f>"10001"</f>
        <v>10001</v>
      </c>
      <c r="B91" s="14" t="str">
        <f>"03545"</f>
        <v>03545</v>
      </c>
      <c r="C91" s="14" t="str">
        <f>"1400"</f>
        <v>1400</v>
      </c>
      <c r="D91" s="14" t="str">
        <f>""</f>
        <v/>
      </c>
      <c r="E91" s="14" t="s">
        <v>20</v>
      </c>
      <c r="F91" s="14" t="s">
        <v>271</v>
      </c>
      <c r="G91" s="14" t="str">
        <f>""</f>
        <v/>
      </c>
      <c r="H91" s="14" t="str">
        <f>" 00"</f>
        <v xml:space="preserve"> 00</v>
      </c>
      <c r="I91" s="14">
        <v>0.01</v>
      </c>
      <c r="J91" s="14">
        <v>9999999.9900000002</v>
      </c>
      <c r="K91" s="14" t="s">
        <v>34</v>
      </c>
      <c r="L91" s="14" t="s">
        <v>25</v>
      </c>
      <c r="P91" s="14" t="s">
        <v>260</v>
      </c>
      <c r="Q91" s="14" t="s">
        <v>25</v>
      </c>
      <c r="R91" s="14" t="s">
        <v>35</v>
      </c>
    </row>
    <row r="92" spans="1:18" s="14" customFormat="1" x14ac:dyDescent="0.25">
      <c r="A92" s="14" t="str">
        <f>"10001"</f>
        <v>10001</v>
      </c>
      <c r="B92" s="14" t="str">
        <f>"03546"</f>
        <v>03546</v>
      </c>
      <c r="C92" s="14" t="str">
        <f>"1400"</f>
        <v>1400</v>
      </c>
      <c r="D92" s="14" t="str">
        <f>""</f>
        <v/>
      </c>
      <c r="E92" s="14" t="s">
        <v>20</v>
      </c>
      <c r="F92" s="14" t="s">
        <v>272</v>
      </c>
      <c r="G92" s="14" t="str">
        <f>""</f>
        <v/>
      </c>
      <c r="H92" s="14" t="str">
        <f>" 00"</f>
        <v xml:space="preserve"> 00</v>
      </c>
      <c r="I92" s="14">
        <v>0.01</v>
      </c>
      <c r="J92" s="14">
        <v>9999999.9900000002</v>
      </c>
      <c r="K92" s="14" t="s">
        <v>34</v>
      </c>
      <c r="L92" s="14" t="s">
        <v>25</v>
      </c>
      <c r="P92" s="14" t="s">
        <v>260</v>
      </c>
      <c r="Q92" s="14" t="s">
        <v>25</v>
      </c>
      <c r="R92" s="14" t="s">
        <v>35</v>
      </c>
    </row>
    <row r="93" spans="1:18" s="14" customFormat="1" x14ac:dyDescent="0.25">
      <c r="A93" s="14" t="str">
        <f>"10001"</f>
        <v>10001</v>
      </c>
      <c r="B93" s="14" t="str">
        <f>"03560"</f>
        <v>03560</v>
      </c>
      <c r="C93" s="14" t="str">
        <f>"1000"</f>
        <v>1000</v>
      </c>
      <c r="D93" s="14" t="str">
        <f>""</f>
        <v/>
      </c>
      <c r="E93" s="14" t="s">
        <v>20</v>
      </c>
      <c r="F93" s="14" t="s">
        <v>273</v>
      </c>
      <c r="G93" s="14" t="str">
        <f>""</f>
        <v/>
      </c>
      <c r="H93" s="14" t="str">
        <f>" 00"</f>
        <v xml:space="preserve"> 00</v>
      </c>
      <c r="I93" s="14">
        <v>0.01</v>
      </c>
      <c r="J93" s="14">
        <v>9999999.9900000002</v>
      </c>
      <c r="K93" s="14" t="s">
        <v>34</v>
      </c>
      <c r="P93" s="14" t="s">
        <v>260</v>
      </c>
      <c r="Q93" s="14" t="s">
        <v>25</v>
      </c>
      <c r="R93" s="14" t="s">
        <v>35</v>
      </c>
    </row>
    <row r="94" spans="1:18" s="14" customFormat="1" x14ac:dyDescent="0.25">
      <c r="A94" s="14" t="str">
        <f>"10001"</f>
        <v>10001</v>
      </c>
      <c r="B94" s="14" t="str">
        <f>"03570"</f>
        <v>03570</v>
      </c>
      <c r="C94" s="14" t="str">
        <f>"1000"</f>
        <v>1000</v>
      </c>
      <c r="D94" s="14" t="str">
        <f>""</f>
        <v/>
      </c>
      <c r="E94" s="14" t="s">
        <v>20</v>
      </c>
      <c r="F94" s="14" t="s">
        <v>274</v>
      </c>
      <c r="G94" s="14" t="str">
        <f>""</f>
        <v/>
      </c>
      <c r="H94" s="14" t="str">
        <f>" 00"</f>
        <v xml:space="preserve"> 00</v>
      </c>
      <c r="I94" s="14">
        <v>0.01</v>
      </c>
      <c r="J94" s="14">
        <v>9999999.9900000002</v>
      </c>
      <c r="K94" s="14" t="s">
        <v>34</v>
      </c>
      <c r="P94" s="14" t="s">
        <v>260</v>
      </c>
      <c r="Q94" s="14" t="s">
        <v>25</v>
      </c>
      <c r="R94" s="14" t="s">
        <v>35</v>
      </c>
    </row>
    <row r="95" spans="1:18" s="14" customFormat="1" x14ac:dyDescent="0.25">
      <c r="A95" s="14" t="str">
        <f>"10001"</f>
        <v>10001</v>
      </c>
      <c r="B95" s="14" t="str">
        <f>"03575"</f>
        <v>03575</v>
      </c>
      <c r="C95" s="14" t="str">
        <f>"1000"</f>
        <v>1000</v>
      </c>
      <c r="D95" s="14" t="str">
        <f>""</f>
        <v/>
      </c>
      <c r="E95" s="14" t="s">
        <v>20</v>
      </c>
      <c r="F95" s="14" t="s">
        <v>275</v>
      </c>
      <c r="G95" s="14" t="str">
        <f>""</f>
        <v/>
      </c>
      <c r="H95" s="14" t="str">
        <f>" 00"</f>
        <v xml:space="preserve"> 00</v>
      </c>
      <c r="I95" s="14">
        <v>0.01</v>
      </c>
      <c r="J95" s="14">
        <v>9999999.9900000002</v>
      </c>
      <c r="K95" s="14" t="s">
        <v>34</v>
      </c>
      <c r="P95" s="14" t="s">
        <v>260</v>
      </c>
      <c r="Q95" s="14" t="s">
        <v>25</v>
      </c>
      <c r="R95" s="14" t="s">
        <v>35</v>
      </c>
    </row>
    <row r="96" spans="1:18" s="14" customFormat="1" x14ac:dyDescent="0.25">
      <c r="A96" s="14" t="str">
        <f>"10001"</f>
        <v>10001</v>
      </c>
      <c r="B96" s="14" t="str">
        <f>"03581"</f>
        <v>03581</v>
      </c>
      <c r="C96" s="14" t="str">
        <f>"1000"</f>
        <v>1000</v>
      </c>
      <c r="D96" s="14" t="str">
        <f>""</f>
        <v/>
      </c>
      <c r="E96" s="14" t="s">
        <v>20</v>
      </c>
      <c r="F96" s="14" t="s">
        <v>276</v>
      </c>
      <c r="G96" s="14" t="str">
        <f>""</f>
        <v/>
      </c>
      <c r="H96" s="14" t="str">
        <f>" 00"</f>
        <v xml:space="preserve"> 00</v>
      </c>
      <c r="I96" s="14">
        <v>0.01</v>
      </c>
      <c r="J96" s="14">
        <v>9999999.9900000002</v>
      </c>
      <c r="K96" s="14" t="s">
        <v>34</v>
      </c>
      <c r="P96" s="14" t="s">
        <v>260</v>
      </c>
      <c r="Q96" s="14" t="s">
        <v>25</v>
      </c>
      <c r="R96" s="14" t="s">
        <v>35</v>
      </c>
    </row>
    <row r="97" spans="1:18" s="14" customFormat="1" x14ac:dyDescent="0.25">
      <c r="A97" s="14" t="str">
        <f>"10001"</f>
        <v>10001</v>
      </c>
      <c r="B97" s="14" t="str">
        <f>"03585"</f>
        <v>03585</v>
      </c>
      <c r="C97" s="14" t="str">
        <f>"1000"</f>
        <v>1000</v>
      </c>
      <c r="D97" s="14" t="str">
        <f>""</f>
        <v/>
      </c>
      <c r="E97" s="14" t="s">
        <v>20</v>
      </c>
      <c r="F97" s="14" t="s">
        <v>277</v>
      </c>
      <c r="G97" s="14" t="str">
        <f>""</f>
        <v/>
      </c>
      <c r="H97" s="14" t="str">
        <f>" 00"</f>
        <v xml:space="preserve"> 00</v>
      </c>
      <c r="I97" s="14">
        <v>0.01</v>
      </c>
      <c r="J97" s="14">
        <v>9999999.9900000002</v>
      </c>
      <c r="K97" s="14" t="s">
        <v>34</v>
      </c>
      <c r="P97" s="14" t="s">
        <v>260</v>
      </c>
      <c r="Q97" s="14" t="s">
        <v>25</v>
      </c>
      <c r="R97" s="14" t="s">
        <v>35</v>
      </c>
    </row>
    <row r="98" spans="1:18" s="14" customFormat="1" x14ac:dyDescent="0.25">
      <c r="A98" s="14" t="str">
        <f>"10001"</f>
        <v>10001</v>
      </c>
      <c r="B98" s="14" t="str">
        <f>"03591"</f>
        <v>03591</v>
      </c>
      <c r="C98" s="14" t="str">
        <f>"1000"</f>
        <v>1000</v>
      </c>
      <c r="D98" s="14" t="str">
        <f>""</f>
        <v/>
      </c>
      <c r="E98" s="14" t="s">
        <v>20</v>
      </c>
      <c r="F98" s="14" t="s">
        <v>278</v>
      </c>
      <c r="G98" s="14" t="str">
        <f>""</f>
        <v/>
      </c>
      <c r="H98" s="14" t="str">
        <f>" 00"</f>
        <v xml:space="preserve"> 00</v>
      </c>
      <c r="I98" s="14">
        <v>0.01</v>
      </c>
      <c r="J98" s="14">
        <v>9999999.9900000002</v>
      </c>
      <c r="K98" s="14" t="s">
        <v>34</v>
      </c>
      <c r="P98" s="14" t="s">
        <v>260</v>
      </c>
      <c r="Q98" s="14" t="s">
        <v>25</v>
      </c>
      <c r="R98" s="14" t="s">
        <v>35</v>
      </c>
    </row>
    <row r="99" spans="1:18" s="14" customFormat="1" x14ac:dyDescent="0.25">
      <c r="A99" s="14" t="str">
        <f>"10001"</f>
        <v>10001</v>
      </c>
      <c r="B99" s="14" t="str">
        <f>"03600"</f>
        <v>03600</v>
      </c>
      <c r="C99" s="14" t="str">
        <f>"1000"</f>
        <v>1000</v>
      </c>
      <c r="D99" s="14" t="str">
        <f>""</f>
        <v/>
      </c>
      <c r="E99" s="14" t="s">
        <v>20</v>
      </c>
      <c r="F99" s="14" t="s">
        <v>279</v>
      </c>
      <c r="G99" s="14" t="str">
        <f>""</f>
        <v/>
      </c>
      <c r="H99" s="14" t="str">
        <f>" 00"</f>
        <v xml:space="preserve"> 00</v>
      </c>
      <c r="I99" s="14">
        <v>0.01</v>
      </c>
      <c r="J99" s="14">
        <v>9999999.9900000002</v>
      </c>
      <c r="K99" s="14" t="s">
        <v>34</v>
      </c>
      <c r="P99" s="14" t="s">
        <v>260</v>
      </c>
      <c r="Q99" s="14" t="s">
        <v>25</v>
      </c>
      <c r="R99" s="14" t="s">
        <v>35</v>
      </c>
    </row>
    <row r="100" spans="1:18" s="14" customFormat="1" x14ac:dyDescent="0.25">
      <c r="A100" s="14" t="str">
        <f>"10001"</f>
        <v>10001</v>
      </c>
      <c r="B100" s="14" t="str">
        <f>"03611"</f>
        <v>03611</v>
      </c>
      <c r="C100" s="14" t="str">
        <f>"1000"</f>
        <v>1000</v>
      </c>
      <c r="D100" s="14" t="str">
        <f>""</f>
        <v/>
      </c>
      <c r="E100" s="14" t="s">
        <v>20</v>
      </c>
      <c r="F100" s="14" t="s">
        <v>280</v>
      </c>
      <c r="G100" s="14" t="str">
        <f>""</f>
        <v/>
      </c>
      <c r="H100" s="14" t="str">
        <f>" 00"</f>
        <v xml:space="preserve"> 00</v>
      </c>
      <c r="I100" s="14">
        <v>0.01</v>
      </c>
      <c r="J100" s="14">
        <v>9999999.9900000002</v>
      </c>
      <c r="K100" s="14" t="s">
        <v>34</v>
      </c>
      <c r="P100" s="14" t="s">
        <v>260</v>
      </c>
      <c r="Q100" s="14" t="s">
        <v>25</v>
      </c>
      <c r="R100" s="14" t="s">
        <v>35</v>
      </c>
    </row>
    <row r="101" spans="1:18" s="14" customFormat="1" x14ac:dyDescent="0.25">
      <c r="A101" s="14" t="str">
        <f>"10001"</f>
        <v>10001</v>
      </c>
      <c r="B101" s="14" t="str">
        <f>"03612"</f>
        <v>03612</v>
      </c>
      <c r="C101" s="14" t="str">
        <f>"1000"</f>
        <v>1000</v>
      </c>
      <c r="D101" s="14" t="str">
        <f>""</f>
        <v/>
      </c>
      <c r="E101" s="14" t="s">
        <v>20</v>
      </c>
      <c r="F101" s="14" t="s">
        <v>281</v>
      </c>
      <c r="G101" s="14" t="str">
        <f>""</f>
        <v/>
      </c>
      <c r="H101" s="14" t="str">
        <f>" 00"</f>
        <v xml:space="preserve"> 00</v>
      </c>
      <c r="I101" s="14">
        <v>0.01</v>
      </c>
      <c r="J101" s="14">
        <v>9999999.9900000002</v>
      </c>
      <c r="K101" s="14" t="s">
        <v>34</v>
      </c>
      <c r="P101" s="14" t="s">
        <v>260</v>
      </c>
      <c r="Q101" s="14" t="s">
        <v>25</v>
      </c>
      <c r="R101" s="14" t="s">
        <v>35</v>
      </c>
    </row>
    <row r="102" spans="1:18" s="14" customFormat="1" x14ac:dyDescent="0.25">
      <c r="A102" s="14" t="str">
        <f>"10001"</f>
        <v>10001</v>
      </c>
      <c r="B102" s="14" t="str">
        <f>"03613"</f>
        <v>03613</v>
      </c>
      <c r="C102" s="14" t="str">
        <f>"1000"</f>
        <v>1000</v>
      </c>
      <c r="D102" s="14" t="str">
        <f>""</f>
        <v/>
      </c>
      <c r="E102" s="14" t="s">
        <v>20</v>
      </c>
      <c r="F102" s="14" t="s">
        <v>282</v>
      </c>
      <c r="G102" s="14" t="str">
        <f>""</f>
        <v/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34</v>
      </c>
      <c r="P102" s="14" t="s">
        <v>260</v>
      </c>
      <c r="Q102" s="14" t="s">
        <v>25</v>
      </c>
      <c r="R102" s="14" t="s">
        <v>35</v>
      </c>
    </row>
    <row r="103" spans="1:18" s="14" customFormat="1" x14ac:dyDescent="0.25">
      <c r="A103" s="14" t="str">
        <f>"10001"</f>
        <v>10001</v>
      </c>
      <c r="B103" s="14" t="str">
        <f>"03614"</f>
        <v>03614</v>
      </c>
      <c r="C103" s="14" t="str">
        <f>"1000"</f>
        <v>1000</v>
      </c>
      <c r="D103" s="14" t="str">
        <f>""</f>
        <v/>
      </c>
      <c r="E103" s="14" t="s">
        <v>20</v>
      </c>
      <c r="F103" s="14" t="s">
        <v>283</v>
      </c>
      <c r="G103" s="14" t="str">
        <f>""</f>
        <v/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34</v>
      </c>
      <c r="P103" s="14" t="s">
        <v>260</v>
      </c>
      <c r="Q103" s="14" t="s">
        <v>25</v>
      </c>
      <c r="R103" s="14" t="s">
        <v>35</v>
      </c>
    </row>
    <row r="104" spans="1:18" s="14" customFormat="1" x14ac:dyDescent="0.25">
      <c r="A104" s="14" t="str">
        <f>"10001"</f>
        <v>10001</v>
      </c>
      <c r="B104" s="14" t="str">
        <f>"03615"</f>
        <v>03615</v>
      </c>
      <c r="C104" s="14" t="str">
        <f>"1000"</f>
        <v>1000</v>
      </c>
      <c r="D104" s="14" t="str">
        <f>""</f>
        <v/>
      </c>
      <c r="E104" s="14" t="s">
        <v>20</v>
      </c>
      <c r="F104" s="14" t="s">
        <v>284</v>
      </c>
      <c r="G104" s="14" t="str">
        <f>""</f>
        <v/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34</v>
      </c>
      <c r="P104" s="14" t="s">
        <v>260</v>
      </c>
      <c r="Q104" s="14" t="s">
        <v>25</v>
      </c>
      <c r="R104" s="14" t="s">
        <v>35</v>
      </c>
    </row>
    <row r="105" spans="1:18" s="14" customFormat="1" x14ac:dyDescent="0.25">
      <c r="A105" s="14" t="str">
        <f>"10001"</f>
        <v>10001</v>
      </c>
      <c r="B105" s="14" t="str">
        <f>"03616"</f>
        <v>03616</v>
      </c>
      <c r="C105" s="14" t="str">
        <f>"1000"</f>
        <v>1000</v>
      </c>
      <c r="D105" s="14" t="str">
        <f>""</f>
        <v/>
      </c>
      <c r="E105" s="14" t="s">
        <v>20</v>
      </c>
      <c r="F105" s="14" t="s">
        <v>285</v>
      </c>
      <c r="G105" s="14" t="str">
        <f>""</f>
        <v/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34</v>
      </c>
      <c r="P105" s="14" t="s">
        <v>260</v>
      </c>
      <c r="Q105" s="14" t="s">
        <v>25</v>
      </c>
      <c r="R105" s="14" t="s">
        <v>35</v>
      </c>
    </row>
    <row r="106" spans="1:18" s="14" customFormat="1" x14ac:dyDescent="0.25">
      <c r="A106" s="14" t="str">
        <f>"10001"</f>
        <v>10001</v>
      </c>
      <c r="B106" s="14" t="str">
        <f>"03620"</f>
        <v>03620</v>
      </c>
      <c r="C106" s="14" t="str">
        <f>"1000"</f>
        <v>1000</v>
      </c>
      <c r="D106" s="14" t="str">
        <f>""</f>
        <v/>
      </c>
      <c r="E106" s="14" t="s">
        <v>20</v>
      </c>
      <c r="F106" s="14" t="s">
        <v>286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34</v>
      </c>
      <c r="P106" s="14" t="s">
        <v>260</v>
      </c>
      <c r="Q106" s="14" t="s">
        <v>25</v>
      </c>
      <c r="R106" s="14" t="s">
        <v>35</v>
      </c>
    </row>
    <row r="107" spans="1:18" s="14" customFormat="1" x14ac:dyDescent="0.25">
      <c r="A107" s="14" t="str">
        <f>"10001"</f>
        <v>10001</v>
      </c>
      <c r="B107" s="14" t="str">
        <f>"03630"</f>
        <v>03630</v>
      </c>
      <c r="C107" s="14" t="str">
        <f>"1000"</f>
        <v>1000</v>
      </c>
      <c r="D107" s="14" t="str">
        <f>""</f>
        <v/>
      </c>
      <c r="E107" s="14" t="s">
        <v>20</v>
      </c>
      <c r="F107" s="14" t="s">
        <v>287</v>
      </c>
      <c r="G107" s="14" t="str">
        <f>""</f>
        <v/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34</v>
      </c>
      <c r="P107" s="14" t="s">
        <v>260</v>
      </c>
      <c r="Q107" s="14" t="s">
        <v>25</v>
      </c>
      <c r="R107" s="14" t="s">
        <v>35</v>
      </c>
    </row>
    <row r="108" spans="1:18" s="14" customFormat="1" x14ac:dyDescent="0.25">
      <c r="A108" s="14" t="str">
        <f>"10001"</f>
        <v>10001</v>
      </c>
      <c r="B108" s="14" t="str">
        <f>"03640"</f>
        <v>03640</v>
      </c>
      <c r="C108" s="14" t="str">
        <f>"1000"</f>
        <v>1000</v>
      </c>
      <c r="D108" s="14" t="str">
        <f>""</f>
        <v/>
      </c>
      <c r="E108" s="14" t="s">
        <v>20</v>
      </c>
      <c r="F108" s="14" t="s">
        <v>288</v>
      </c>
      <c r="G108" s="14" t="str">
        <f>""</f>
        <v/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34</v>
      </c>
      <c r="P108" s="14" t="s">
        <v>260</v>
      </c>
      <c r="Q108" s="14" t="s">
        <v>25</v>
      </c>
      <c r="R108" s="14" t="s">
        <v>35</v>
      </c>
    </row>
    <row r="109" spans="1:18" s="14" customFormat="1" x14ac:dyDescent="0.25">
      <c r="A109" s="14" t="str">
        <f>"10001"</f>
        <v>10001</v>
      </c>
      <c r="B109" s="14" t="str">
        <f>"03650"</f>
        <v>03650</v>
      </c>
      <c r="C109" s="14" t="str">
        <f>"1000"</f>
        <v>1000</v>
      </c>
      <c r="D109" s="14" t="str">
        <f>""</f>
        <v/>
      </c>
      <c r="E109" s="14" t="s">
        <v>20</v>
      </c>
      <c r="F109" s="14" t="s">
        <v>289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34</v>
      </c>
      <c r="P109" s="14" t="s">
        <v>260</v>
      </c>
      <c r="Q109" s="14" t="s">
        <v>25</v>
      </c>
      <c r="R109" s="14" t="s">
        <v>35</v>
      </c>
    </row>
    <row r="110" spans="1:18" s="14" customFormat="1" x14ac:dyDescent="0.25">
      <c r="A110" s="14" t="str">
        <f>"10001"</f>
        <v>10001</v>
      </c>
      <c r="B110" s="14" t="str">
        <f>"03660"</f>
        <v>03660</v>
      </c>
      <c r="C110" s="14" t="str">
        <f>"1000"</f>
        <v>1000</v>
      </c>
      <c r="D110" s="14" t="str">
        <f>""</f>
        <v/>
      </c>
      <c r="E110" s="14" t="s">
        <v>20</v>
      </c>
      <c r="F110" s="14" t="s">
        <v>290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34</v>
      </c>
      <c r="P110" s="14" t="s">
        <v>260</v>
      </c>
      <c r="Q110" s="14" t="s">
        <v>25</v>
      </c>
      <c r="R110" s="14" t="s">
        <v>35</v>
      </c>
    </row>
    <row r="111" spans="1:18" s="14" customFormat="1" x14ac:dyDescent="0.25">
      <c r="A111" s="14" t="str">
        <f>"10001"</f>
        <v>10001</v>
      </c>
      <c r="B111" s="14" t="str">
        <f>"03680"</f>
        <v>03680</v>
      </c>
      <c r="C111" s="14" t="str">
        <f>"1000"</f>
        <v>1000</v>
      </c>
      <c r="D111" s="14" t="str">
        <f>""</f>
        <v/>
      </c>
      <c r="E111" s="14" t="s">
        <v>20</v>
      </c>
      <c r="F111" s="14" t="s">
        <v>291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34</v>
      </c>
      <c r="P111" s="14" t="s">
        <v>260</v>
      </c>
      <c r="Q111" s="14" t="s">
        <v>25</v>
      </c>
      <c r="R111" s="14" t="s">
        <v>35</v>
      </c>
    </row>
    <row r="112" spans="1:18" s="14" customFormat="1" x14ac:dyDescent="0.25">
      <c r="A112" s="14" t="str">
        <f>"10001"</f>
        <v>10001</v>
      </c>
      <c r="B112" s="14" t="str">
        <f>"03681"</f>
        <v>03681</v>
      </c>
      <c r="C112" s="14" t="str">
        <f>"1000"</f>
        <v>1000</v>
      </c>
      <c r="D112" s="14" t="str">
        <f>""</f>
        <v/>
      </c>
      <c r="E112" s="14" t="s">
        <v>20</v>
      </c>
      <c r="F112" s="14" t="s">
        <v>292</v>
      </c>
      <c r="G112" s="14" t="str">
        <f>""</f>
        <v/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34</v>
      </c>
      <c r="P112" s="14" t="s">
        <v>260</v>
      </c>
      <c r="Q112" s="14" t="s">
        <v>25</v>
      </c>
      <c r="R112" s="14" t="s">
        <v>35</v>
      </c>
    </row>
    <row r="113" spans="1:18" s="14" customFormat="1" x14ac:dyDescent="0.25">
      <c r="A113" s="14" t="str">
        <f>"10001"</f>
        <v>10001</v>
      </c>
      <c r="B113" s="14" t="str">
        <f>"03682"</f>
        <v>03682</v>
      </c>
      <c r="C113" s="14" t="str">
        <f>"1000"</f>
        <v>1000</v>
      </c>
      <c r="D113" s="14" t="str">
        <f>""</f>
        <v/>
      </c>
      <c r="E113" s="14" t="s">
        <v>20</v>
      </c>
      <c r="F113" s="14" t="s">
        <v>293</v>
      </c>
      <c r="G113" s="14" t="str">
        <f>""</f>
        <v/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34</v>
      </c>
      <c r="P113" s="14" t="s">
        <v>260</v>
      </c>
      <c r="Q113" s="14" t="s">
        <v>25</v>
      </c>
      <c r="R113" s="14" t="s">
        <v>35</v>
      </c>
    </row>
    <row r="114" spans="1:18" s="14" customFormat="1" x14ac:dyDescent="0.25">
      <c r="A114" s="14" t="str">
        <f>"10001"</f>
        <v>10001</v>
      </c>
      <c r="B114" s="14" t="str">
        <f>"03683"</f>
        <v>03683</v>
      </c>
      <c r="C114" s="14" t="str">
        <f>"1000"</f>
        <v>1000</v>
      </c>
      <c r="D114" s="14" t="str">
        <f>""</f>
        <v/>
      </c>
      <c r="E114" s="14" t="s">
        <v>20</v>
      </c>
      <c r="F114" s="14" t="s">
        <v>294</v>
      </c>
      <c r="G114" s="14" t="str">
        <f>""</f>
        <v/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34</v>
      </c>
      <c r="P114" s="14" t="s">
        <v>260</v>
      </c>
      <c r="Q114" s="14" t="s">
        <v>25</v>
      </c>
      <c r="R114" s="14" t="s">
        <v>35</v>
      </c>
    </row>
    <row r="115" spans="1:18" s="14" customFormat="1" x14ac:dyDescent="0.25">
      <c r="A115" s="14" t="str">
        <f>"10001"</f>
        <v>10001</v>
      </c>
      <c r="B115" s="14" t="str">
        <f>"03684"</f>
        <v>03684</v>
      </c>
      <c r="C115" s="14" t="str">
        <f>"1000"</f>
        <v>1000</v>
      </c>
      <c r="D115" s="14" t="str">
        <f>""</f>
        <v/>
      </c>
      <c r="E115" s="14" t="s">
        <v>20</v>
      </c>
      <c r="F115" s="14" t="s">
        <v>295</v>
      </c>
      <c r="G115" s="14" t="str">
        <f>""</f>
        <v/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34</v>
      </c>
      <c r="P115" s="14" t="s">
        <v>260</v>
      </c>
      <c r="Q115" s="14" t="s">
        <v>25</v>
      </c>
      <c r="R115" s="14" t="s">
        <v>35</v>
      </c>
    </row>
    <row r="116" spans="1:18" s="14" customFormat="1" x14ac:dyDescent="0.25">
      <c r="A116" s="14" t="str">
        <f>"10001"</f>
        <v>10001</v>
      </c>
      <c r="B116" s="14" t="str">
        <f>"03685"</f>
        <v>03685</v>
      </c>
      <c r="C116" s="14" t="str">
        <f>"1000"</f>
        <v>1000</v>
      </c>
      <c r="D116" s="14" t="str">
        <f>""</f>
        <v/>
      </c>
      <c r="E116" s="14" t="s">
        <v>20</v>
      </c>
      <c r="F116" s="14" t="s">
        <v>296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34</v>
      </c>
      <c r="P116" s="14" t="s">
        <v>260</v>
      </c>
      <c r="Q116" s="14" t="s">
        <v>25</v>
      </c>
      <c r="R116" s="14" t="s">
        <v>35</v>
      </c>
    </row>
    <row r="117" spans="1:18" s="14" customFormat="1" x14ac:dyDescent="0.25">
      <c r="A117" s="14" t="str">
        <f>"10001"</f>
        <v>10001</v>
      </c>
      <c r="B117" s="14" t="str">
        <f>"03686"</f>
        <v>03686</v>
      </c>
      <c r="C117" s="14" t="str">
        <f>"1000"</f>
        <v>1000</v>
      </c>
      <c r="D117" s="14" t="str">
        <f>""</f>
        <v/>
      </c>
      <c r="E117" s="14" t="s">
        <v>20</v>
      </c>
      <c r="F117" s="14" t="s">
        <v>297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34</v>
      </c>
      <c r="P117" s="14" t="s">
        <v>260</v>
      </c>
      <c r="Q117" s="14" t="s">
        <v>25</v>
      </c>
      <c r="R117" s="14" t="s">
        <v>35</v>
      </c>
    </row>
    <row r="118" spans="1:18" s="14" customFormat="1" x14ac:dyDescent="0.25">
      <c r="A118" s="14" t="str">
        <f>"10001"</f>
        <v>10001</v>
      </c>
      <c r="B118" s="14" t="str">
        <f>"03687"</f>
        <v>03687</v>
      </c>
      <c r="C118" s="14" t="str">
        <f>"1000"</f>
        <v>1000</v>
      </c>
      <c r="D118" s="14" t="str">
        <f>""</f>
        <v/>
      </c>
      <c r="E118" s="14" t="s">
        <v>20</v>
      </c>
      <c r="F118" s="14" t="s">
        <v>298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34</v>
      </c>
      <c r="P118" s="14" t="s">
        <v>260</v>
      </c>
      <c r="Q118" s="14" t="s">
        <v>25</v>
      </c>
      <c r="R118" s="14" t="s">
        <v>35</v>
      </c>
    </row>
    <row r="119" spans="1:18" s="14" customFormat="1" x14ac:dyDescent="0.25">
      <c r="A119" s="14" t="str">
        <f>"10001"</f>
        <v>10001</v>
      </c>
      <c r="B119" s="14" t="str">
        <f>"03688"</f>
        <v>03688</v>
      </c>
      <c r="C119" s="14" t="str">
        <f>"1000"</f>
        <v>1000</v>
      </c>
      <c r="D119" s="14" t="str">
        <f>""</f>
        <v/>
      </c>
      <c r="E119" s="14" t="s">
        <v>20</v>
      </c>
      <c r="F119" s="14" t="s">
        <v>299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34</v>
      </c>
      <c r="P119" s="14" t="s">
        <v>260</v>
      </c>
      <c r="Q119" s="14" t="s">
        <v>25</v>
      </c>
      <c r="R119" s="14" t="s">
        <v>35</v>
      </c>
    </row>
    <row r="120" spans="1:18" s="14" customFormat="1" x14ac:dyDescent="0.25">
      <c r="A120" s="14" t="str">
        <f>"10001"</f>
        <v>10001</v>
      </c>
      <c r="B120" s="14" t="str">
        <f>"03689"</f>
        <v>03689</v>
      </c>
      <c r="C120" s="14" t="str">
        <f>"1000"</f>
        <v>1000</v>
      </c>
      <c r="D120" s="14" t="str">
        <f>""</f>
        <v/>
      </c>
      <c r="E120" s="14" t="s">
        <v>20</v>
      </c>
      <c r="F120" s="14" t="s">
        <v>300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34</v>
      </c>
      <c r="P120" s="14" t="s">
        <v>260</v>
      </c>
      <c r="Q120" s="14" t="s">
        <v>25</v>
      </c>
      <c r="R120" s="14" t="s">
        <v>35</v>
      </c>
    </row>
    <row r="121" spans="1:18" s="14" customFormat="1" x14ac:dyDescent="0.25">
      <c r="A121" s="14" t="str">
        <f>"10001"</f>
        <v>10001</v>
      </c>
      <c r="B121" s="14" t="str">
        <f>"03691"</f>
        <v>03691</v>
      </c>
      <c r="C121" s="14" t="str">
        <f>"1000"</f>
        <v>1000</v>
      </c>
      <c r="D121" s="14" t="str">
        <f>""</f>
        <v/>
      </c>
      <c r="E121" s="14" t="s">
        <v>20</v>
      </c>
      <c r="F121" s="14" t="s">
        <v>301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34</v>
      </c>
      <c r="P121" s="14" t="s">
        <v>260</v>
      </c>
      <c r="Q121" s="14" t="s">
        <v>25</v>
      </c>
      <c r="R121" s="14" t="s">
        <v>35</v>
      </c>
    </row>
    <row r="122" spans="1:18" s="14" customFormat="1" x14ac:dyDescent="0.25">
      <c r="A122" s="14" t="str">
        <f>"10001"</f>
        <v>10001</v>
      </c>
      <c r="B122" s="14" t="str">
        <f>"03700"</f>
        <v>03700</v>
      </c>
      <c r="C122" s="14" t="str">
        <f>"1000"</f>
        <v>1000</v>
      </c>
      <c r="D122" s="14" t="str">
        <f>""</f>
        <v/>
      </c>
      <c r="E122" s="14" t="s">
        <v>20</v>
      </c>
      <c r="F122" s="14" t="s">
        <v>302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34</v>
      </c>
      <c r="P122" s="14" t="s">
        <v>260</v>
      </c>
      <c r="Q122" s="14" t="s">
        <v>25</v>
      </c>
      <c r="R122" s="14" t="s">
        <v>35</v>
      </c>
    </row>
    <row r="123" spans="1:18" s="14" customFormat="1" x14ac:dyDescent="0.25">
      <c r="A123" s="14" t="str">
        <f>"10001"</f>
        <v>10001</v>
      </c>
      <c r="B123" s="14" t="str">
        <f>"03710"</f>
        <v>03710</v>
      </c>
      <c r="C123" s="14" t="str">
        <f>"1000"</f>
        <v>1000</v>
      </c>
      <c r="D123" s="14" t="str">
        <f>""</f>
        <v/>
      </c>
      <c r="E123" s="14" t="s">
        <v>20</v>
      </c>
      <c r="F123" s="14" t="s">
        <v>303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34</v>
      </c>
      <c r="P123" s="14" t="s">
        <v>260</v>
      </c>
      <c r="Q123" s="14" t="s">
        <v>25</v>
      </c>
      <c r="R123" s="14" t="s">
        <v>35</v>
      </c>
    </row>
    <row r="124" spans="1:18" s="14" customFormat="1" x14ac:dyDescent="0.25">
      <c r="A124" s="14" t="str">
        <f>"10001"</f>
        <v>10001</v>
      </c>
      <c r="B124" s="14" t="str">
        <f>"03720"</f>
        <v>03720</v>
      </c>
      <c r="C124" s="14" t="str">
        <f>"1000"</f>
        <v>1000</v>
      </c>
      <c r="D124" s="14" t="str">
        <f>""</f>
        <v/>
      </c>
      <c r="E124" s="14" t="s">
        <v>20</v>
      </c>
      <c r="F124" s="14" t="s">
        <v>304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34</v>
      </c>
      <c r="P124" s="14" t="s">
        <v>260</v>
      </c>
      <c r="Q124" s="14" t="s">
        <v>25</v>
      </c>
      <c r="R124" s="14" t="s">
        <v>35</v>
      </c>
    </row>
    <row r="125" spans="1:18" s="14" customFormat="1" x14ac:dyDescent="0.25">
      <c r="A125" s="14" t="str">
        <f>"10001"</f>
        <v>10001</v>
      </c>
      <c r="B125" s="14" t="str">
        <f>"03730"</f>
        <v>03730</v>
      </c>
      <c r="C125" s="14" t="str">
        <f>"1000"</f>
        <v>1000</v>
      </c>
      <c r="D125" s="14" t="str">
        <f>""</f>
        <v/>
      </c>
      <c r="E125" s="14" t="s">
        <v>20</v>
      </c>
      <c r="F125" s="14" t="s">
        <v>305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34</v>
      </c>
      <c r="P125" s="14" t="s">
        <v>260</v>
      </c>
      <c r="Q125" s="14" t="s">
        <v>25</v>
      </c>
      <c r="R125" s="14" t="s">
        <v>35</v>
      </c>
    </row>
    <row r="126" spans="1:18" s="14" customFormat="1" x14ac:dyDescent="0.25">
      <c r="A126" s="14" t="str">
        <f>"10001"</f>
        <v>10001</v>
      </c>
      <c r="B126" s="14" t="str">
        <f>"03770"</f>
        <v>03770</v>
      </c>
      <c r="C126" s="14" t="str">
        <f>"1000"</f>
        <v>1000</v>
      </c>
      <c r="D126" s="14" t="str">
        <f>""</f>
        <v/>
      </c>
      <c r="E126" s="14" t="s">
        <v>20</v>
      </c>
      <c r="F126" s="14" t="s">
        <v>306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34</v>
      </c>
      <c r="P126" s="14" t="s">
        <v>260</v>
      </c>
      <c r="Q126" s="14" t="s">
        <v>25</v>
      </c>
      <c r="R126" s="14" t="s">
        <v>35</v>
      </c>
    </row>
    <row r="127" spans="1:18" s="14" customFormat="1" x14ac:dyDescent="0.25">
      <c r="A127" s="14" t="str">
        <f>"10001"</f>
        <v>10001</v>
      </c>
      <c r="B127" s="14" t="str">
        <f>"03780"</f>
        <v>03780</v>
      </c>
      <c r="C127" s="14" t="str">
        <f>"1000"</f>
        <v>1000</v>
      </c>
      <c r="D127" s="14" t="str">
        <f>""</f>
        <v/>
      </c>
      <c r="E127" s="14" t="s">
        <v>20</v>
      </c>
      <c r="F127" s="14" t="s">
        <v>308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34</v>
      </c>
      <c r="P127" s="14" t="s">
        <v>260</v>
      </c>
      <c r="Q127" s="14" t="s">
        <v>25</v>
      </c>
      <c r="R127" s="14" t="s">
        <v>35</v>
      </c>
    </row>
    <row r="128" spans="1:18" s="14" customFormat="1" x14ac:dyDescent="0.25">
      <c r="A128" s="14" t="str">
        <f>"10001"</f>
        <v>10001</v>
      </c>
      <c r="B128" s="14" t="str">
        <f>"03785"</f>
        <v>03785</v>
      </c>
      <c r="C128" s="14" t="str">
        <f>"1000"</f>
        <v>1000</v>
      </c>
      <c r="D128" s="14" t="str">
        <f>""</f>
        <v/>
      </c>
      <c r="E128" s="14" t="s">
        <v>20</v>
      </c>
      <c r="F128" s="14" t="s">
        <v>309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34</v>
      </c>
      <c r="P128" s="14" t="s">
        <v>260</v>
      </c>
      <c r="Q128" s="14" t="s">
        <v>25</v>
      </c>
      <c r="R128" s="14" t="s">
        <v>35</v>
      </c>
    </row>
    <row r="129" spans="1:18" s="14" customFormat="1" x14ac:dyDescent="0.25">
      <c r="A129" s="14" t="str">
        <f>"10001"</f>
        <v>10001</v>
      </c>
      <c r="B129" s="14" t="str">
        <f>"03785"</f>
        <v>03785</v>
      </c>
      <c r="C129" s="14" t="str">
        <f>"1500"</f>
        <v>1500</v>
      </c>
      <c r="D129" s="14" t="str">
        <f>""</f>
        <v/>
      </c>
      <c r="E129" s="14" t="s">
        <v>20</v>
      </c>
      <c r="F129" s="14" t="s">
        <v>309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34</v>
      </c>
      <c r="P129" s="14" t="s">
        <v>31</v>
      </c>
      <c r="Q129" s="14" t="s">
        <v>25</v>
      </c>
      <c r="R129" s="14" t="s">
        <v>35</v>
      </c>
    </row>
    <row r="130" spans="1:18" s="14" customFormat="1" x14ac:dyDescent="0.25">
      <c r="A130" s="14" t="str">
        <f>"10001"</f>
        <v>10001</v>
      </c>
      <c r="B130" s="14" t="str">
        <f>"03800"</f>
        <v>03800</v>
      </c>
      <c r="C130" s="14" t="str">
        <f>"1000"</f>
        <v>1000</v>
      </c>
      <c r="D130" s="14" t="str">
        <f>""</f>
        <v/>
      </c>
      <c r="E130" s="14" t="s">
        <v>20</v>
      </c>
      <c r="F130" s="14" t="s">
        <v>310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34</v>
      </c>
      <c r="P130" s="14" t="s">
        <v>239</v>
      </c>
      <c r="Q130" s="14" t="s">
        <v>25</v>
      </c>
      <c r="R130" s="14" t="s">
        <v>35</v>
      </c>
    </row>
    <row r="131" spans="1:18" s="14" customFormat="1" x14ac:dyDescent="0.25">
      <c r="A131" s="14" t="str">
        <f>"10001"</f>
        <v>10001</v>
      </c>
      <c r="B131" s="14" t="str">
        <f>"03810"</f>
        <v>03810</v>
      </c>
      <c r="C131" s="14" t="str">
        <f>"1000"</f>
        <v>1000</v>
      </c>
      <c r="D131" s="14" t="str">
        <f>""</f>
        <v/>
      </c>
      <c r="E131" s="14" t="s">
        <v>20</v>
      </c>
      <c r="F131" s="14" t="s">
        <v>311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34</v>
      </c>
      <c r="P131" s="14" t="s">
        <v>39</v>
      </c>
      <c r="Q131" s="14" t="s">
        <v>25</v>
      </c>
      <c r="R131" s="14" t="s">
        <v>35</v>
      </c>
    </row>
    <row r="132" spans="1:18" s="14" customFormat="1" x14ac:dyDescent="0.25">
      <c r="A132" s="14" t="str">
        <f>"10001"</f>
        <v>10001</v>
      </c>
      <c r="B132" s="14" t="str">
        <f>"03810"</f>
        <v>03810</v>
      </c>
      <c r="C132" s="14" t="str">
        <f>"1400"</f>
        <v>1400</v>
      </c>
      <c r="D132" s="14" t="str">
        <f>"03810"</f>
        <v>03810</v>
      </c>
      <c r="E132" s="14" t="s">
        <v>20</v>
      </c>
      <c r="F132" s="14" t="s">
        <v>311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34</v>
      </c>
      <c r="L132" s="14" t="s">
        <v>226</v>
      </c>
      <c r="P132" s="14" t="s">
        <v>39</v>
      </c>
      <c r="Q132" s="14" t="s">
        <v>25</v>
      </c>
      <c r="R132" s="14" t="s">
        <v>35</v>
      </c>
    </row>
    <row r="133" spans="1:18" s="14" customFormat="1" x14ac:dyDescent="0.25">
      <c r="A133" s="14" t="str">
        <f>"10001"</f>
        <v>10001</v>
      </c>
      <c r="B133" s="14" t="str">
        <f>"03820"</f>
        <v>03820</v>
      </c>
      <c r="C133" s="14" t="str">
        <f>"1000"</f>
        <v>1000</v>
      </c>
      <c r="D133" s="14" t="str">
        <f>""</f>
        <v/>
      </c>
      <c r="E133" s="14" t="s">
        <v>20</v>
      </c>
      <c r="F133" s="14" t="s">
        <v>312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34</v>
      </c>
      <c r="P133" s="14" t="s">
        <v>260</v>
      </c>
      <c r="Q133" s="14" t="s">
        <v>25</v>
      </c>
      <c r="R133" s="14" t="s">
        <v>35</v>
      </c>
    </row>
    <row r="134" spans="1:18" s="14" customFormat="1" x14ac:dyDescent="0.25">
      <c r="A134" s="14" t="str">
        <f>"10001"</f>
        <v>10001</v>
      </c>
      <c r="B134" s="14" t="str">
        <f>"03820"</f>
        <v>03820</v>
      </c>
      <c r="C134" s="14" t="str">
        <f>"1500"</f>
        <v>1500</v>
      </c>
      <c r="D134" s="14" t="str">
        <f>""</f>
        <v/>
      </c>
      <c r="E134" s="14" t="s">
        <v>20</v>
      </c>
      <c r="F134" s="14" t="s">
        <v>312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34</v>
      </c>
      <c r="P134" s="14" t="s">
        <v>260</v>
      </c>
      <c r="Q134" s="14" t="s">
        <v>25</v>
      </c>
      <c r="R134" s="14" t="s">
        <v>35</v>
      </c>
    </row>
    <row r="135" spans="1:18" s="14" customFormat="1" x14ac:dyDescent="0.25">
      <c r="A135" s="14" t="str">
        <f>"10001"</f>
        <v>10001</v>
      </c>
      <c r="B135" s="14" t="str">
        <f>"03830"</f>
        <v>03830</v>
      </c>
      <c r="C135" s="14" t="str">
        <f>"1000"</f>
        <v>1000</v>
      </c>
      <c r="D135" s="14" t="str">
        <f>""</f>
        <v/>
      </c>
      <c r="E135" s="14" t="s">
        <v>20</v>
      </c>
      <c r="F135" s="14" t="s">
        <v>313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34</v>
      </c>
      <c r="P135" s="14" t="s">
        <v>260</v>
      </c>
      <c r="Q135" s="14" t="s">
        <v>25</v>
      </c>
      <c r="R135" s="14" t="s">
        <v>35</v>
      </c>
    </row>
    <row r="136" spans="1:18" s="14" customFormat="1" x14ac:dyDescent="0.25">
      <c r="A136" s="14" t="str">
        <f>"10001"</f>
        <v>10001</v>
      </c>
      <c r="B136" s="14" t="str">
        <f>"03830"</f>
        <v>03830</v>
      </c>
      <c r="C136" s="14" t="str">
        <f>"1500"</f>
        <v>1500</v>
      </c>
      <c r="D136" s="14" t="str">
        <f>""</f>
        <v/>
      </c>
      <c r="E136" s="14" t="s">
        <v>20</v>
      </c>
      <c r="F136" s="14" t="s">
        <v>313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34</v>
      </c>
      <c r="P136" s="14" t="s">
        <v>260</v>
      </c>
      <c r="Q136" s="14" t="s">
        <v>25</v>
      </c>
      <c r="R136" s="14" t="s">
        <v>35</v>
      </c>
    </row>
    <row r="137" spans="1:18" s="14" customFormat="1" x14ac:dyDescent="0.25">
      <c r="A137" s="14" t="str">
        <f>"10001"</f>
        <v>10001</v>
      </c>
      <c r="B137" s="14" t="str">
        <f>"03850"</f>
        <v>03850</v>
      </c>
      <c r="C137" s="14" t="str">
        <f>"1000"</f>
        <v>1000</v>
      </c>
      <c r="D137" s="14" t="str">
        <f>""</f>
        <v/>
      </c>
      <c r="E137" s="14" t="s">
        <v>20</v>
      </c>
      <c r="F137" s="14" t="s">
        <v>314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34</v>
      </c>
      <c r="P137" s="14" t="s">
        <v>260</v>
      </c>
      <c r="Q137" s="14" t="s">
        <v>25</v>
      </c>
      <c r="R137" s="14" t="s">
        <v>35</v>
      </c>
    </row>
    <row r="138" spans="1:18" s="14" customFormat="1" x14ac:dyDescent="0.25">
      <c r="A138" s="14" t="str">
        <f>"10001"</f>
        <v>10001</v>
      </c>
      <c r="B138" s="14" t="str">
        <f>"03870"</f>
        <v>03870</v>
      </c>
      <c r="C138" s="14" t="str">
        <f>"1000"</f>
        <v>1000</v>
      </c>
      <c r="D138" s="14" t="str">
        <f>""</f>
        <v/>
      </c>
      <c r="E138" s="14" t="s">
        <v>20</v>
      </c>
      <c r="F138" s="14" t="s">
        <v>315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34</v>
      </c>
      <c r="P138" s="14" t="s">
        <v>260</v>
      </c>
      <c r="Q138" s="14" t="s">
        <v>25</v>
      </c>
      <c r="R138" s="14" t="s">
        <v>35</v>
      </c>
    </row>
    <row r="139" spans="1:18" s="14" customFormat="1" x14ac:dyDescent="0.25">
      <c r="A139" s="14" t="str">
        <f>"10001"</f>
        <v>10001</v>
      </c>
      <c r="B139" s="14" t="str">
        <f>"03885"</f>
        <v>03885</v>
      </c>
      <c r="C139" s="14" t="str">
        <f>"1700"</f>
        <v>1700</v>
      </c>
      <c r="D139" s="14" t="str">
        <f>""</f>
        <v/>
      </c>
      <c r="E139" s="14" t="s">
        <v>20</v>
      </c>
      <c r="F139" s="14" t="s">
        <v>1920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34</v>
      </c>
      <c r="L139" s="14" t="s">
        <v>25</v>
      </c>
      <c r="P139" s="14" t="s">
        <v>39</v>
      </c>
      <c r="Q139" s="14" t="s">
        <v>25</v>
      </c>
      <c r="R139" s="14" t="s">
        <v>25</v>
      </c>
    </row>
    <row r="140" spans="1:18" s="14" customFormat="1" x14ac:dyDescent="0.25">
      <c r="A140" s="14" t="str">
        <f>"11012"</f>
        <v>11012</v>
      </c>
      <c r="B140" s="14" t="str">
        <f>"03020"</f>
        <v>03020</v>
      </c>
      <c r="C140" s="14" t="str">
        <f>"1400"</f>
        <v>1400</v>
      </c>
      <c r="D140" s="14" t="str">
        <f>""</f>
        <v/>
      </c>
      <c r="E140" s="14" t="s">
        <v>447</v>
      </c>
      <c r="F140" s="14" t="s">
        <v>220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34</v>
      </c>
      <c r="P140" s="14" t="s">
        <v>25</v>
      </c>
      <c r="Q140" s="14" t="s">
        <v>25</v>
      </c>
      <c r="R140" s="14" t="s">
        <v>35</v>
      </c>
    </row>
    <row r="141" spans="1:18" s="14" customFormat="1" x14ac:dyDescent="0.25">
      <c r="A141" s="14" t="str">
        <f>"11014"</f>
        <v>11014</v>
      </c>
      <c r="B141" s="14" t="str">
        <f>"03020"</f>
        <v>03020</v>
      </c>
      <c r="C141" s="14" t="str">
        <f>"1400"</f>
        <v>1400</v>
      </c>
      <c r="D141" s="14" t="str">
        <f>""</f>
        <v/>
      </c>
      <c r="E141" s="14" t="s">
        <v>449</v>
      </c>
      <c r="F141" s="14" t="s">
        <v>220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34</v>
      </c>
      <c r="P141" s="14" t="s">
        <v>25</v>
      </c>
      <c r="Q141" s="14" t="s">
        <v>25</v>
      </c>
      <c r="R141" s="14" t="s">
        <v>35</v>
      </c>
    </row>
    <row r="142" spans="1:18" s="14" customFormat="1" x14ac:dyDescent="0.25">
      <c r="A142" s="14" t="str">
        <f>"11015"</f>
        <v>11015</v>
      </c>
      <c r="B142" s="14" t="str">
        <f>"03020"</f>
        <v>03020</v>
      </c>
      <c r="C142" s="14" t="str">
        <f>"1400"</f>
        <v>1400</v>
      </c>
      <c r="D142" s="14" t="str">
        <f>""</f>
        <v/>
      </c>
      <c r="E142" s="14" t="s">
        <v>450</v>
      </c>
      <c r="F142" s="14" t="s">
        <v>220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34</v>
      </c>
      <c r="P142" s="14" t="s">
        <v>25</v>
      </c>
      <c r="Q142" s="14" t="s">
        <v>25</v>
      </c>
      <c r="R142" s="14" t="s">
        <v>35</v>
      </c>
    </row>
    <row r="143" spans="1:18" s="14" customFormat="1" x14ac:dyDescent="0.25">
      <c r="A143" s="14" t="str">
        <f>"11016"</f>
        <v>11016</v>
      </c>
      <c r="B143" s="14" t="str">
        <f>"03020"</f>
        <v>03020</v>
      </c>
      <c r="C143" s="14" t="str">
        <f>"1400"</f>
        <v>1400</v>
      </c>
      <c r="D143" s="14" t="str">
        <f>""</f>
        <v/>
      </c>
      <c r="E143" s="14" t="s">
        <v>451</v>
      </c>
      <c r="F143" s="14" t="s">
        <v>220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34</v>
      </c>
      <c r="P143" s="14" t="s">
        <v>25</v>
      </c>
      <c r="Q143" s="14" t="s">
        <v>25</v>
      </c>
      <c r="R143" s="14" t="s">
        <v>35</v>
      </c>
    </row>
    <row r="144" spans="1:18" s="14" customFormat="1" x14ac:dyDescent="0.25">
      <c r="A144" s="14" t="str">
        <f>"11017"</f>
        <v>11017</v>
      </c>
      <c r="B144" s="14" t="str">
        <f>"03020"</f>
        <v>03020</v>
      </c>
      <c r="C144" s="14" t="str">
        <f>"1400"</f>
        <v>1400</v>
      </c>
      <c r="D144" s="14" t="str">
        <f>""</f>
        <v/>
      </c>
      <c r="E144" s="14" t="s">
        <v>452</v>
      </c>
      <c r="F144" s="14" t="s">
        <v>220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34</v>
      </c>
      <c r="P144" s="14" t="s">
        <v>25</v>
      </c>
      <c r="Q144" s="14" t="s">
        <v>25</v>
      </c>
      <c r="R144" s="14" t="s">
        <v>35</v>
      </c>
    </row>
    <row r="145" spans="1:18" s="14" customFormat="1" x14ac:dyDescent="0.25">
      <c r="A145" s="14" t="str">
        <f>"11018"</f>
        <v>11018</v>
      </c>
      <c r="B145" s="14" t="str">
        <f>"03020"</f>
        <v>03020</v>
      </c>
      <c r="C145" s="14" t="str">
        <f>"1400"</f>
        <v>1400</v>
      </c>
      <c r="D145" s="14" t="str">
        <f>""</f>
        <v/>
      </c>
      <c r="E145" s="14" t="s">
        <v>453</v>
      </c>
      <c r="F145" s="14" t="s">
        <v>220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34</v>
      </c>
      <c r="P145" s="14" t="s">
        <v>25</v>
      </c>
      <c r="Q145" s="14" t="s">
        <v>25</v>
      </c>
      <c r="R145" s="14" t="s">
        <v>35</v>
      </c>
    </row>
    <row r="146" spans="1:18" s="14" customFormat="1" x14ac:dyDescent="0.25">
      <c r="A146" s="14" t="str">
        <f>"11019"</f>
        <v>11019</v>
      </c>
      <c r="B146" s="14" t="str">
        <f>"03020"</f>
        <v>03020</v>
      </c>
      <c r="C146" s="14" t="str">
        <f>"1400"</f>
        <v>1400</v>
      </c>
      <c r="D146" s="14" t="str">
        <f>""</f>
        <v/>
      </c>
      <c r="E146" s="14" t="s">
        <v>454</v>
      </c>
      <c r="F146" s="14" t="s">
        <v>220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34</v>
      </c>
      <c r="P146" s="14" t="s">
        <v>226</v>
      </c>
      <c r="Q146" s="14" t="s">
        <v>25</v>
      </c>
      <c r="R146" s="14" t="s">
        <v>35</v>
      </c>
    </row>
    <row r="147" spans="1:18" s="14" customFormat="1" x14ac:dyDescent="0.25">
      <c r="A147" s="14" t="str">
        <f>"11020"</f>
        <v>11020</v>
      </c>
      <c r="B147" s="14" t="str">
        <f>"03020"</f>
        <v>03020</v>
      </c>
      <c r="C147" s="14" t="str">
        <f>"1400"</f>
        <v>1400</v>
      </c>
      <c r="D147" s="14" t="str">
        <f>""</f>
        <v/>
      </c>
      <c r="E147" s="14" t="s">
        <v>455</v>
      </c>
      <c r="F147" s="14" t="s">
        <v>220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34</v>
      </c>
      <c r="P147" s="14" t="s">
        <v>25</v>
      </c>
      <c r="Q147" s="14" t="s">
        <v>25</v>
      </c>
      <c r="R147" s="14" t="s">
        <v>35</v>
      </c>
    </row>
    <row r="148" spans="1:18" s="14" customFormat="1" x14ac:dyDescent="0.25">
      <c r="A148" s="14" t="str">
        <f>"11021"</f>
        <v>11021</v>
      </c>
      <c r="B148" s="14" t="str">
        <f>"03020"</f>
        <v>03020</v>
      </c>
      <c r="C148" s="14" t="str">
        <f>"1400"</f>
        <v>1400</v>
      </c>
      <c r="D148" s="14" t="str">
        <f>""</f>
        <v/>
      </c>
      <c r="E148" s="14" t="s">
        <v>456</v>
      </c>
      <c r="F148" s="14" t="s">
        <v>220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34</v>
      </c>
      <c r="P148" s="14" t="s">
        <v>25</v>
      </c>
      <c r="Q148" s="14" t="s">
        <v>25</v>
      </c>
      <c r="R148" s="14" t="s">
        <v>35</v>
      </c>
    </row>
    <row r="149" spans="1:18" s="14" customFormat="1" x14ac:dyDescent="0.25">
      <c r="A149" s="14" t="str">
        <f>"11023"</f>
        <v>11023</v>
      </c>
      <c r="B149" s="14" t="str">
        <f>"03000"</f>
        <v>03000</v>
      </c>
      <c r="C149" s="14" t="str">
        <f>"1400"</f>
        <v>1400</v>
      </c>
      <c r="D149" s="14" t="str">
        <f>""</f>
        <v/>
      </c>
      <c r="E149" s="14" t="s">
        <v>457</v>
      </c>
      <c r="F149" s="14" t="s">
        <v>217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34</v>
      </c>
      <c r="P149" s="14" t="s">
        <v>25</v>
      </c>
      <c r="Q149" s="14" t="s">
        <v>25</v>
      </c>
      <c r="R149" s="14" t="s">
        <v>35</v>
      </c>
    </row>
    <row r="150" spans="1:18" s="14" customFormat="1" x14ac:dyDescent="0.25">
      <c r="A150" s="14" t="str">
        <f>"11026"</f>
        <v>11026</v>
      </c>
      <c r="B150" s="14" t="str">
        <f>"03000"</f>
        <v>03000</v>
      </c>
      <c r="C150" s="14" t="str">
        <f>"1400"</f>
        <v>1400</v>
      </c>
      <c r="D150" s="14" t="str">
        <f>""</f>
        <v/>
      </c>
      <c r="E150" s="14" t="s">
        <v>460</v>
      </c>
      <c r="F150" s="14" t="s">
        <v>217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34</v>
      </c>
      <c r="P150" s="14" t="s">
        <v>25</v>
      </c>
      <c r="Q150" s="14" t="s">
        <v>25</v>
      </c>
      <c r="R150" s="14" t="s">
        <v>35</v>
      </c>
    </row>
    <row r="151" spans="1:18" s="14" customFormat="1" x14ac:dyDescent="0.25">
      <c r="A151" s="14" t="str">
        <f>"11027"</f>
        <v>11027</v>
      </c>
      <c r="B151" s="14" t="str">
        <f>"03000"</f>
        <v>03000</v>
      </c>
      <c r="C151" s="14" t="str">
        <f>"1400"</f>
        <v>1400</v>
      </c>
      <c r="D151" s="14" t="str">
        <f>""</f>
        <v/>
      </c>
      <c r="E151" s="14" t="s">
        <v>461</v>
      </c>
      <c r="F151" s="14" t="s">
        <v>217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34</v>
      </c>
      <c r="P151" s="14" t="s">
        <v>24</v>
      </c>
      <c r="Q151" s="14" t="s">
        <v>25</v>
      </c>
      <c r="R151" s="14" t="s">
        <v>35</v>
      </c>
    </row>
    <row r="152" spans="1:18" s="14" customFormat="1" x14ac:dyDescent="0.25">
      <c r="A152" s="14" t="str">
        <f>"11049"</f>
        <v>11049</v>
      </c>
      <c r="B152" s="14" t="str">
        <f>"03020"</f>
        <v>03020</v>
      </c>
      <c r="C152" s="14" t="str">
        <f>"1400"</f>
        <v>1400</v>
      </c>
      <c r="D152" s="14" t="str">
        <f>""</f>
        <v/>
      </c>
      <c r="E152" s="14" t="s">
        <v>483</v>
      </c>
      <c r="F152" s="14" t="s">
        <v>220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34</v>
      </c>
      <c r="L152" s="14" t="s">
        <v>25</v>
      </c>
      <c r="P152" s="14" t="s">
        <v>25</v>
      </c>
      <c r="Q152" s="14" t="s">
        <v>25</v>
      </c>
      <c r="R152" s="14" t="s">
        <v>35</v>
      </c>
    </row>
    <row r="153" spans="1:18" s="14" customFormat="1" x14ac:dyDescent="0.25">
      <c r="A153" s="14" t="str">
        <f>"11050"</f>
        <v>11050</v>
      </c>
      <c r="B153" s="14" t="str">
        <f>"03020"</f>
        <v>03020</v>
      </c>
      <c r="C153" s="14" t="str">
        <f>"1400"</f>
        <v>1400</v>
      </c>
      <c r="D153" s="14" t="str">
        <f>""</f>
        <v/>
      </c>
      <c r="E153" s="14" t="s">
        <v>484</v>
      </c>
      <c r="F153" s="14" t="s">
        <v>220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34</v>
      </c>
      <c r="L153" s="14" t="s">
        <v>25</v>
      </c>
      <c r="P153" s="14" t="s">
        <v>25</v>
      </c>
      <c r="Q153" s="14" t="s">
        <v>25</v>
      </c>
      <c r="R153" s="14" t="s">
        <v>35</v>
      </c>
    </row>
    <row r="154" spans="1:18" s="14" customFormat="1" x14ac:dyDescent="0.25">
      <c r="A154" s="14" t="str">
        <f>"11052"</f>
        <v>11052</v>
      </c>
      <c r="B154" s="14" t="str">
        <f>"06000"</f>
        <v>06000</v>
      </c>
      <c r="C154" s="14" t="str">
        <f>"1700"</f>
        <v>1700</v>
      </c>
      <c r="D154" s="14" t="str">
        <f>""</f>
        <v/>
      </c>
      <c r="E154" s="14" t="s">
        <v>1921</v>
      </c>
      <c r="F154" s="14" t="s">
        <v>409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34</v>
      </c>
      <c r="L154" s="14" t="s">
        <v>25</v>
      </c>
      <c r="P154" s="14" t="s">
        <v>25</v>
      </c>
      <c r="Q154" s="14" t="s">
        <v>25</v>
      </c>
      <c r="R154" s="14" t="s">
        <v>35</v>
      </c>
    </row>
    <row r="155" spans="1:18" s="14" customFormat="1" x14ac:dyDescent="0.25">
      <c r="A155" s="14" t="str">
        <f>"12005"</f>
        <v>12005</v>
      </c>
      <c r="B155" s="14" t="str">
        <f>"03000"</f>
        <v>03000</v>
      </c>
      <c r="C155" s="14" t="str">
        <f>"1400"</f>
        <v>1400</v>
      </c>
      <c r="D155" s="14" t="str">
        <f>""</f>
        <v/>
      </c>
      <c r="E155" s="14" t="s">
        <v>489</v>
      </c>
      <c r="F155" s="14" t="s">
        <v>217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34</v>
      </c>
      <c r="P155" s="14" t="s">
        <v>24</v>
      </c>
      <c r="Q155" s="14" t="s">
        <v>24</v>
      </c>
      <c r="R155" s="14" t="s">
        <v>35</v>
      </c>
    </row>
    <row r="156" spans="1:18" s="14" customFormat="1" x14ac:dyDescent="0.25">
      <c r="A156" s="14" t="str">
        <f>"15001"</f>
        <v>15001</v>
      </c>
      <c r="B156" s="14" t="str">
        <f>"03769"</f>
        <v>03769</v>
      </c>
      <c r="C156" s="14" t="str">
        <f>"1700"</f>
        <v>1700</v>
      </c>
      <c r="D156" s="14" t="str">
        <f>""</f>
        <v/>
      </c>
      <c r="E156" s="14" t="s">
        <v>508</v>
      </c>
      <c r="F156" s="14" t="s">
        <v>509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34</v>
      </c>
      <c r="P156" s="14" t="s">
        <v>260</v>
      </c>
      <c r="Q156" s="14" t="s">
        <v>25</v>
      </c>
      <c r="R156" s="14" t="s">
        <v>35</v>
      </c>
    </row>
    <row r="157" spans="1:18" s="14" customFormat="1" x14ac:dyDescent="0.25">
      <c r="A157" s="14" t="str">
        <f>"15002"</f>
        <v>15002</v>
      </c>
      <c r="B157" s="14" t="str">
        <f>"03769"</f>
        <v>03769</v>
      </c>
      <c r="C157" s="14" t="str">
        <f>"1400"</f>
        <v>1400</v>
      </c>
      <c r="D157" s="14" t="str">
        <f>""</f>
        <v/>
      </c>
      <c r="E157" s="14" t="s">
        <v>511</v>
      </c>
      <c r="F157" s="14" t="s">
        <v>509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34</v>
      </c>
      <c r="P157" s="14" t="s">
        <v>260</v>
      </c>
      <c r="Q157" s="14" t="s">
        <v>25</v>
      </c>
      <c r="R157" s="14" t="s">
        <v>35</v>
      </c>
    </row>
    <row r="158" spans="1:18" s="14" customFormat="1" x14ac:dyDescent="0.25">
      <c r="A158" s="14" t="str">
        <f>"15003"</f>
        <v>15003</v>
      </c>
      <c r="B158" s="14" t="str">
        <f>"03769"</f>
        <v>03769</v>
      </c>
      <c r="C158" s="14" t="str">
        <f>"1700"</f>
        <v>1700</v>
      </c>
      <c r="D158" s="14" t="str">
        <f>""</f>
        <v/>
      </c>
      <c r="E158" s="14" t="s">
        <v>513</v>
      </c>
      <c r="F158" s="14" t="s">
        <v>509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34</v>
      </c>
      <c r="P158" s="14" t="s">
        <v>260</v>
      </c>
      <c r="Q158" s="14" t="s">
        <v>25</v>
      </c>
      <c r="R158" s="14" t="s">
        <v>35</v>
      </c>
    </row>
    <row r="159" spans="1:18" s="14" customFormat="1" x14ac:dyDescent="0.25">
      <c r="A159" s="14" t="str">
        <f>"15005"</f>
        <v>15005</v>
      </c>
      <c r="B159" s="14" t="str">
        <f>"03769"</f>
        <v>03769</v>
      </c>
      <c r="C159" s="14" t="str">
        <f>"1300"</f>
        <v>1300</v>
      </c>
      <c r="D159" s="14" t="str">
        <f>""</f>
        <v/>
      </c>
      <c r="E159" s="14" t="s">
        <v>517</v>
      </c>
      <c r="F159" s="14" t="s">
        <v>509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34</v>
      </c>
      <c r="P159" s="14" t="s">
        <v>260</v>
      </c>
      <c r="Q159" s="14" t="s">
        <v>25</v>
      </c>
      <c r="R159" s="14" t="s">
        <v>35</v>
      </c>
    </row>
    <row r="160" spans="1:18" s="14" customFormat="1" x14ac:dyDescent="0.25">
      <c r="A160" s="14" t="str">
        <f>"15009"</f>
        <v>15009</v>
      </c>
      <c r="B160" s="14" t="str">
        <f>"03769"</f>
        <v>03769</v>
      </c>
      <c r="C160" s="14" t="str">
        <f>"1700"</f>
        <v>1700</v>
      </c>
      <c r="D160" s="14" t="str">
        <f>""</f>
        <v/>
      </c>
      <c r="E160" s="14" t="s">
        <v>519</v>
      </c>
      <c r="F160" s="14" t="s">
        <v>509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34</v>
      </c>
      <c r="L160" s="14" t="s">
        <v>25</v>
      </c>
      <c r="M160" s="14" t="s">
        <v>414</v>
      </c>
      <c r="P160" s="14" t="s">
        <v>260</v>
      </c>
      <c r="Q160" s="14" t="s">
        <v>25</v>
      </c>
      <c r="R160" s="14" t="s">
        <v>35</v>
      </c>
    </row>
    <row r="161" spans="1:18" s="14" customFormat="1" x14ac:dyDescent="0.25">
      <c r="A161" s="14" t="str">
        <f>"18057"</f>
        <v>18057</v>
      </c>
      <c r="B161" s="14" t="str">
        <f>"03000"</f>
        <v>03000</v>
      </c>
      <c r="C161" s="14" t="str">
        <f>"1400"</f>
        <v>1400</v>
      </c>
      <c r="D161" s="14" t="str">
        <f>"18057"</f>
        <v>18057</v>
      </c>
      <c r="E161" s="14" t="s">
        <v>648</v>
      </c>
      <c r="F161" s="14" t="s">
        <v>217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34</v>
      </c>
      <c r="P161" s="14" t="s">
        <v>31</v>
      </c>
      <c r="Q161" s="14" t="s">
        <v>25</v>
      </c>
      <c r="R161" s="14" t="s">
        <v>35</v>
      </c>
    </row>
    <row r="162" spans="1:18" s="14" customFormat="1" x14ac:dyDescent="0.25">
      <c r="A162" s="14" t="str">
        <f>"31105"</f>
        <v>31105</v>
      </c>
      <c r="B162" s="14" t="str">
        <f>"03000"</f>
        <v>03000</v>
      </c>
      <c r="C162" s="14" t="str">
        <f>"1930"</f>
        <v>1930</v>
      </c>
      <c r="D162" s="14" t="str">
        <f>"31105"</f>
        <v>31105</v>
      </c>
      <c r="E162" s="14" t="s">
        <v>967</v>
      </c>
      <c r="F162" s="14" t="s">
        <v>217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34</v>
      </c>
      <c r="L162" s="14" t="s">
        <v>226</v>
      </c>
      <c r="P162" s="14" t="s">
        <v>31</v>
      </c>
      <c r="Q162" s="14" t="s">
        <v>25</v>
      </c>
      <c r="R162" s="14" t="s">
        <v>35</v>
      </c>
    </row>
    <row r="163" spans="1:18" s="14" customFormat="1" x14ac:dyDescent="0.25">
      <c r="A163" s="14" t="str">
        <f>"31110"</f>
        <v>31110</v>
      </c>
      <c r="B163" s="14" t="str">
        <f>"03000"</f>
        <v>03000</v>
      </c>
      <c r="C163" s="14" t="str">
        <f>"1930"</f>
        <v>1930</v>
      </c>
      <c r="D163" s="14" t="str">
        <f>"31110"</f>
        <v>31110</v>
      </c>
      <c r="E163" s="14" t="s">
        <v>968</v>
      </c>
      <c r="F163" s="14" t="s">
        <v>217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34</v>
      </c>
      <c r="L163" s="14" t="s">
        <v>226</v>
      </c>
      <c r="P163" s="14" t="s">
        <v>260</v>
      </c>
      <c r="Q163" s="14" t="s">
        <v>25</v>
      </c>
      <c r="R163" s="14" t="s">
        <v>35</v>
      </c>
    </row>
    <row r="164" spans="1:18" s="14" customFormat="1" x14ac:dyDescent="0.25">
      <c r="A164" s="14" t="str">
        <f>"31205"</f>
        <v>31205</v>
      </c>
      <c r="B164" s="14" t="str">
        <f>"03000"</f>
        <v>03000</v>
      </c>
      <c r="C164" s="14" t="str">
        <f>"1930"</f>
        <v>1930</v>
      </c>
      <c r="D164" s="14" t="str">
        <f>"31205"</f>
        <v>31205</v>
      </c>
      <c r="E164" s="14" t="s">
        <v>969</v>
      </c>
      <c r="F164" s="14" t="s">
        <v>217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34</v>
      </c>
      <c r="P164" s="14" t="s">
        <v>31</v>
      </c>
      <c r="Q164" s="14" t="s">
        <v>25</v>
      </c>
      <c r="R164" s="14" t="s">
        <v>35</v>
      </c>
    </row>
    <row r="165" spans="1:18" s="14" customFormat="1" x14ac:dyDescent="0.25">
      <c r="A165" s="14" t="str">
        <f>"32105"</f>
        <v>32105</v>
      </c>
      <c r="B165" s="14" t="str">
        <f>"03000"</f>
        <v>03000</v>
      </c>
      <c r="C165" s="14" t="str">
        <f>"1930"</f>
        <v>1930</v>
      </c>
      <c r="D165" s="14" t="str">
        <f>"03000B"</f>
        <v>03000B</v>
      </c>
      <c r="E165" s="14" t="s">
        <v>972</v>
      </c>
      <c r="F165" s="14" t="s">
        <v>217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34</v>
      </c>
      <c r="L165" s="14" t="s">
        <v>25</v>
      </c>
      <c r="P165" s="14" t="s">
        <v>31</v>
      </c>
      <c r="Q165" s="14" t="s">
        <v>25</v>
      </c>
      <c r="R165" s="14" t="s">
        <v>35</v>
      </c>
    </row>
    <row r="166" spans="1:18" s="14" customFormat="1" x14ac:dyDescent="0.25">
      <c r="A166" s="14" t="str">
        <f>"32115"</f>
        <v>32115</v>
      </c>
      <c r="B166" s="14" t="str">
        <f>"03000"</f>
        <v>03000</v>
      </c>
      <c r="C166" s="14" t="str">
        <f>"1930"</f>
        <v>1930</v>
      </c>
      <c r="D166" s="14" t="str">
        <f>"32115"</f>
        <v>32115</v>
      </c>
      <c r="E166" s="14" t="s">
        <v>973</v>
      </c>
      <c r="F166" s="14" t="s">
        <v>217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34</v>
      </c>
      <c r="L166" s="14" t="s">
        <v>226</v>
      </c>
      <c r="P166" s="14" t="s">
        <v>31</v>
      </c>
      <c r="Q166" s="14" t="s">
        <v>25</v>
      </c>
      <c r="R166" s="14" t="s">
        <v>35</v>
      </c>
    </row>
    <row r="167" spans="1:18" s="14" customFormat="1" x14ac:dyDescent="0.25">
      <c r="A167" s="14" t="str">
        <f>"35115"</f>
        <v>35115</v>
      </c>
      <c r="B167" s="14" t="str">
        <f>"03000"</f>
        <v>03000</v>
      </c>
      <c r="C167" s="14" t="str">
        <f>"1930"</f>
        <v>1930</v>
      </c>
      <c r="D167" s="14" t="str">
        <f>"35115"</f>
        <v>35115</v>
      </c>
      <c r="E167" s="14" t="s">
        <v>989</v>
      </c>
      <c r="F167" s="14" t="s">
        <v>217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34</v>
      </c>
      <c r="P167" s="14" t="s">
        <v>31</v>
      </c>
      <c r="Q167" s="14" t="s">
        <v>25</v>
      </c>
      <c r="R167" s="14" t="s">
        <v>35</v>
      </c>
    </row>
    <row r="168" spans="1:18" s="14" customFormat="1" x14ac:dyDescent="0.25">
      <c r="A168" s="14" t="str">
        <f>"90005"</f>
        <v>90005</v>
      </c>
      <c r="B168" s="14" t="str">
        <f>"03000"</f>
        <v>03000</v>
      </c>
      <c r="C168" s="14" t="str">
        <f>"1921"</f>
        <v>1921</v>
      </c>
      <c r="D168" s="14" t="str">
        <f>""</f>
        <v/>
      </c>
      <c r="E168" s="14" t="s">
        <v>1794</v>
      </c>
      <c r="F168" s="14" t="s">
        <v>217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34</v>
      </c>
      <c r="P168" s="14" t="s">
        <v>239</v>
      </c>
      <c r="Q168" s="14" t="s">
        <v>25</v>
      </c>
      <c r="R168" s="14" t="s">
        <v>35</v>
      </c>
    </row>
    <row r="169" spans="1:18" s="14" customFormat="1" x14ac:dyDescent="0.25">
      <c r="A169" s="14" t="str">
        <f>"90007"</f>
        <v>90007</v>
      </c>
      <c r="B169" s="14" t="str">
        <f>"03000"</f>
        <v>03000</v>
      </c>
      <c r="C169" s="14" t="str">
        <f>"1930"</f>
        <v>1930</v>
      </c>
      <c r="D169" s="14" t="str">
        <f>""</f>
        <v/>
      </c>
      <c r="E169" s="14" t="s">
        <v>1795</v>
      </c>
      <c r="F169" s="14" t="s">
        <v>217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34</v>
      </c>
      <c r="P169" s="14" t="s">
        <v>239</v>
      </c>
      <c r="Q169" s="14" t="s">
        <v>25</v>
      </c>
      <c r="R169" s="14" t="s">
        <v>35</v>
      </c>
    </row>
    <row r="170" spans="1:18" s="14" customFormat="1" x14ac:dyDescent="0.25">
      <c r="A170" s="14" t="str">
        <f>"90010"</f>
        <v>90010</v>
      </c>
      <c r="B170" s="14" t="str">
        <f>"03000"</f>
        <v>03000</v>
      </c>
      <c r="C170" s="14" t="str">
        <f>"1921"</f>
        <v>1921</v>
      </c>
      <c r="D170" s="14" t="str">
        <f>""</f>
        <v/>
      </c>
      <c r="E170" s="14" t="s">
        <v>1796</v>
      </c>
      <c r="F170" s="14" t="s">
        <v>217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34</v>
      </c>
      <c r="P170" s="14" t="s">
        <v>239</v>
      </c>
      <c r="Q170" s="14" t="s">
        <v>25</v>
      </c>
      <c r="R170" s="14" t="s">
        <v>35</v>
      </c>
    </row>
    <row r="171" spans="1:18" s="14" customFormat="1" x14ac:dyDescent="0.25">
      <c r="A171" s="14" t="str">
        <f>"90015"</f>
        <v>90015</v>
      </c>
      <c r="B171" s="14" t="str">
        <f>"03000"</f>
        <v>03000</v>
      </c>
      <c r="C171" s="14" t="str">
        <f>"1921"</f>
        <v>1921</v>
      </c>
      <c r="D171" s="14" t="str">
        <f>""</f>
        <v/>
      </c>
      <c r="E171" s="14" t="s">
        <v>1797</v>
      </c>
      <c r="F171" s="14" t="s">
        <v>217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34</v>
      </c>
      <c r="P171" s="14" t="s">
        <v>239</v>
      </c>
      <c r="Q171" s="14" t="s">
        <v>25</v>
      </c>
      <c r="R171" s="14" t="s">
        <v>35</v>
      </c>
    </row>
    <row r="172" spans="1:18" s="14" customFormat="1" x14ac:dyDescent="0.25">
      <c r="A172" s="14" t="str">
        <f>"90020"</f>
        <v>90020</v>
      </c>
      <c r="B172" s="14" t="str">
        <f>"03000"</f>
        <v>03000</v>
      </c>
      <c r="C172" s="14" t="str">
        <f>"1930"</f>
        <v>1930</v>
      </c>
      <c r="D172" s="14" t="str">
        <f>""</f>
        <v/>
      </c>
      <c r="E172" s="14" t="s">
        <v>1798</v>
      </c>
      <c r="F172" s="14" t="s">
        <v>217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34</v>
      </c>
      <c r="P172" s="14" t="s">
        <v>239</v>
      </c>
      <c r="Q172" s="14" t="s">
        <v>25</v>
      </c>
      <c r="R172" s="14" t="s">
        <v>35</v>
      </c>
    </row>
    <row r="173" spans="1:18" s="14" customFormat="1" x14ac:dyDescent="0.25">
      <c r="A173" s="14" t="str">
        <f>"90105"</f>
        <v>90105</v>
      </c>
      <c r="B173" s="14" t="str">
        <f>"03000"</f>
        <v>03000</v>
      </c>
      <c r="C173" s="14" t="str">
        <f>"1930"</f>
        <v>1930</v>
      </c>
      <c r="D173" s="14" t="str">
        <f>""</f>
        <v/>
      </c>
      <c r="E173" s="14" t="s">
        <v>1799</v>
      </c>
      <c r="F173" s="14" t="s">
        <v>217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34</v>
      </c>
      <c r="P173" s="14" t="s">
        <v>239</v>
      </c>
      <c r="Q173" s="14" t="s">
        <v>25</v>
      </c>
      <c r="R173" s="14" t="s">
        <v>35</v>
      </c>
    </row>
    <row r="174" spans="1:18" s="14" customFormat="1" x14ac:dyDescent="0.25">
      <c r="A174" s="14" t="str">
        <f>"90110"</f>
        <v>90110</v>
      </c>
      <c r="B174" s="14" t="str">
        <f>"03000"</f>
        <v>03000</v>
      </c>
      <c r="C174" s="14" t="str">
        <f>"1930"</f>
        <v>1930</v>
      </c>
      <c r="D174" s="14" t="str">
        <f>""</f>
        <v/>
      </c>
      <c r="E174" s="14" t="s">
        <v>1800</v>
      </c>
      <c r="F174" s="14" t="s">
        <v>217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34</v>
      </c>
      <c r="P174" s="14" t="s">
        <v>239</v>
      </c>
      <c r="Q174" s="14" t="s">
        <v>25</v>
      </c>
      <c r="R174" s="14" t="s">
        <v>35</v>
      </c>
    </row>
    <row r="175" spans="1:18" s="14" customFormat="1" x14ac:dyDescent="0.25">
      <c r="A175" s="14" t="str">
        <f>"90121"</f>
        <v>90121</v>
      </c>
      <c r="B175" s="14" t="str">
        <f>"03000"</f>
        <v>03000</v>
      </c>
      <c r="C175" s="14" t="str">
        <f>"1300"</f>
        <v>1300</v>
      </c>
      <c r="D175" s="14" t="str">
        <f>""</f>
        <v/>
      </c>
      <c r="E175" s="14" t="s">
        <v>1801</v>
      </c>
      <c r="F175" s="14" t="s">
        <v>217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34</v>
      </c>
      <c r="P175" s="14" t="s">
        <v>239</v>
      </c>
      <c r="Q175" s="14" t="s">
        <v>25</v>
      </c>
      <c r="R175" s="14" t="s">
        <v>35</v>
      </c>
    </row>
    <row r="176" spans="1:18" s="14" customFormat="1" x14ac:dyDescent="0.25">
      <c r="A176" s="14" t="str">
        <f>"90130"</f>
        <v>90130</v>
      </c>
      <c r="B176" s="14" t="str">
        <f>"03000"</f>
        <v>03000</v>
      </c>
      <c r="C176" s="14" t="str">
        <f>"1930"</f>
        <v>1930</v>
      </c>
      <c r="D176" s="14" t="str">
        <f>""</f>
        <v/>
      </c>
      <c r="E176" s="14" t="s">
        <v>1802</v>
      </c>
      <c r="F176" s="14" t="s">
        <v>217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34</v>
      </c>
      <c r="P176" s="14" t="s">
        <v>239</v>
      </c>
      <c r="Q176" s="14" t="s">
        <v>25</v>
      </c>
      <c r="R176" s="14" t="s">
        <v>35</v>
      </c>
    </row>
    <row r="177" spans="1:18" s="14" customFormat="1" x14ac:dyDescent="0.25">
      <c r="A177" s="14" t="str">
        <f>"90135"</f>
        <v>90135</v>
      </c>
      <c r="B177" s="14" t="str">
        <f>"03000"</f>
        <v>03000</v>
      </c>
      <c r="C177" s="14" t="str">
        <f>"1930"</f>
        <v>1930</v>
      </c>
      <c r="D177" s="14" t="str">
        <f>""</f>
        <v/>
      </c>
      <c r="E177" s="14" t="s">
        <v>1803</v>
      </c>
      <c r="F177" s="14" t="s">
        <v>217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34</v>
      </c>
      <c r="P177" s="14" t="s">
        <v>239</v>
      </c>
      <c r="Q177" s="14" t="s">
        <v>25</v>
      </c>
      <c r="R177" s="14" t="s">
        <v>35</v>
      </c>
    </row>
    <row r="178" spans="1:18" s="14" customFormat="1" x14ac:dyDescent="0.25">
      <c r="A178" s="14" t="str">
        <f>"90136"</f>
        <v>90136</v>
      </c>
      <c r="B178" s="14" t="str">
        <f>"03000"</f>
        <v>03000</v>
      </c>
      <c r="C178" s="14" t="str">
        <f>"1930"</f>
        <v>1930</v>
      </c>
      <c r="D178" s="14" t="str">
        <f>""</f>
        <v/>
      </c>
      <c r="E178" s="14" t="s">
        <v>1804</v>
      </c>
      <c r="F178" s="14" t="s">
        <v>217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34</v>
      </c>
      <c r="P178" s="14" t="s">
        <v>239</v>
      </c>
      <c r="Q178" s="14" t="s">
        <v>25</v>
      </c>
      <c r="R178" s="14" t="s">
        <v>35</v>
      </c>
    </row>
    <row r="179" spans="1:18" s="14" customFormat="1" x14ac:dyDescent="0.25">
      <c r="A179" s="14" t="str">
        <f>"90150"</f>
        <v>90150</v>
      </c>
      <c r="B179" s="14" t="str">
        <f>"03000"</f>
        <v>03000</v>
      </c>
      <c r="C179" s="14" t="str">
        <f>"1500"</f>
        <v>1500</v>
      </c>
      <c r="D179" s="14" t="str">
        <f>""</f>
        <v/>
      </c>
      <c r="E179" s="14" t="s">
        <v>1806</v>
      </c>
      <c r="F179" s="14" t="s">
        <v>217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34</v>
      </c>
      <c r="P179" s="14" t="s">
        <v>239</v>
      </c>
      <c r="Q179" s="14" t="s">
        <v>25</v>
      </c>
      <c r="R179" s="14" t="s">
        <v>35</v>
      </c>
    </row>
    <row r="180" spans="1:18" s="14" customFormat="1" x14ac:dyDescent="0.25">
      <c r="A180" s="14" t="str">
        <f>"90165"</f>
        <v>90165</v>
      </c>
      <c r="B180" s="14" t="str">
        <f>"03000"</f>
        <v>03000</v>
      </c>
      <c r="C180" s="14" t="str">
        <f>"1930"</f>
        <v>1930</v>
      </c>
      <c r="D180" s="14" t="str">
        <f>""</f>
        <v/>
      </c>
      <c r="E180" s="14" t="s">
        <v>1807</v>
      </c>
      <c r="F180" s="14" t="s">
        <v>217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34</v>
      </c>
      <c r="P180" s="14" t="s">
        <v>239</v>
      </c>
      <c r="Q180" s="14" t="s">
        <v>25</v>
      </c>
      <c r="R180" s="14" t="s">
        <v>35</v>
      </c>
    </row>
    <row r="181" spans="1:18" s="14" customFormat="1" x14ac:dyDescent="0.25">
      <c r="A181" s="14" t="str">
        <f>"90175"</f>
        <v>90175</v>
      </c>
      <c r="B181" s="14" t="str">
        <f>"03000"</f>
        <v>03000</v>
      </c>
      <c r="C181" s="14" t="str">
        <f>"1930"</f>
        <v>1930</v>
      </c>
      <c r="D181" s="14" t="str">
        <f>""</f>
        <v/>
      </c>
      <c r="E181" s="14" t="s">
        <v>1808</v>
      </c>
      <c r="F181" s="14" t="s">
        <v>217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34</v>
      </c>
      <c r="P181" s="14" t="s">
        <v>239</v>
      </c>
      <c r="Q181" s="14" t="s">
        <v>25</v>
      </c>
      <c r="R181" s="14" t="s">
        <v>35</v>
      </c>
    </row>
    <row r="182" spans="1:18" s="14" customFormat="1" x14ac:dyDescent="0.25">
      <c r="A182" s="14" t="str">
        <f>"90205"</f>
        <v>90205</v>
      </c>
      <c r="B182" s="14" t="str">
        <f>"03000"</f>
        <v>03000</v>
      </c>
      <c r="C182" s="14" t="str">
        <f>"1500"</f>
        <v>1500</v>
      </c>
      <c r="D182" s="14" t="str">
        <f>""</f>
        <v/>
      </c>
      <c r="E182" s="14" t="s">
        <v>1809</v>
      </c>
      <c r="F182" s="14" t="s">
        <v>217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34</v>
      </c>
      <c r="P182" s="14" t="s">
        <v>239</v>
      </c>
      <c r="Q182" s="14" t="s">
        <v>25</v>
      </c>
      <c r="R182" s="14" t="s">
        <v>35</v>
      </c>
    </row>
    <row r="183" spans="1:18" s="14" customFormat="1" x14ac:dyDescent="0.25">
      <c r="A183" s="14" t="str">
        <f>"91005"</f>
        <v>91005</v>
      </c>
      <c r="B183" s="14" t="str">
        <f>"03000"</f>
        <v>03000</v>
      </c>
      <c r="C183" s="14" t="str">
        <f>"1500"</f>
        <v>1500</v>
      </c>
      <c r="D183" s="14" t="str">
        <f>"91005"</f>
        <v>91005</v>
      </c>
      <c r="E183" s="14" t="s">
        <v>1810</v>
      </c>
      <c r="F183" s="14" t="s">
        <v>217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34</v>
      </c>
      <c r="P183" s="14" t="s">
        <v>239</v>
      </c>
      <c r="Q183" s="14" t="s">
        <v>239</v>
      </c>
      <c r="R183" s="14" t="s">
        <v>35</v>
      </c>
    </row>
    <row r="184" spans="1:18" s="14" customFormat="1" x14ac:dyDescent="0.25">
      <c r="A184" s="14" t="str">
        <f>"91025"</f>
        <v>91025</v>
      </c>
      <c r="B184" s="14" t="str">
        <f>"03000"</f>
        <v>03000</v>
      </c>
      <c r="C184" s="14" t="str">
        <f>"1500"</f>
        <v>1500</v>
      </c>
      <c r="D184" s="14" t="str">
        <f>"91025"</f>
        <v>91025</v>
      </c>
      <c r="E184" s="14" t="s">
        <v>1811</v>
      </c>
      <c r="F184" s="14" t="s">
        <v>217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34</v>
      </c>
      <c r="P184" s="14" t="s">
        <v>239</v>
      </c>
      <c r="Q184" s="14" t="s">
        <v>239</v>
      </c>
      <c r="R184" s="14" t="s">
        <v>35</v>
      </c>
    </row>
    <row r="185" spans="1:18" s="14" customFormat="1" x14ac:dyDescent="0.25">
      <c r="A185" s="14" t="str">
        <f>"93005"</f>
        <v>93005</v>
      </c>
      <c r="B185" s="14" t="str">
        <f>"03000"</f>
        <v>03000</v>
      </c>
      <c r="C185" s="14" t="str">
        <f>"1500"</f>
        <v>1500</v>
      </c>
      <c r="D185" s="14" t="str">
        <f>"93005"</f>
        <v>93005</v>
      </c>
      <c r="E185" s="14" t="s">
        <v>1829</v>
      </c>
      <c r="F185" s="14" t="s">
        <v>217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34</v>
      </c>
      <c r="P185" s="14" t="s">
        <v>239</v>
      </c>
      <c r="Q185" s="14" t="s">
        <v>239</v>
      </c>
      <c r="R185" s="14" t="s">
        <v>35</v>
      </c>
    </row>
    <row r="186" spans="1:18" s="14" customFormat="1" x14ac:dyDescent="0.25">
      <c r="A186" s="14" t="str">
        <f>"95005"</f>
        <v>95005</v>
      </c>
      <c r="B186" s="14" t="str">
        <f>"03000"</f>
        <v>03000</v>
      </c>
      <c r="C186" s="14" t="str">
        <f>"1500"</f>
        <v>1500</v>
      </c>
      <c r="D186" s="14" t="str">
        <f>""</f>
        <v/>
      </c>
      <c r="E186" s="14" t="s">
        <v>1848</v>
      </c>
      <c r="F186" s="14" t="s">
        <v>217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34</v>
      </c>
      <c r="P186" s="14" t="s">
        <v>239</v>
      </c>
      <c r="Q186" s="14" t="s">
        <v>239</v>
      </c>
      <c r="R186" s="14" t="s">
        <v>35</v>
      </c>
    </row>
    <row r="187" spans="1:18" s="14" customFormat="1" x14ac:dyDescent="0.25">
      <c r="A187" s="14" t="str">
        <f>"95010"</f>
        <v>95010</v>
      </c>
      <c r="B187" s="14" t="str">
        <f>"03000"</f>
        <v>03000</v>
      </c>
      <c r="C187" s="14" t="str">
        <f>"1500"</f>
        <v>1500</v>
      </c>
      <c r="D187" s="14" t="str">
        <f>""</f>
        <v/>
      </c>
      <c r="E187" s="14" t="s">
        <v>1849</v>
      </c>
      <c r="F187" s="14" t="s">
        <v>217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34</v>
      </c>
      <c r="P187" s="14" t="s">
        <v>239</v>
      </c>
      <c r="Q187" s="14" t="s">
        <v>239</v>
      </c>
      <c r="R187" s="14" t="s">
        <v>35</v>
      </c>
    </row>
    <row r="188" spans="1:18" s="14" customFormat="1" x14ac:dyDescent="0.25">
      <c r="A188" s="14" t="str">
        <f>"95011"</f>
        <v>95011</v>
      </c>
      <c r="B188" s="14" t="str">
        <f>"03000"</f>
        <v>03000</v>
      </c>
      <c r="C188" s="14" t="str">
        <f>"1500"</f>
        <v>1500</v>
      </c>
      <c r="D188" s="14" t="str">
        <f>""</f>
        <v/>
      </c>
      <c r="E188" s="14" t="s">
        <v>1850</v>
      </c>
      <c r="F188" s="14" t="s">
        <v>217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34</v>
      </c>
      <c r="P188" s="14" t="s">
        <v>239</v>
      </c>
      <c r="Q188" s="14" t="s">
        <v>239</v>
      </c>
      <c r="R188" s="14" t="s">
        <v>35</v>
      </c>
    </row>
    <row r="189" spans="1:18" s="14" customFormat="1" x14ac:dyDescent="0.25">
      <c r="A189" s="14" t="str">
        <f>"95015"</f>
        <v>95015</v>
      </c>
      <c r="B189" s="14" t="str">
        <f>"03000"</f>
        <v>03000</v>
      </c>
      <c r="C189" s="14" t="str">
        <f>"1500"</f>
        <v>1500</v>
      </c>
      <c r="D189" s="14" t="str">
        <f>""</f>
        <v/>
      </c>
      <c r="E189" s="14" t="s">
        <v>1851</v>
      </c>
      <c r="F189" s="14" t="s">
        <v>217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34</v>
      </c>
      <c r="P189" s="14" t="s">
        <v>239</v>
      </c>
      <c r="Q189" s="14" t="s">
        <v>239</v>
      </c>
      <c r="R189" s="14" t="s">
        <v>35</v>
      </c>
    </row>
    <row r="190" spans="1:18" s="14" customFormat="1" x14ac:dyDescent="0.25">
      <c r="A190" s="14" t="str">
        <f>"95020"</f>
        <v>95020</v>
      </c>
      <c r="B190" s="14" t="str">
        <f>"03000"</f>
        <v>03000</v>
      </c>
      <c r="C190" s="14" t="str">
        <f>"1500"</f>
        <v>1500</v>
      </c>
      <c r="D190" s="14" t="str">
        <f>""</f>
        <v/>
      </c>
      <c r="E190" s="14" t="s">
        <v>1852</v>
      </c>
      <c r="F190" s="14" t="s">
        <v>217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34</v>
      </c>
      <c r="P190" s="14" t="s">
        <v>239</v>
      </c>
      <c r="Q190" s="14" t="s">
        <v>239</v>
      </c>
      <c r="R190" s="14" t="s">
        <v>35</v>
      </c>
    </row>
    <row r="191" spans="1:18" s="14" customFormat="1" x14ac:dyDescent="0.25">
      <c r="A191" s="14" t="str">
        <f>"95025"</f>
        <v>95025</v>
      </c>
      <c r="B191" s="14" t="str">
        <f>"03000"</f>
        <v>03000</v>
      </c>
      <c r="C191" s="14" t="str">
        <f>"1500"</f>
        <v>1500</v>
      </c>
      <c r="D191" s="14" t="str">
        <f>""</f>
        <v/>
      </c>
      <c r="E191" s="14" t="s">
        <v>1853</v>
      </c>
      <c r="F191" s="14" t="s">
        <v>217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34</v>
      </c>
      <c r="P191" s="14" t="s">
        <v>239</v>
      </c>
      <c r="Q191" s="14" t="s">
        <v>239</v>
      </c>
      <c r="R191" s="14" t="s">
        <v>35</v>
      </c>
    </row>
    <row r="192" spans="1:18" s="14" customFormat="1" x14ac:dyDescent="0.25">
      <c r="A192" s="14" t="str">
        <f>"95035"</f>
        <v>95035</v>
      </c>
      <c r="B192" s="14" t="str">
        <f>"03000"</f>
        <v>03000</v>
      </c>
      <c r="C192" s="14" t="str">
        <f>"1500"</f>
        <v>1500</v>
      </c>
      <c r="D192" s="14" t="str">
        <f>""</f>
        <v/>
      </c>
      <c r="E192" s="14" t="s">
        <v>1854</v>
      </c>
      <c r="F192" s="14" t="s">
        <v>217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34</v>
      </c>
      <c r="P192" s="14" t="s">
        <v>239</v>
      </c>
      <c r="Q192" s="14" t="s">
        <v>239</v>
      </c>
      <c r="R192" s="14" t="s">
        <v>35</v>
      </c>
    </row>
    <row r="193" spans="1:18" s="14" customFormat="1" x14ac:dyDescent="0.25">
      <c r="A193" s="14" t="str">
        <f>"95040"</f>
        <v>95040</v>
      </c>
      <c r="B193" s="14" t="str">
        <f>"03000"</f>
        <v>03000</v>
      </c>
      <c r="C193" s="14" t="str">
        <f>"1500"</f>
        <v>1500</v>
      </c>
      <c r="D193" s="14" t="str">
        <f>""</f>
        <v/>
      </c>
      <c r="E193" s="14" t="s">
        <v>1855</v>
      </c>
      <c r="F193" s="14" t="s">
        <v>217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34</v>
      </c>
      <c r="P193" s="14" t="s">
        <v>239</v>
      </c>
      <c r="Q193" s="14" t="s">
        <v>239</v>
      </c>
      <c r="R193" s="14" t="s">
        <v>35</v>
      </c>
    </row>
    <row r="194" spans="1:18" s="14" customFormat="1" x14ac:dyDescent="0.25">
      <c r="A194" s="14" t="str">
        <f>"95045"</f>
        <v>95045</v>
      </c>
      <c r="B194" s="14" t="str">
        <f>"03000"</f>
        <v>03000</v>
      </c>
      <c r="C194" s="14" t="str">
        <f>"1500"</f>
        <v>1500</v>
      </c>
      <c r="D194" s="14" t="str">
        <f>""</f>
        <v/>
      </c>
      <c r="E194" s="14" t="s">
        <v>1856</v>
      </c>
      <c r="F194" s="14" t="s">
        <v>217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34</v>
      </c>
      <c r="P194" s="14" t="s">
        <v>239</v>
      </c>
      <c r="Q194" s="14" t="s">
        <v>239</v>
      </c>
      <c r="R194" s="14" t="s">
        <v>35</v>
      </c>
    </row>
    <row r="195" spans="1:18" s="14" customFormat="1" x14ac:dyDescent="0.25">
      <c r="A195" s="14" t="str">
        <f>"95050"</f>
        <v>95050</v>
      </c>
      <c r="B195" s="14" t="str">
        <f>"03000"</f>
        <v>03000</v>
      </c>
      <c r="C195" s="14" t="str">
        <f>"1500"</f>
        <v>1500</v>
      </c>
      <c r="D195" s="14" t="str">
        <f>""</f>
        <v/>
      </c>
      <c r="E195" s="14" t="s">
        <v>1857</v>
      </c>
      <c r="F195" s="14" t="s">
        <v>217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34</v>
      </c>
      <c r="P195" s="14" t="s">
        <v>239</v>
      </c>
      <c r="Q195" s="14" t="s">
        <v>239</v>
      </c>
      <c r="R195" s="14" t="s">
        <v>35</v>
      </c>
    </row>
    <row r="196" spans="1:18" s="14" customFormat="1" x14ac:dyDescent="0.25">
      <c r="A196" s="14" t="str">
        <f>"95055"</f>
        <v>95055</v>
      </c>
      <c r="B196" s="14" t="str">
        <f>"03000"</f>
        <v>03000</v>
      </c>
      <c r="C196" s="14" t="str">
        <f>"1500"</f>
        <v>1500</v>
      </c>
      <c r="D196" s="14" t="str">
        <f>""</f>
        <v/>
      </c>
      <c r="E196" s="14" t="s">
        <v>1858</v>
      </c>
      <c r="F196" s="14" t="s">
        <v>217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34</v>
      </c>
      <c r="P196" s="14" t="s">
        <v>239</v>
      </c>
      <c r="Q196" s="14" t="s">
        <v>239</v>
      </c>
      <c r="R196" s="14" t="s">
        <v>35</v>
      </c>
    </row>
    <row r="197" spans="1:18" s="14" customFormat="1" x14ac:dyDescent="0.25">
      <c r="A197" s="14" t="str">
        <f>"95060"</f>
        <v>95060</v>
      </c>
      <c r="B197" s="14" t="str">
        <f>"03000"</f>
        <v>03000</v>
      </c>
      <c r="C197" s="14" t="str">
        <f>"1500"</f>
        <v>1500</v>
      </c>
      <c r="D197" s="14" t="str">
        <f>""</f>
        <v/>
      </c>
      <c r="E197" s="14" t="s">
        <v>1859</v>
      </c>
      <c r="F197" s="14" t="s">
        <v>217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34</v>
      </c>
      <c r="P197" s="14" t="s">
        <v>239</v>
      </c>
      <c r="Q197" s="14" t="s">
        <v>239</v>
      </c>
      <c r="R197" s="14" t="s">
        <v>35</v>
      </c>
    </row>
    <row r="198" spans="1:18" s="14" customFormat="1" x14ac:dyDescent="0.25">
      <c r="A198" s="14" t="str">
        <f>"95065"</f>
        <v>95065</v>
      </c>
      <c r="B198" s="14" t="str">
        <f>"03000"</f>
        <v>03000</v>
      </c>
      <c r="C198" s="14" t="str">
        <f>"1500"</f>
        <v>1500</v>
      </c>
      <c r="D198" s="14" t="str">
        <f>""</f>
        <v/>
      </c>
      <c r="E198" s="14" t="s">
        <v>1860</v>
      </c>
      <c r="F198" s="14" t="s">
        <v>217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34</v>
      </c>
      <c r="P198" s="14" t="s">
        <v>239</v>
      </c>
      <c r="Q198" s="14" t="s">
        <v>239</v>
      </c>
      <c r="R198" s="14" t="s">
        <v>35</v>
      </c>
    </row>
    <row r="199" spans="1:18" s="14" customFormat="1" x14ac:dyDescent="0.25">
      <c r="A199" s="14" t="str">
        <f>"95075"</f>
        <v>95075</v>
      </c>
      <c r="B199" s="14" t="str">
        <f>"03000"</f>
        <v>03000</v>
      </c>
      <c r="C199" s="14" t="str">
        <f>"1500"</f>
        <v>1500</v>
      </c>
      <c r="D199" s="14" t="str">
        <f>""</f>
        <v/>
      </c>
      <c r="E199" s="14" t="s">
        <v>1861</v>
      </c>
      <c r="F199" s="14" t="s">
        <v>217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34</v>
      </c>
      <c r="P199" s="14" t="s">
        <v>239</v>
      </c>
      <c r="Q199" s="14" t="s">
        <v>239</v>
      </c>
      <c r="R199" s="14" t="s">
        <v>35</v>
      </c>
    </row>
    <row r="200" spans="1:18" s="14" customFormat="1" x14ac:dyDescent="0.25">
      <c r="A200" s="14" t="str">
        <f>"95085"</f>
        <v>95085</v>
      </c>
      <c r="B200" s="14" t="str">
        <f>"03000"</f>
        <v>03000</v>
      </c>
      <c r="C200" s="14" t="str">
        <f>"1500"</f>
        <v>1500</v>
      </c>
      <c r="D200" s="14" t="str">
        <f>""</f>
        <v/>
      </c>
      <c r="E200" s="14" t="s">
        <v>1862</v>
      </c>
      <c r="F200" s="14" t="s">
        <v>217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34</v>
      </c>
      <c r="P200" s="14" t="s">
        <v>239</v>
      </c>
      <c r="Q200" s="14" t="s">
        <v>239</v>
      </c>
      <c r="R200" s="14" t="s">
        <v>35</v>
      </c>
    </row>
    <row r="201" spans="1:18" s="14" customFormat="1" x14ac:dyDescent="0.25">
      <c r="A201" s="14" t="str">
        <f>"95089"</f>
        <v>95089</v>
      </c>
      <c r="B201" s="14" t="str">
        <f>"03000"</f>
        <v>03000</v>
      </c>
      <c r="C201" s="14" t="str">
        <f>"1500"</f>
        <v>1500</v>
      </c>
      <c r="D201" s="14" t="str">
        <f>""</f>
        <v/>
      </c>
      <c r="E201" s="14" t="s">
        <v>1863</v>
      </c>
      <c r="F201" s="14" t="s">
        <v>217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34</v>
      </c>
      <c r="L201" s="14" t="s">
        <v>226</v>
      </c>
      <c r="P201" s="14" t="s">
        <v>239</v>
      </c>
      <c r="Q201" s="14" t="s">
        <v>239</v>
      </c>
      <c r="R201" s="14" t="s">
        <v>35</v>
      </c>
    </row>
    <row r="202" spans="1:18" s="14" customFormat="1" x14ac:dyDescent="0.25">
      <c r="A202" s="14" t="str">
        <f>"95090"</f>
        <v>95090</v>
      </c>
      <c r="B202" s="14" t="str">
        <f>"03000"</f>
        <v>03000</v>
      </c>
      <c r="C202" s="14" t="str">
        <f>"1500"</f>
        <v>1500</v>
      </c>
      <c r="D202" s="14" t="str">
        <f>""</f>
        <v/>
      </c>
      <c r="E202" s="14" t="s">
        <v>1864</v>
      </c>
      <c r="F202" s="14" t="s">
        <v>217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34</v>
      </c>
      <c r="P202" s="14" t="s">
        <v>239</v>
      </c>
      <c r="Q202" s="14" t="s">
        <v>239</v>
      </c>
      <c r="R202" s="14" t="s">
        <v>35</v>
      </c>
    </row>
    <row r="203" spans="1:18" s="14" customFormat="1" x14ac:dyDescent="0.25">
      <c r="A203" s="14" t="str">
        <f>"95091"</f>
        <v>95091</v>
      </c>
      <c r="B203" s="14" t="str">
        <f>"03000"</f>
        <v>03000</v>
      </c>
      <c r="C203" s="14" t="str">
        <f>"1500"</f>
        <v>1500</v>
      </c>
      <c r="D203" s="14" t="str">
        <f>""</f>
        <v/>
      </c>
      <c r="E203" s="14" t="s">
        <v>1865</v>
      </c>
      <c r="F203" s="14" t="s">
        <v>217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34</v>
      </c>
      <c r="L203" s="14" t="s">
        <v>226</v>
      </c>
      <c r="P203" s="14" t="s">
        <v>239</v>
      </c>
      <c r="Q203" s="14" t="s">
        <v>239</v>
      </c>
      <c r="R203" s="14" t="s">
        <v>35</v>
      </c>
    </row>
    <row r="204" spans="1:18" s="14" customFormat="1" x14ac:dyDescent="0.25">
      <c r="A204" s="14" t="str">
        <f>"95092"</f>
        <v>95092</v>
      </c>
      <c r="B204" s="14" t="str">
        <f>"03000"</f>
        <v>03000</v>
      </c>
      <c r="C204" s="14" t="str">
        <f>"1500"</f>
        <v>1500</v>
      </c>
      <c r="D204" s="14" t="str">
        <f>""</f>
        <v/>
      </c>
      <c r="E204" s="14" t="s">
        <v>1866</v>
      </c>
      <c r="F204" s="14" t="s">
        <v>217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34</v>
      </c>
      <c r="L204" s="14" t="s">
        <v>226</v>
      </c>
      <c r="P204" s="14" t="s">
        <v>239</v>
      </c>
      <c r="Q204" s="14" t="s">
        <v>239</v>
      </c>
      <c r="R204" s="14" t="s">
        <v>35</v>
      </c>
    </row>
    <row r="205" spans="1:18" s="14" customFormat="1" x14ac:dyDescent="0.25">
      <c r="A205" s="14" t="str">
        <f>"95093"</f>
        <v>95093</v>
      </c>
      <c r="B205" s="14" t="str">
        <f>"03000"</f>
        <v>03000</v>
      </c>
      <c r="C205" s="14" t="str">
        <f>"1500"</f>
        <v>1500</v>
      </c>
      <c r="D205" s="14" t="str">
        <f>""</f>
        <v/>
      </c>
      <c r="E205" s="14" t="s">
        <v>1867</v>
      </c>
      <c r="F205" s="14" t="s">
        <v>217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34</v>
      </c>
      <c r="L205" s="14" t="s">
        <v>226</v>
      </c>
      <c r="P205" s="14" t="s">
        <v>239</v>
      </c>
      <c r="Q205" s="14" t="s">
        <v>239</v>
      </c>
      <c r="R205" s="14" t="s">
        <v>35</v>
      </c>
    </row>
    <row r="206" spans="1:18" s="14" customFormat="1" x14ac:dyDescent="0.25">
      <c r="A206" s="14" t="str">
        <f>"95094"</f>
        <v>95094</v>
      </c>
      <c r="B206" s="14" t="str">
        <f>"03000"</f>
        <v>03000</v>
      </c>
      <c r="C206" s="14" t="str">
        <f>"1500"</f>
        <v>1500</v>
      </c>
      <c r="D206" s="14" t="str">
        <f>""</f>
        <v/>
      </c>
      <c r="E206" s="14" t="s">
        <v>1868</v>
      </c>
      <c r="F206" s="14" t="s">
        <v>217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34</v>
      </c>
      <c r="L206" s="14" t="s">
        <v>226</v>
      </c>
      <c r="P206" s="14" t="s">
        <v>239</v>
      </c>
      <c r="Q206" s="14" t="s">
        <v>239</v>
      </c>
      <c r="R206" s="14" t="s">
        <v>35</v>
      </c>
    </row>
    <row r="207" spans="1:18" s="14" customFormat="1" x14ac:dyDescent="0.25">
      <c r="A207" s="14" t="str">
        <f>"95095"</f>
        <v>95095</v>
      </c>
      <c r="B207" s="14" t="str">
        <f>"03000"</f>
        <v>03000</v>
      </c>
      <c r="C207" s="14" t="str">
        <f>"1500"</f>
        <v>1500</v>
      </c>
      <c r="D207" s="14" t="str">
        <f>""</f>
        <v/>
      </c>
      <c r="E207" s="14" t="s">
        <v>1869</v>
      </c>
      <c r="F207" s="14" t="s">
        <v>217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34</v>
      </c>
      <c r="P207" s="14" t="s">
        <v>239</v>
      </c>
      <c r="Q207" s="14" t="s">
        <v>239</v>
      </c>
      <c r="R207" s="14" t="s">
        <v>35</v>
      </c>
    </row>
    <row r="208" spans="1:18" s="14" customFormat="1" x14ac:dyDescent="0.25">
      <c r="A208" s="14" t="str">
        <f>"95096"</f>
        <v>95096</v>
      </c>
      <c r="B208" s="14" t="str">
        <f>"03000"</f>
        <v>03000</v>
      </c>
      <c r="C208" s="14" t="str">
        <f>"1500"</f>
        <v>1500</v>
      </c>
      <c r="D208" s="14" t="str">
        <f>""</f>
        <v/>
      </c>
      <c r="E208" s="14" t="s">
        <v>1870</v>
      </c>
      <c r="F208" s="14" t="s">
        <v>217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34</v>
      </c>
      <c r="P208" s="14" t="s">
        <v>239</v>
      </c>
      <c r="Q208" s="14" t="s">
        <v>239</v>
      </c>
      <c r="R208" s="14" t="s">
        <v>35</v>
      </c>
    </row>
    <row r="209" spans="1:18" s="14" customFormat="1" x14ac:dyDescent="0.25">
      <c r="A209" s="14" t="str">
        <f>"95097"</f>
        <v>95097</v>
      </c>
      <c r="B209" s="14" t="str">
        <f>"03000"</f>
        <v>03000</v>
      </c>
      <c r="C209" s="14" t="str">
        <f>"1500"</f>
        <v>1500</v>
      </c>
      <c r="D209" s="14" t="str">
        <f>""</f>
        <v/>
      </c>
      <c r="E209" s="14" t="s">
        <v>1871</v>
      </c>
      <c r="F209" s="14" t="s">
        <v>217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34</v>
      </c>
      <c r="P209" s="14" t="s">
        <v>239</v>
      </c>
      <c r="Q209" s="14" t="s">
        <v>239</v>
      </c>
      <c r="R209" s="14" t="s">
        <v>35</v>
      </c>
    </row>
    <row r="210" spans="1:18" s="14" customFormat="1" x14ac:dyDescent="0.25">
      <c r="A210" s="14" t="str">
        <f>"95098"</f>
        <v>95098</v>
      </c>
      <c r="B210" s="14" t="str">
        <f>"03000"</f>
        <v>03000</v>
      </c>
      <c r="C210" s="14" t="str">
        <f>"1500"</f>
        <v>1500</v>
      </c>
      <c r="D210" s="14" t="str">
        <f>""</f>
        <v/>
      </c>
      <c r="E210" s="14" t="s">
        <v>1872</v>
      </c>
      <c r="F210" s="14" t="s">
        <v>217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34</v>
      </c>
      <c r="P210" s="14" t="s">
        <v>239</v>
      </c>
      <c r="Q210" s="14" t="s">
        <v>239</v>
      </c>
      <c r="R210" s="14" t="s">
        <v>35</v>
      </c>
    </row>
    <row r="211" spans="1:18" s="14" customFormat="1" x14ac:dyDescent="0.25">
      <c r="A211" s="14" t="str">
        <f>"95099"</f>
        <v>95099</v>
      </c>
      <c r="B211" s="14" t="str">
        <f>"03000"</f>
        <v>03000</v>
      </c>
      <c r="C211" s="14" t="str">
        <f>"1500"</f>
        <v>1500</v>
      </c>
      <c r="D211" s="14" t="str">
        <f>""</f>
        <v/>
      </c>
      <c r="E211" s="14" t="s">
        <v>1873</v>
      </c>
      <c r="F211" s="14" t="s">
        <v>217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34</v>
      </c>
      <c r="P211" s="14" t="s">
        <v>239</v>
      </c>
      <c r="Q211" s="14" t="s">
        <v>239</v>
      </c>
      <c r="R211" s="14" t="s">
        <v>35</v>
      </c>
    </row>
    <row r="212" spans="1:18" s="14" customFormat="1" x14ac:dyDescent="0.25">
      <c r="A212" s="14" t="str">
        <f>"95101"</f>
        <v>95101</v>
      </c>
      <c r="B212" s="14" t="str">
        <f>"03000"</f>
        <v>03000</v>
      </c>
      <c r="C212" s="14" t="str">
        <f>"1500"</f>
        <v>1500</v>
      </c>
      <c r="D212" s="14" t="str">
        <f>""</f>
        <v/>
      </c>
      <c r="E212" s="14" t="s">
        <v>1874</v>
      </c>
      <c r="F212" s="14" t="s">
        <v>217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34</v>
      </c>
      <c r="P212" s="14" t="s">
        <v>239</v>
      </c>
      <c r="Q212" s="14" t="s">
        <v>239</v>
      </c>
      <c r="R212" s="14" t="s">
        <v>35</v>
      </c>
    </row>
    <row r="213" spans="1:18" s="14" customFormat="1" x14ac:dyDescent="0.25">
      <c r="A213" s="14" t="str">
        <f>"95104"</f>
        <v>95104</v>
      </c>
      <c r="B213" s="14" t="str">
        <f>"03000"</f>
        <v>03000</v>
      </c>
      <c r="C213" s="14" t="str">
        <f>"1500"</f>
        <v>1500</v>
      </c>
      <c r="D213" s="14" t="str">
        <f>""</f>
        <v/>
      </c>
      <c r="E213" s="14" t="s">
        <v>1875</v>
      </c>
      <c r="F213" s="14" t="s">
        <v>217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34</v>
      </c>
      <c r="P213" s="14" t="s">
        <v>239</v>
      </c>
      <c r="Q213" s="14" t="s">
        <v>239</v>
      </c>
      <c r="R213" s="14" t="s">
        <v>35</v>
      </c>
    </row>
    <row r="214" spans="1:18" s="14" customFormat="1" x14ac:dyDescent="0.25">
      <c r="A214" s="14" t="str">
        <f>"95105"</f>
        <v>95105</v>
      </c>
      <c r="B214" s="14" t="str">
        <f>"03000"</f>
        <v>03000</v>
      </c>
      <c r="C214" s="14" t="str">
        <f>"1500"</f>
        <v>1500</v>
      </c>
      <c r="D214" s="14" t="str">
        <f>""</f>
        <v/>
      </c>
      <c r="E214" s="14" t="s">
        <v>1876</v>
      </c>
      <c r="F214" s="14" t="s">
        <v>217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34</v>
      </c>
      <c r="P214" s="14" t="s">
        <v>239</v>
      </c>
      <c r="Q214" s="14" t="s">
        <v>239</v>
      </c>
      <c r="R214" s="14" t="s">
        <v>35</v>
      </c>
    </row>
    <row r="215" spans="1:18" s="14" customFormat="1" x14ac:dyDescent="0.25">
      <c r="A215" s="14" t="str">
        <f>"95107"</f>
        <v>95107</v>
      </c>
      <c r="B215" s="14" t="str">
        <f>"03000"</f>
        <v>03000</v>
      </c>
      <c r="C215" s="14" t="str">
        <f>"1500"</f>
        <v>1500</v>
      </c>
      <c r="D215" s="14" t="str">
        <f>""</f>
        <v/>
      </c>
      <c r="E215" s="14" t="s">
        <v>1877</v>
      </c>
      <c r="F215" s="14" t="s">
        <v>217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34</v>
      </c>
      <c r="P215" s="14" t="s">
        <v>239</v>
      </c>
      <c r="Q215" s="14" t="s">
        <v>239</v>
      </c>
      <c r="R215" s="14" t="s">
        <v>35</v>
      </c>
    </row>
    <row r="216" spans="1:18" s="14" customFormat="1" x14ac:dyDescent="0.25">
      <c r="A216" s="14" t="str">
        <f>"95108"</f>
        <v>95108</v>
      </c>
      <c r="B216" s="14" t="str">
        <f>"03000"</f>
        <v>03000</v>
      </c>
      <c r="C216" s="14" t="str">
        <f>"1500"</f>
        <v>1500</v>
      </c>
      <c r="D216" s="14" t="str">
        <f>""</f>
        <v/>
      </c>
      <c r="E216" s="14" t="s">
        <v>1878</v>
      </c>
      <c r="F216" s="14" t="s">
        <v>217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34</v>
      </c>
      <c r="P216" s="14" t="s">
        <v>239</v>
      </c>
      <c r="Q216" s="14" t="s">
        <v>239</v>
      </c>
      <c r="R216" s="14" t="s">
        <v>35</v>
      </c>
    </row>
    <row r="217" spans="1:18" s="14" customFormat="1" x14ac:dyDescent="0.25">
      <c r="A217" s="14" t="str">
        <f>"95110"</f>
        <v>95110</v>
      </c>
      <c r="B217" s="14" t="str">
        <f>"03000"</f>
        <v>03000</v>
      </c>
      <c r="C217" s="14" t="str">
        <f>"1500"</f>
        <v>1500</v>
      </c>
      <c r="D217" s="14" t="str">
        <f>""</f>
        <v/>
      </c>
      <c r="E217" s="14" t="s">
        <v>1879</v>
      </c>
      <c r="F217" s="14" t="s">
        <v>217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34</v>
      </c>
      <c r="P217" s="14" t="s">
        <v>239</v>
      </c>
      <c r="Q217" s="14" t="s">
        <v>239</v>
      </c>
      <c r="R217" s="14" t="s">
        <v>35</v>
      </c>
    </row>
    <row r="218" spans="1:18" s="14" customFormat="1" x14ac:dyDescent="0.25">
      <c r="A218" s="14" t="str">
        <f>"95111"</f>
        <v>95111</v>
      </c>
      <c r="B218" s="14" t="str">
        <f>"03000"</f>
        <v>03000</v>
      </c>
      <c r="C218" s="14" t="str">
        <f>"1500"</f>
        <v>1500</v>
      </c>
      <c r="D218" s="14" t="str">
        <f>""</f>
        <v/>
      </c>
      <c r="E218" s="14" t="s">
        <v>1880</v>
      </c>
      <c r="F218" s="14" t="s">
        <v>217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34</v>
      </c>
      <c r="P218" s="14" t="s">
        <v>239</v>
      </c>
      <c r="Q218" s="14" t="s">
        <v>239</v>
      </c>
      <c r="R218" s="14" t="s">
        <v>35</v>
      </c>
    </row>
    <row r="219" spans="1:18" s="14" customFormat="1" x14ac:dyDescent="0.25">
      <c r="A219" s="14" t="str">
        <f>"95112"</f>
        <v>95112</v>
      </c>
      <c r="B219" s="14" t="str">
        <f>"03000"</f>
        <v>03000</v>
      </c>
      <c r="C219" s="14" t="str">
        <f>"1500"</f>
        <v>1500</v>
      </c>
      <c r="D219" s="14" t="str">
        <f>""</f>
        <v/>
      </c>
      <c r="E219" s="14" t="s">
        <v>1881</v>
      </c>
      <c r="F219" s="14" t="s">
        <v>217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34</v>
      </c>
      <c r="P219" s="14" t="s">
        <v>239</v>
      </c>
      <c r="Q219" s="14" t="s">
        <v>239</v>
      </c>
      <c r="R219" s="14" t="s">
        <v>35</v>
      </c>
    </row>
    <row r="220" spans="1:18" s="14" customFormat="1" x14ac:dyDescent="0.25">
      <c r="A220" s="14" t="str">
        <f>"95113"</f>
        <v>95113</v>
      </c>
      <c r="B220" s="14" t="str">
        <f>"03000"</f>
        <v>03000</v>
      </c>
      <c r="C220" s="14" t="str">
        <f>"1500"</f>
        <v>1500</v>
      </c>
      <c r="D220" s="14" t="str">
        <f>""</f>
        <v/>
      </c>
      <c r="E220" s="14" t="s">
        <v>1882</v>
      </c>
      <c r="F220" s="14" t="s">
        <v>217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34</v>
      </c>
      <c r="P220" s="14" t="s">
        <v>239</v>
      </c>
      <c r="Q220" s="14" t="s">
        <v>239</v>
      </c>
      <c r="R220" s="14" t="s">
        <v>35</v>
      </c>
    </row>
    <row r="221" spans="1:18" s="14" customFormat="1" x14ac:dyDescent="0.25">
      <c r="A221" s="14" t="str">
        <f>"95114"</f>
        <v>95114</v>
      </c>
      <c r="B221" s="14" t="str">
        <f>"03000"</f>
        <v>03000</v>
      </c>
      <c r="C221" s="14" t="str">
        <f>"1500"</f>
        <v>1500</v>
      </c>
      <c r="D221" s="14" t="str">
        <f>""</f>
        <v/>
      </c>
      <c r="E221" s="14" t="s">
        <v>1883</v>
      </c>
      <c r="F221" s="14" t="s">
        <v>217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34</v>
      </c>
      <c r="P221" s="14" t="s">
        <v>239</v>
      </c>
      <c r="Q221" s="14" t="s">
        <v>239</v>
      </c>
      <c r="R221" s="14" t="s">
        <v>35</v>
      </c>
    </row>
    <row r="222" spans="1:18" s="14" customFormat="1" x14ac:dyDescent="0.25">
      <c r="A222" s="14" t="str">
        <f>"95115"</f>
        <v>95115</v>
      </c>
      <c r="B222" s="14" t="str">
        <f>"03000"</f>
        <v>03000</v>
      </c>
      <c r="C222" s="14" t="str">
        <f>"1500"</f>
        <v>1500</v>
      </c>
      <c r="D222" s="14" t="str">
        <f>""</f>
        <v/>
      </c>
      <c r="E222" s="14" t="s">
        <v>1884</v>
      </c>
      <c r="F222" s="14" t="s">
        <v>217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34</v>
      </c>
      <c r="P222" s="14" t="s">
        <v>239</v>
      </c>
      <c r="Q222" s="14" t="s">
        <v>239</v>
      </c>
      <c r="R222" s="14" t="s">
        <v>35</v>
      </c>
    </row>
    <row r="223" spans="1:18" s="14" customFormat="1" x14ac:dyDescent="0.25">
      <c r="A223" s="14" t="str">
        <f>"95116"</f>
        <v>95116</v>
      </c>
      <c r="B223" s="14" t="str">
        <f>"03000"</f>
        <v>03000</v>
      </c>
      <c r="C223" s="14" t="str">
        <f>"1500"</f>
        <v>1500</v>
      </c>
      <c r="D223" s="14" t="str">
        <f>""</f>
        <v/>
      </c>
      <c r="E223" s="14" t="s">
        <v>1885</v>
      </c>
      <c r="F223" s="14" t="s">
        <v>217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34</v>
      </c>
      <c r="P223" s="14" t="s">
        <v>239</v>
      </c>
      <c r="Q223" s="14" t="s">
        <v>239</v>
      </c>
      <c r="R223" s="14" t="s">
        <v>35</v>
      </c>
    </row>
    <row r="224" spans="1:18" s="14" customFormat="1" x14ac:dyDescent="0.25">
      <c r="A224" s="14" t="str">
        <f>"95118"</f>
        <v>95118</v>
      </c>
      <c r="B224" s="14" t="str">
        <f>"03000"</f>
        <v>03000</v>
      </c>
      <c r="C224" s="14" t="str">
        <f>"1500"</f>
        <v>1500</v>
      </c>
      <c r="D224" s="14" t="str">
        <f>""</f>
        <v/>
      </c>
      <c r="E224" s="14" t="s">
        <v>1886</v>
      </c>
      <c r="F224" s="14" t="s">
        <v>217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34</v>
      </c>
      <c r="P224" s="14" t="s">
        <v>239</v>
      </c>
      <c r="Q224" s="14" t="s">
        <v>239</v>
      </c>
      <c r="R224" s="14" t="s">
        <v>35</v>
      </c>
    </row>
    <row r="225" spans="1:18" s="14" customFormat="1" x14ac:dyDescent="0.25">
      <c r="A225" s="14" t="str">
        <f>"95119"</f>
        <v>95119</v>
      </c>
      <c r="B225" s="14" t="str">
        <f>"03000"</f>
        <v>03000</v>
      </c>
      <c r="C225" s="14" t="str">
        <f>"1500"</f>
        <v>1500</v>
      </c>
      <c r="D225" s="14" t="str">
        <f>""</f>
        <v/>
      </c>
      <c r="E225" s="14" t="s">
        <v>1887</v>
      </c>
      <c r="F225" s="14" t="s">
        <v>217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34</v>
      </c>
      <c r="P225" s="14" t="s">
        <v>239</v>
      </c>
      <c r="Q225" s="14" t="s">
        <v>239</v>
      </c>
      <c r="R225" s="14" t="s">
        <v>35</v>
      </c>
    </row>
    <row r="226" spans="1:18" s="14" customFormat="1" x14ac:dyDescent="0.25">
      <c r="A226" s="14" t="str">
        <f>"95120"</f>
        <v>95120</v>
      </c>
      <c r="B226" s="14" t="str">
        <f>"03000"</f>
        <v>03000</v>
      </c>
      <c r="C226" s="14" t="str">
        <f>"1500"</f>
        <v>1500</v>
      </c>
      <c r="D226" s="14" t="str">
        <f>""</f>
        <v/>
      </c>
      <c r="E226" s="14" t="s">
        <v>1888</v>
      </c>
      <c r="F226" s="14" t="s">
        <v>217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34</v>
      </c>
      <c r="P226" s="14" t="s">
        <v>239</v>
      </c>
      <c r="Q226" s="14" t="s">
        <v>239</v>
      </c>
      <c r="R226" s="14" t="s">
        <v>35</v>
      </c>
    </row>
    <row r="227" spans="1:18" s="14" customFormat="1" x14ac:dyDescent="0.25">
      <c r="A227" s="14" t="str">
        <f>"95122"</f>
        <v>95122</v>
      </c>
      <c r="B227" s="14" t="str">
        <f>"03000"</f>
        <v>03000</v>
      </c>
      <c r="C227" s="14" t="str">
        <f>"1500"</f>
        <v>1500</v>
      </c>
      <c r="D227" s="14" t="str">
        <f>""</f>
        <v/>
      </c>
      <c r="E227" s="14" t="s">
        <v>1889</v>
      </c>
      <c r="F227" s="14" t="s">
        <v>217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34</v>
      </c>
      <c r="P227" s="14" t="s">
        <v>239</v>
      </c>
      <c r="Q227" s="14" t="s">
        <v>239</v>
      </c>
      <c r="R227" s="14" t="s">
        <v>35</v>
      </c>
    </row>
    <row r="228" spans="1:18" s="14" customFormat="1" x14ac:dyDescent="0.25">
      <c r="A228" s="14" t="str">
        <f>"95123"</f>
        <v>95123</v>
      </c>
      <c r="B228" s="14" t="str">
        <f>"03000"</f>
        <v>03000</v>
      </c>
      <c r="C228" s="14" t="str">
        <f>"1500"</f>
        <v>1500</v>
      </c>
      <c r="D228" s="14" t="str">
        <f>""</f>
        <v/>
      </c>
      <c r="E228" s="14" t="s">
        <v>1890</v>
      </c>
      <c r="F228" s="14" t="s">
        <v>217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34</v>
      </c>
      <c r="P228" s="14" t="s">
        <v>239</v>
      </c>
      <c r="Q228" s="14" t="s">
        <v>239</v>
      </c>
      <c r="R228" s="14" t="s">
        <v>35</v>
      </c>
    </row>
    <row r="229" spans="1:18" s="14" customFormat="1" x14ac:dyDescent="0.25">
      <c r="A229" s="14" t="str">
        <f>"95124"</f>
        <v>95124</v>
      </c>
      <c r="B229" s="14" t="str">
        <f>"03000"</f>
        <v>03000</v>
      </c>
      <c r="C229" s="14" t="str">
        <f>"1500"</f>
        <v>1500</v>
      </c>
      <c r="D229" s="14" t="str">
        <f>""</f>
        <v/>
      </c>
      <c r="E229" s="14" t="s">
        <v>1891</v>
      </c>
      <c r="F229" s="14" t="s">
        <v>217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34</v>
      </c>
      <c r="P229" s="14" t="s">
        <v>239</v>
      </c>
      <c r="Q229" s="14" t="s">
        <v>239</v>
      </c>
      <c r="R229" s="14" t="s">
        <v>35</v>
      </c>
    </row>
    <row r="230" spans="1:18" s="14" customFormat="1" x14ac:dyDescent="0.25">
      <c r="A230" s="14" t="str">
        <f>"95125"</f>
        <v>95125</v>
      </c>
      <c r="B230" s="14" t="str">
        <f>"03000"</f>
        <v>03000</v>
      </c>
      <c r="C230" s="14" t="str">
        <f>"1500"</f>
        <v>1500</v>
      </c>
      <c r="D230" s="14" t="str">
        <f>""</f>
        <v/>
      </c>
      <c r="E230" s="14" t="s">
        <v>1892</v>
      </c>
      <c r="F230" s="14" t="s">
        <v>217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34</v>
      </c>
      <c r="P230" s="14" t="s">
        <v>239</v>
      </c>
      <c r="Q230" s="14" t="s">
        <v>239</v>
      </c>
      <c r="R230" s="14" t="s">
        <v>35</v>
      </c>
    </row>
    <row r="231" spans="1:18" s="14" customFormat="1" x14ac:dyDescent="0.25">
      <c r="A231" s="14" t="str">
        <f>"95126"</f>
        <v>95126</v>
      </c>
      <c r="B231" s="14" t="str">
        <f>"03000"</f>
        <v>03000</v>
      </c>
      <c r="C231" s="14" t="str">
        <f>"1500"</f>
        <v>1500</v>
      </c>
      <c r="D231" s="14" t="str">
        <f>""</f>
        <v/>
      </c>
      <c r="E231" s="14" t="s">
        <v>1893</v>
      </c>
      <c r="F231" s="14" t="s">
        <v>217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34</v>
      </c>
      <c r="P231" s="14" t="s">
        <v>239</v>
      </c>
      <c r="Q231" s="14" t="s">
        <v>239</v>
      </c>
      <c r="R231" s="14" t="s">
        <v>35</v>
      </c>
    </row>
    <row r="232" spans="1:18" s="14" customFormat="1" x14ac:dyDescent="0.25">
      <c r="A232" s="14" t="str">
        <f>"95127"</f>
        <v>95127</v>
      </c>
      <c r="B232" s="14" t="str">
        <f>"03000"</f>
        <v>03000</v>
      </c>
      <c r="C232" s="14" t="str">
        <f>"1500"</f>
        <v>1500</v>
      </c>
      <c r="D232" s="14" t="str">
        <f>""</f>
        <v/>
      </c>
      <c r="E232" s="14" t="s">
        <v>1894</v>
      </c>
      <c r="F232" s="14" t="s">
        <v>217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34</v>
      </c>
      <c r="P232" s="14" t="s">
        <v>239</v>
      </c>
      <c r="Q232" s="14" t="s">
        <v>239</v>
      </c>
      <c r="R232" s="14" t="s">
        <v>35</v>
      </c>
    </row>
    <row r="233" spans="1:18" s="14" customFormat="1" x14ac:dyDescent="0.25">
      <c r="A233" s="14" t="str">
        <f>"95128"</f>
        <v>95128</v>
      </c>
      <c r="B233" s="14" t="str">
        <f>"03000"</f>
        <v>03000</v>
      </c>
      <c r="C233" s="14" t="str">
        <f>"1500"</f>
        <v>1500</v>
      </c>
      <c r="D233" s="14" t="str">
        <f>""</f>
        <v/>
      </c>
      <c r="E233" s="14" t="s">
        <v>1895</v>
      </c>
      <c r="F233" s="14" t="s">
        <v>217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34</v>
      </c>
      <c r="P233" s="14" t="s">
        <v>239</v>
      </c>
      <c r="Q233" s="14" t="s">
        <v>239</v>
      </c>
      <c r="R233" s="14" t="s">
        <v>35</v>
      </c>
    </row>
    <row r="234" spans="1:18" s="14" customFormat="1" x14ac:dyDescent="0.25">
      <c r="A234" s="14" t="str">
        <f>"95129"</f>
        <v>95129</v>
      </c>
      <c r="B234" s="14" t="str">
        <f>"03000"</f>
        <v>03000</v>
      </c>
      <c r="C234" s="14" t="str">
        <f>"1500"</f>
        <v>1500</v>
      </c>
      <c r="D234" s="14" t="str">
        <f>""</f>
        <v/>
      </c>
      <c r="E234" s="14" t="s">
        <v>1896</v>
      </c>
      <c r="F234" s="14" t="s">
        <v>217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34</v>
      </c>
      <c r="P234" s="14" t="s">
        <v>239</v>
      </c>
      <c r="Q234" s="14" t="s">
        <v>239</v>
      </c>
      <c r="R234" s="14" t="s">
        <v>35</v>
      </c>
    </row>
    <row r="235" spans="1:18" s="14" customFormat="1" x14ac:dyDescent="0.25">
      <c r="A235" s="14" t="str">
        <f>"95130"</f>
        <v>95130</v>
      </c>
      <c r="B235" s="14" t="str">
        <f>"03000"</f>
        <v>03000</v>
      </c>
      <c r="C235" s="14" t="str">
        <f>"1500"</f>
        <v>1500</v>
      </c>
      <c r="D235" s="14" t="str">
        <f>""</f>
        <v/>
      </c>
      <c r="E235" s="14" t="s">
        <v>1897</v>
      </c>
      <c r="F235" s="14" t="s">
        <v>217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34</v>
      </c>
      <c r="P235" s="14" t="s">
        <v>239</v>
      </c>
      <c r="Q235" s="14" t="s">
        <v>239</v>
      </c>
      <c r="R235" s="14" t="s">
        <v>35</v>
      </c>
    </row>
    <row r="236" spans="1:18" s="14" customFormat="1" x14ac:dyDescent="0.25">
      <c r="A236" s="14" t="str">
        <f>"95131"</f>
        <v>95131</v>
      </c>
      <c r="B236" s="14" t="str">
        <f>"03000"</f>
        <v>03000</v>
      </c>
      <c r="C236" s="14" t="str">
        <f>"1500"</f>
        <v>1500</v>
      </c>
      <c r="D236" s="14" t="str">
        <f>""</f>
        <v/>
      </c>
      <c r="E236" s="14" t="s">
        <v>1898</v>
      </c>
      <c r="F236" s="14" t="s">
        <v>217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34</v>
      </c>
      <c r="P236" s="14" t="s">
        <v>239</v>
      </c>
      <c r="Q236" s="14" t="s">
        <v>239</v>
      </c>
      <c r="R236" s="14" t="s">
        <v>35</v>
      </c>
    </row>
    <row r="237" spans="1:18" s="14" customFormat="1" x14ac:dyDescent="0.25">
      <c r="A237" s="14" t="str">
        <f>"95132"</f>
        <v>95132</v>
      </c>
      <c r="B237" s="14" t="str">
        <f>"03000"</f>
        <v>03000</v>
      </c>
      <c r="C237" s="14" t="str">
        <f>"1500"</f>
        <v>1500</v>
      </c>
      <c r="D237" s="14" t="str">
        <f>""</f>
        <v/>
      </c>
      <c r="E237" s="14" t="s">
        <v>1899</v>
      </c>
      <c r="F237" s="14" t="s">
        <v>217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34</v>
      </c>
      <c r="P237" s="14" t="s">
        <v>239</v>
      </c>
      <c r="Q237" s="14" t="s">
        <v>239</v>
      </c>
      <c r="R237" s="14" t="s">
        <v>35</v>
      </c>
    </row>
    <row r="238" spans="1:18" s="14" customFormat="1" x14ac:dyDescent="0.25">
      <c r="A238" s="14" t="str">
        <f>"95133"</f>
        <v>95133</v>
      </c>
      <c r="B238" s="14" t="str">
        <f>"03000"</f>
        <v>03000</v>
      </c>
      <c r="C238" s="14" t="str">
        <f>"1500"</f>
        <v>1500</v>
      </c>
      <c r="D238" s="14" t="str">
        <f>""</f>
        <v/>
      </c>
      <c r="E238" s="14" t="s">
        <v>1900</v>
      </c>
      <c r="F238" s="14" t="s">
        <v>217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34</v>
      </c>
      <c r="P238" s="14" t="s">
        <v>239</v>
      </c>
      <c r="Q238" s="14" t="s">
        <v>239</v>
      </c>
      <c r="R238" s="14" t="s">
        <v>35</v>
      </c>
    </row>
    <row r="239" spans="1:18" s="14" customFormat="1" x14ac:dyDescent="0.25">
      <c r="A239" s="14" t="str">
        <f>"95134"</f>
        <v>95134</v>
      </c>
      <c r="B239" s="14" t="str">
        <f>"03000"</f>
        <v>03000</v>
      </c>
      <c r="C239" s="14" t="str">
        <f>"1500"</f>
        <v>1500</v>
      </c>
      <c r="D239" s="14" t="str">
        <f>""</f>
        <v/>
      </c>
      <c r="E239" s="14" t="s">
        <v>1901</v>
      </c>
      <c r="F239" s="14" t="s">
        <v>217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34</v>
      </c>
      <c r="P239" s="14" t="s">
        <v>239</v>
      </c>
      <c r="Q239" s="14" t="s">
        <v>239</v>
      </c>
      <c r="R239" s="14" t="s">
        <v>35</v>
      </c>
    </row>
    <row r="240" spans="1:18" s="14" customFormat="1" x14ac:dyDescent="0.25">
      <c r="A240" s="14" t="str">
        <f>"95135"</f>
        <v>95135</v>
      </c>
      <c r="B240" s="14" t="str">
        <f>"03000"</f>
        <v>03000</v>
      </c>
      <c r="C240" s="14" t="str">
        <f>"1500"</f>
        <v>1500</v>
      </c>
      <c r="D240" s="14" t="str">
        <f>""</f>
        <v/>
      </c>
      <c r="E240" s="14" t="s">
        <v>1902</v>
      </c>
      <c r="F240" s="14" t="s">
        <v>217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34</v>
      </c>
      <c r="P240" s="14" t="s">
        <v>239</v>
      </c>
      <c r="Q240" s="14" t="s">
        <v>239</v>
      </c>
      <c r="R240" s="14" t="s">
        <v>35</v>
      </c>
    </row>
    <row r="241" spans="1:18" s="14" customFormat="1" x14ac:dyDescent="0.25">
      <c r="A241" s="14" t="str">
        <f>"95136"</f>
        <v>95136</v>
      </c>
      <c r="B241" s="14" t="str">
        <f>"03000"</f>
        <v>03000</v>
      </c>
      <c r="C241" s="14" t="str">
        <f>"1500"</f>
        <v>1500</v>
      </c>
      <c r="D241" s="14" t="str">
        <f>""</f>
        <v/>
      </c>
      <c r="E241" s="14" t="s">
        <v>1903</v>
      </c>
      <c r="F241" s="14" t="s">
        <v>217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34</v>
      </c>
      <c r="P241" s="14" t="s">
        <v>239</v>
      </c>
      <c r="Q241" s="14" t="s">
        <v>239</v>
      </c>
      <c r="R241" s="14" t="s">
        <v>35</v>
      </c>
    </row>
    <row r="242" spans="1:18" s="14" customFormat="1" x14ac:dyDescent="0.25">
      <c r="A242" s="14" t="str">
        <f>"95140"</f>
        <v>95140</v>
      </c>
      <c r="B242" s="14" t="str">
        <f>"03000"</f>
        <v>03000</v>
      </c>
      <c r="C242" s="14" t="str">
        <f>"1500"</f>
        <v>1500</v>
      </c>
      <c r="D242" s="14" t="str">
        <f>""</f>
        <v/>
      </c>
      <c r="E242" s="14" t="s">
        <v>1904</v>
      </c>
      <c r="F242" s="14" t="s">
        <v>217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34</v>
      </c>
      <c r="P242" s="14" t="s">
        <v>239</v>
      </c>
      <c r="Q242" s="14" t="s">
        <v>239</v>
      </c>
      <c r="R242" s="14" t="s">
        <v>35</v>
      </c>
    </row>
    <row r="243" spans="1:18" s="14" customFormat="1" x14ac:dyDescent="0.25">
      <c r="A243" s="14" t="str">
        <f>"95141"</f>
        <v>95141</v>
      </c>
      <c r="B243" s="14" t="str">
        <f>"03000"</f>
        <v>03000</v>
      </c>
      <c r="C243" s="14" t="str">
        <f>"1500"</f>
        <v>1500</v>
      </c>
      <c r="D243" s="14" t="str">
        <f>""</f>
        <v/>
      </c>
      <c r="E243" s="14" t="s">
        <v>1905</v>
      </c>
      <c r="F243" s="14" t="s">
        <v>217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34</v>
      </c>
      <c r="P243" s="14" t="s">
        <v>239</v>
      </c>
      <c r="Q243" s="14" t="s">
        <v>239</v>
      </c>
      <c r="R243" s="14" t="s">
        <v>35</v>
      </c>
    </row>
    <row r="244" spans="1:18" s="14" customFormat="1" x14ac:dyDescent="0.25">
      <c r="A244" s="14" t="str">
        <f>"95142"</f>
        <v>95142</v>
      </c>
      <c r="B244" s="14" t="str">
        <f>"03000"</f>
        <v>03000</v>
      </c>
      <c r="C244" s="14" t="str">
        <f>"1500"</f>
        <v>1500</v>
      </c>
      <c r="D244" s="14" t="str">
        <f>""</f>
        <v/>
      </c>
      <c r="E244" s="14" t="s">
        <v>1906</v>
      </c>
      <c r="F244" s="14" t="s">
        <v>217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34</v>
      </c>
      <c r="P244" s="14" t="s">
        <v>239</v>
      </c>
      <c r="Q244" s="14" t="s">
        <v>239</v>
      </c>
      <c r="R244" s="14" t="s">
        <v>35</v>
      </c>
    </row>
    <row r="245" spans="1:18" s="14" customFormat="1" x14ac:dyDescent="0.25">
      <c r="A245" s="14" t="str">
        <f>"95143"</f>
        <v>95143</v>
      </c>
      <c r="B245" s="14" t="str">
        <f>"03000"</f>
        <v>03000</v>
      </c>
      <c r="C245" s="14" t="str">
        <f>"1500"</f>
        <v>1500</v>
      </c>
      <c r="D245" s="14" t="str">
        <f>""</f>
        <v/>
      </c>
      <c r="E245" s="14" t="s">
        <v>1907</v>
      </c>
      <c r="F245" s="14" t="s">
        <v>217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34</v>
      </c>
      <c r="P245" s="14" t="s">
        <v>239</v>
      </c>
      <c r="Q245" s="14" t="s">
        <v>239</v>
      </c>
      <c r="R245" s="14" t="s">
        <v>35</v>
      </c>
    </row>
    <row r="246" spans="1:18" s="14" customFormat="1" x14ac:dyDescent="0.25">
      <c r="A246" s="14" t="str">
        <f>"95144"</f>
        <v>95144</v>
      </c>
      <c r="B246" s="14" t="str">
        <f>"03000"</f>
        <v>03000</v>
      </c>
      <c r="C246" s="14" t="str">
        <f>"1500"</f>
        <v>1500</v>
      </c>
      <c r="D246" s="14" t="str">
        <f>""</f>
        <v/>
      </c>
      <c r="E246" s="14" t="s">
        <v>1908</v>
      </c>
      <c r="F246" s="14" t="s">
        <v>217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34</v>
      </c>
      <c r="P246" s="14" t="s">
        <v>239</v>
      </c>
      <c r="Q246" s="14" t="s">
        <v>239</v>
      </c>
      <c r="R246" s="14" t="s">
        <v>35</v>
      </c>
    </row>
    <row r="247" spans="1:18" s="14" customFormat="1" x14ac:dyDescent="0.25">
      <c r="A247" s="14" t="str">
        <f>"95145"</f>
        <v>95145</v>
      </c>
      <c r="B247" s="14" t="str">
        <f>"03000"</f>
        <v>03000</v>
      </c>
      <c r="C247" s="14" t="str">
        <f>"1500"</f>
        <v>1500</v>
      </c>
      <c r="D247" s="14" t="str">
        <f>""</f>
        <v/>
      </c>
      <c r="E247" s="14" t="s">
        <v>1909</v>
      </c>
      <c r="F247" s="14" t="s">
        <v>217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34</v>
      </c>
      <c r="P247" s="14" t="s">
        <v>239</v>
      </c>
      <c r="Q247" s="14" t="s">
        <v>239</v>
      </c>
      <c r="R247" s="14" t="s">
        <v>35</v>
      </c>
    </row>
    <row r="248" spans="1:18" s="14" customFormat="1" x14ac:dyDescent="0.25">
      <c r="A248" s="14" t="str">
        <f>"95201"</f>
        <v>95201</v>
      </c>
      <c r="B248" s="14" t="str">
        <f>"03000"</f>
        <v>03000</v>
      </c>
      <c r="C248" s="14" t="str">
        <f>"1500"</f>
        <v>1500</v>
      </c>
      <c r="D248" s="14" t="str">
        <f>""</f>
        <v/>
      </c>
      <c r="E248" s="14" t="s">
        <v>1910</v>
      </c>
      <c r="F248" s="14" t="s">
        <v>217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34</v>
      </c>
      <c r="P248" s="14" t="s">
        <v>239</v>
      </c>
      <c r="Q248" s="14" t="s">
        <v>239</v>
      </c>
      <c r="R248" s="14" t="s">
        <v>35</v>
      </c>
    </row>
    <row r="249" spans="1:18" s="14" customFormat="1" x14ac:dyDescent="0.25">
      <c r="A249" s="14" t="str">
        <f>"95202"</f>
        <v>95202</v>
      </c>
      <c r="B249" s="14" t="str">
        <f>"03000"</f>
        <v>03000</v>
      </c>
      <c r="C249" s="14" t="str">
        <f>"1500"</f>
        <v>1500</v>
      </c>
      <c r="D249" s="14" t="str">
        <f>""</f>
        <v/>
      </c>
      <c r="E249" s="14" t="s">
        <v>1911</v>
      </c>
      <c r="F249" s="14" t="s">
        <v>217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34</v>
      </c>
      <c r="P249" s="14" t="s">
        <v>239</v>
      </c>
      <c r="Q249" s="14" t="s">
        <v>239</v>
      </c>
      <c r="R249" s="14" t="s">
        <v>35</v>
      </c>
    </row>
    <row r="250" spans="1:18" s="14" customFormat="1" x14ac:dyDescent="0.25">
      <c r="A250" s="14" t="str">
        <f>"95901"</f>
        <v>95901</v>
      </c>
      <c r="B250" s="14" t="str">
        <f>"03000"</f>
        <v>03000</v>
      </c>
      <c r="C250" s="14" t="str">
        <f>"1500"</f>
        <v>1500</v>
      </c>
      <c r="D250" s="14" t="str">
        <f>""</f>
        <v/>
      </c>
      <c r="E250" s="14" t="s">
        <v>1912</v>
      </c>
      <c r="F250" s="14" t="s">
        <v>217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34</v>
      </c>
      <c r="P250" s="14" t="s">
        <v>239</v>
      </c>
      <c r="Q250" s="14" t="s">
        <v>239</v>
      </c>
      <c r="R250" s="14" t="s">
        <v>35</v>
      </c>
    </row>
    <row r="251" spans="1:18" s="14" customFormat="1" x14ac:dyDescent="0.25">
      <c r="A251" s="14" t="str">
        <f>"95902"</f>
        <v>95902</v>
      </c>
      <c r="B251" s="14" t="str">
        <f>"03000"</f>
        <v>03000</v>
      </c>
      <c r="C251" s="14" t="str">
        <f>"1500"</f>
        <v>1500</v>
      </c>
      <c r="D251" s="14" t="str">
        <f>""</f>
        <v/>
      </c>
      <c r="E251" s="14" t="s">
        <v>1913</v>
      </c>
      <c r="F251" s="14" t="s">
        <v>217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34</v>
      </c>
      <c r="P251" s="14" t="s">
        <v>239</v>
      </c>
      <c r="Q251" s="14" t="s">
        <v>239</v>
      </c>
      <c r="R251" s="14" t="s">
        <v>35</v>
      </c>
    </row>
    <row r="252" spans="1:18" s="14" customFormat="1" x14ac:dyDescent="0.25">
      <c r="A252" s="14" t="str">
        <f>"95903"</f>
        <v>95903</v>
      </c>
      <c r="B252" s="14" t="str">
        <f>"03000"</f>
        <v>03000</v>
      </c>
      <c r="C252" s="14" t="str">
        <f>"1500"</f>
        <v>1500</v>
      </c>
      <c r="D252" s="14" t="str">
        <f>""</f>
        <v/>
      </c>
      <c r="E252" s="14" t="s">
        <v>1914</v>
      </c>
      <c r="F252" s="14" t="s">
        <v>217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34</v>
      </c>
      <c r="P252" s="14" t="s">
        <v>239</v>
      </c>
      <c r="Q252" s="14" t="s">
        <v>239</v>
      </c>
      <c r="R252" s="14" t="s">
        <v>35</v>
      </c>
    </row>
    <row r="253" spans="1:18" s="14" customFormat="1" x14ac:dyDescent="0.25">
      <c r="A253" s="14" t="str">
        <f>"95904"</f>
        <v>95904</v>
      </c>
      <c r="B253" s="14" t="str">
        <f>"03000"</f>
        <v>03000</v>
      </c>
      <c r="C253" s="14" t="str">
        <f>"1500"</f>
        <v>1500</v>
      </c>
      <c r="D253" s="14" t="str">
        <f>""</f>
        <v/>
      </c>
      <c r="E253" s="14" t="s">
        <v>1915</v>
      </c>
      <c r="F253" s="14" t="s">
        <v>217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34</v>
      </c>
      <c r="P253" s="14" t="s">
        <v>239</v>
      </c>
      <c r="Q253" s="14" t="s">
        <v>239</v>
      </c>
      <c r="R253" s="14" t="s">
        <v>35</v>
      </c>
    </row>
    <row r="254" spans="1:18" s="14" customFormat="1" x14ac:dyDescent="0.25">
      <c r="A254" s="14" t="str">
        <f>"95905"</f>
        <v>95905</v>
      </c>
      <c r="B254" s="14" t="str">
        <f>"03000"</f>
        <v>03000</v>
      </c>
      <c r="C254" s="14" t="str">
        <f>"1500"</f>
        <v>1500</v>
      </c>
      <c r="D254" s="14" t="str">
        <f>""</f>
        <v/>
      </c>
      <c r="E254" s="14" t="s">
        <v>1916</v>
      </c>
      <c r="F254" s="14" t="s">
        <v>217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34</v>
      </c>
      <c r="P254" s="14" t="s">
        <v>239</v>
      </c>
      <c r="Q254" s="14" t="s">
        <v>239</v>
      </c>
      <c r="R254" s="14" t="s">
        <v>35</v>
      </c>
    </row>
    <row r="255" spans="1:18" s="14" customFormat="1" x14ac:dyDescent="0.25">
      <c r="A255" s="14" t="str">
        <f>"95906"</f>
        <v>95906</v>
      </c>
      <c r="B255" s="14" t="str">
        <f>"03000"</f>
        <v>03000</v>
      </c>
      <c r="C255" s="14" t="str">
        <f>"1500"</f>
        <v>1500</v>
      </c>
      <c r="D255" s="14" t="str">
        <f>""</f>
        <v/>
      </c>
      <c r="E255" s="14" t="s">
        <v>1917</v>
      </c>
      <c r="F255" s="14" t="s">
        <v>217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34</v>
      </c>
      <c r="P255" s="14" t="s">
        <v>239</v>
      </c>
      <c r="Q255" s="14" t="s">
        <v>239</v>
      </c>
      <c r="R255" s="14" t="s">
        <v>35</v>
      </c>
    </row>
    <row r="256" spans="1:18" s="14" customFormat="1" x14ac:dyDescent="0.25">
      <c r="A256" s="14" t="str">
        <f>"95907"</f>
        <v>95907</v>
      </c>
      <c r="B256" s="14" t="str">
        <f>"03000"</f>
        <v>03000</v>
      </c>
      <c r="C256" s="14" t="str">
        <f>"1500"</f>
        <v>1500</v>
      </c>
      <c r="D256" s="14" t="str">
        <f>""</f>
        <v/>
      </c>
      <c r="E256" s="14" t="s">
        <v>1918</v>
      </c>
      <c r="F256" s="14" t="s">
        <v>217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34</v>
      </c>
      <c r="P256" s="14" t="s">
        <v>239</v>
      </c>
      <c r="Q256" s="14" t="s">
        <v>239</v>
      </c>
      <c r="R256" s="14" t="s">
        <v>35</v>
      </c>
    </row>
    <row r="257" spans="1:18" s="14" customFormat="1" x14ac:dyDescent="0.25">
      <c r="A257" s="14" t="str">
        <f>"95908"</f>
        <v>95908</v>
      </c>
      <c r="B257" s="14" t="str">
        <f>"03000"</f>
        <v>03000</v>
      </c>
      <c r="C257" s="14" t="str">
        <f>"1500"</f>
        <v>1500</v>
      </c>
      <c r="D257" s="14" t="str">
        <f>""</f>
        <v/>
      </c>
      <c r="E257" s="14" t="s">
        <v>1919</v>
      </c>
      <c r="F257" s="14" t="s">
        <v>217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34</v>
      </c>
      <c r="P257" s="14" t="s">
        <v>239</v>
      </c>
      <c r="Q257" s="14" t="s">
        <v>239</v>
      </c>
      <c r="R257" s="14" t="s">
        <v>35</v>
      </c>
    </row>
    <row r="258" spans="1:18" s="14" customFormat="1" x14ac:dyDescent="0.25">
      <c r="A258" s="14" t="str">
        <f>"84013"</f>
        <v>84013</v>
      </c>
      <c r="B258" s="14" t="str">
        <f>"07020"</f>
        <v>07020</v>
      </c>
      <c r="C258" s="14" t="str">
        <f>"1700"</f>
        <v>1700</v>
      </c>
      <c r="D258" s="14" t="str">
        <f>"84013"</f>
        <v>84013</v>
      </c>
      <c r="E258" s="14" t="s">
        <v>1546</v>
      </c>
      <c r="F258" s="14" t="s">
        <v>1532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1547</v>
      </c>
      <c r="L258" s="14" t="s">
        <v>1548</v>
      </c>
      <c r="M258" s="14" t="s">
        <v>72</v>
      </c>
      <c r="P258" s="14" t="s">
        <v>31</v>
      </c>
      <c r="Q258" s="14" t="s">
        <v>31</v>
      </c>
      <c r="R258" s="14" t="s">
        <v>1549</v>
      </c>
    </row>
    <row r="259" spans="1:18" s="14" customFormat="1" x14ac:dyDescent="0.25">
      <c r="A259" s="14" t="str">
        <f>"84188"</f>
        <v>84188</v>
      </c>
      <c r="B259" s="14" t="str">
        <f>"07020"</f>
        <v>07020</v>
      </c>
      <c r="C259" s="14" t="str">
        <f>"1700"</f>
        <v>1700</v>
      </c>
      <c r="D259" s="14" t="str">
        <f>"84188"</f>
        <v>84188</v>
      </c>
      <c r="E259" s="14" t="s">
        <v>1694</v>
      </c>
      <c r="F259" s="14" t="s">
        <v>1532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1695</v>
      </c>
      <c r="P259" s="14" t="s">
        <v>31</v>
      </c>
      <c r="Q259" s="14" t="s">
        <v>31</v>
      </c>
      <c r="R259" s="14" t="s">
        <v>1695</v>
      </c>
    </row>
    <row r="260" spans="1:18" s="14" customFormat="1" x14ac:dyDescent="0.25">
      <c r="A260" s="14" t="str">
        <f>"31010"</f>
        <v>31010</v>
      </c>
      <c r="B260" s="14" t="str">
        <f>"05170"</f>
        <v>05170</v>
      </c>
      <c r="C260" s="14" t="str">
        <f>"1921"</f>
        <v>1921</v>
      </c>
      <c r="D260" s="14" t="str">
        <f>"05170A"</f>
        <v>05170A</v>
      </c>
      <c r="E260" s="14" t="s">
        <v>954</v>
      </c>
      <c r="F260" s="14" t="s">
        <v>954</v>
      </c>
      <c r="G260" s="14" t="str">
        <f>""</f>
        <v/>
      </c>
      <c r="H260" s="14" t="str">
        <f>" 10"</f>
        <v xml:space="preserve"> 10</v>
      </c>
      <c r="I260" s="14">
        <v>0.01</v>
      </c>
      <c r="J260" s="14">
        <v>500</v>
      </c>
      <c r="K260" s="14" t="s">
        <v>955</v>
      </c>
      <c r="L260" s="14" t="s">
        <v>956</v>
      </c>
      <c r="P260" s="14" t="s">
        <v>31</v>
      </c>
      <c r="Q260" s="14" t="s">
        <v>25</v>
      </c>
      <c r="R260" s="14" t="s">
        <v>955</v>
      </c>
    </row>
    <row r="261" spans="1:18" s="14" customFormat="1" x14ac:dyDescent="0.25">
      <c r="A261" s="14" t="str">
        <f>"31010"</f>
        <v>31010</v>
      </c>
      <c r="B261" s="14" t="str">
        <f>"05190"</f>
        <v>05190</v>
      </c>
      <c r="C261" s="14" t="str">
        <f>"1921"</f>
        <v>1921</v>
      </c>
      <c r="D261" s="14" t="str">
        <f>"05190"</f>
        <v>05190</v>
      </c>
      <c r="E261" s="14" t="s">
        <v>954</v>
      </c>
      <c r="F261" s="14" t="s">
        <v>959</v>
      </c>
      <c r="G261" s="14" t="str">
        <f>""</f>
        <v/>
      </c>
      <c r="H261" s="14" t="str">
        <f>" 10"</f>
        <v xml:space="preserve"> 10</v>
      </c>
      <c r="I261" s="14">
        <v>0.01</v>
      </c>
      <c r="J261" s="14">
        <v>500</v>
      </c>
      <c r="K261" s="14" t="s">
        <v>955</v>
      </c>
      <c r="L261" s="14" t="s">
        <v>956</v>
      </c>
      <c r="P261" s="14" t="s">
        <v>31</v>
      </c>
      <c r="Q261" s="14" t="s">
        <v>25</v>
      </c>
      <c r="R261" s="14" t="s">
        <v>955</v>
      </c>
    </row>
    <row r="262" spans="1:18" s="14" customFormat="1" x14ac:dyDescent="0.25">
      <c r="A262" s="14" t="str">
        <f>"31010"</f>
        <v>31010</v>
      </c>
      <c r="B262" s="14" t="str">
        <f>"05210"</f>
        <v>05210</v>
      </c>
      <c r="C262" s="14" t="str">
        <f>"1921"</f>
        <v>1921</v>
      </c>
      <c r="D262" s="14" t="str">
        <f>"05210"</f>
        <v>05210</v>
      </c>
      <c r="E262" s="14" t="s">
        <v>954</v>
      </c>
      <c r="F262" s="14" t="s">
        <v>960</v>
      </c>
      <c r="G262" s="14" t="str">
        <f>""</f>
        <v/>
      </c>
      <c r="H262" s="14" t="str">
        <f>" 10"</f>
        <v xml:space="preserve"> 10</v>
      </c>
      <c r="I262" s="14">
        <v>0.01</v>
      </c>
      <c r="J262" s="14">
        <v>500</v>
      </c>
      <c r="K262" s="14" t="s">
        <v>955</v>
      </c>
      <c r="L262" s="14" t="s">
        <v>956</v>
      </c>
      <c r="P262" s="14" t="s">
        <v>31</v>
      </c>
      <c r="Q262" s="14" t="s">
        <v>25</v>
      </c>
      <c r="R262" s="14" t="s">
        <v>955</v>
      </c>
    </row>
    <row r="263" spans="1:18" s="14" customFormat="1" x14ac:dyDescent="0.25">
      <c r="A263" s="14" t="str">
        <f>"31010"</f>
        <v>31010</v>
      </c>
      <c r="B263" s="14" t="str">
        <f>"05220"</f>
        <v>05220</v>
      </c>
      <c r="C263" s="14" t="str">
        <f>"1921"</f>
        <v>1921</v>
      </c>
      <c r="D263" s="14" t="str">
        <f>"05220"</f>
        <v>05220</v>
      </c>
      <c r="E263" s="14" t="s">
        <v>954</v>
      </c>
      <c r="F263" s="14" t="s">
        <v>961</v>
      </c>
      <c r="G263" s="14" t="str">
        <f>""</f>
        <v/>
      </c>
      <c r="H263" s="14" t="str">
        <f>" 10"</f>
        <v xml:space="preserve"> 10</v>
      </c>
      <c r="I263" s="14">
        <v>0.01</v>
      </c>
      <c r="J263" s="14">
        <v>500</v>
      </c>
      <c r="K263" s="14" t="s">
        <v>955</v>
      </c>
      <c r="L263" s="14" t="s">
        <v>956</v>
      </c>
      <c r="P263" s="14" t="s">
        <v>31</v>
      </c>
      <c r="Q263" s="14" t="s">
        <v>25</v>
      </c>
      <c r="R263" s="14" t="s">
        <v>955</v>
      </c>
    </row>
    <row r="264" spans="1:18" s="14" customFormat="1" x14ac:dyDescent="0.25">
      <c r="A264" s="14" t="str">
        <f>"31015"</f>
        <v>31015</v>
      </c>
      <c r="B264" s="14" t="str">
        <f>"05170"</f>
        <v>05170</v>
      </c>
      <c r="C264" s="14" t="str">
        <f>"1921"</f>
        <v>1921</v>
      </c>
      <c r="D264" s="14" t="str">
        <f>"05170B"</f>
        <v>05170B</v>
      </c>
      <c r="E264" s="14" t="s">
        <v>962</v>
      </c>
      <c r="F264" s="14" t="s">
        <v>954</v>
      </c>
      <c r="G264" s="14" t="str">
        <f>""</f>
        <v/>
      </c>
      <c r="H264" s="14" t="str">
        <f>" 10"</f>
        <v xml:space="preserve"> 10</v>
      </c>
      <c r="I264" s="14">
        <v>0.01</v>
      </c>
      <c r="J264" s="14">
        <v>500</v>
      </c>
      <c r="K264" s="14" t="s">
        <v>955</v>
      </c>
      <c r="L264" s="14" t="s">
        <v>956</v>
      </c>
      <c r="P264" s="14" t="s">
        <v>31</v>
      </c>
      <c r="Q264" s="14" t="s">
        <v>25</v>
      </c>
      <c r="R264" s="14" t="s">
        <v>955</v>
      </c>
    </row>
    <row r="265" spans="1:18" s="14" customFormat="1" x14ac:dyDescent="0.25">
      <c r="A265" s="14" t="str">
        <f>"31015"</f>
        <v>31015</v>
      </c>
      <c r="B265" s="14" t="str">
        <f>"05200"</f>
        <v>05200</v>
      </c>
      <c r="C265" s="14" t="str">
        <f>"1921"</f>
        <v>1921</v>
      </c>
      <c r="D265" s="14" t="str">
        <f>"05200"</f>
        <v>05200</v>
      </c>
      <c r="E265" s="14" t="s">
        <v>962</v>
      </c>
      <c r="F265" s="14" t="s">
        <v>963</v>
      </c>
      <c r="G265" s="14" t="str">
        <f>""</f>
        <v/>
      </c>
      <c r="H265" s="14" t="str">
        <f>" 10"</f>
        <v xml:space="preserve"> 10</v>
      </c>
      <c r="I265" s="14">
        <v>0.01</v>
      </c>
      <c r="J265" s="14">
        <v>500</v>
      </c>
      <c r="K265" s="14" t="s">
        <v>955</v>
      </c>
      <c r="L265" s="14" t="s">
        <v>956</v>
      </c>
      <c r="P265" s="14" t="s">
        <v>31</v>
      </c>
      <c r="Q265" s="14" t="s">
        <v>25</v>
      </c>
      <c r="R265" s="14" t="s">
        <v>955</v>
      </c>
    </row>
    <row r="266" spans="1:18" s="14" customFormat="1" x14ac:dyDescent="0.25">
      <c r="A266" s="14" t="str">
        <f>"84195"</f>
        <v>84195</v>
      </c>
      <c r="B266" s="14" t="str">
        <f>"07020"</f>
        <v>07020</v>
      </c>
      <c r="C266" s="14" t="str">
        <f>"1700"</f>
        <v>1700</v>
      </c>
      <c r="D266" s="14" t="str">
        <f>"84195"</f>
        <v>84195</v>
      </c>
      <c r="E266" s="14" t="s">
        <v>1700</v>
      </c>
      <c r="F266" s="14" t="s">
        <v>1532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799</v>
      </c>
      <c r="L266" s="14" t="s">
        <v>797</v>
      </c>
      <c r="M266" s="14" t="s">
        <v>72</v>
      </c>
      <c r="P266" s="14" t="s">
        <v>31</v>
      </c>
      <c r="Q266" s="14" t="s">
        <v>31</v>
      </c>
      <c r="R266" s="14" t="s">
        <v>799</v>
      </c>
    </row>
    <row r="267" spans="1:18" s="14" customFormat="1" x14ac:dyDescent="0.25">
      <c r="A267" s="14" t="str">
        <f>"10001"</f>
        <v>10001</v>
      </c>
      <c r="B267" s="14" t="str">
        <f>"02010"</f>
        <v>02010</v>
      </c>
      <c r="C267" s="14" t="str">
        <f>"1400"</f>
        <v>1400</v>
      </c>
      <c r="D267" s="14" t="str">
        <f>"02010"</f>
        <v>02010</v>
      </c>
      <c r="E267" s="14" t="s">
        <v>20</v>
      </c>
      <c r="F267" s="14" t="s">
        <v>191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192</v>
      </c>
      <c r="L267" s="14" t="s">
        <v>193</v>
      </c>
      <c r="M267" s="14" t="s">
        <v>194</v>
      </c>
      <c r="P267" s="14" t="s">
        <v>31</v>
      </c>
      <c r="Q267" s="14" t="s">
        <v>25</v>
      </c>
      <c r="R267" s="14" t="s">
        <v>192</v>
      </c>
    </row>
    <row r="268" spans="1:18" s="14" customFormat="1" x14ac:dyDescent="0.25">
      <c r="A268" s="14" t="str">
        <f>"18002"</f>
        <v>18002</v>
      </c>
      <c r="B268" s="14" t="str">
        <f>"02010"</f>
        <v>02010</v>
      </c>
      <c r="C268" s="14" t="str">
        <f>"1400"</f>
        <v>1400</v>
      </c>
      <c r="D268" s="14" t="str">
        <f>"18002"</f>
        <v>18002</v>
      </c>
      <c r="E268" s="14" t="s">
        <v>585</v>
      </c>
      <c r="F268" s="14" t="s">
        <v>191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192</v>
      </c>
      <c r="L268" s="14" t="s">
        <v>193</v>
      </c>
      <c r="M268" s="14" t="s">
        <v>194</v>
      </c>
      <c r="P268" s="14" t="s">
        <v>31</v>
      </c>
      <c r="Q268" s="14" t="s">
        <v>25</v>
      </c>
      <c r="R268" s="14" t="s">
        <v>192</v>
      </c>
    </row>
    <row r="269" spans="1:18" s="14" customFormat="1" x14ac:dyDescent="0.25">
      <c r="A269" s="14" t="str">
        <f>"84067"</f>
        <v>84067</v>
      </c>
      <c r="B269" s="14" t="str">
        <f>"07020"</f>
        <v>07020</v>
      </c>
      <c r="C269" s="14" t="str">
        <f>"1700"</f>
        <v>1700</v>
      </c>
      <c r="D269" s="14" t="str">
        <f>"84067"</f>
        <v>84067</v>
      </c>
      <c r="E269" s="14" t="s">
        <v>1608</v>
      </c>
      <c r="F269" s="14" t="s">
        <v>1532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192</v>
      </c>
      <c r="L269" s="14" t="s">
        <v>194</v>
      </c>
      <c r="P269" s="14" t="s">
        <v>31</v>
      </c>
      <c r="Q269" s="14" t="s">
        <v>31</v>
      </c>
      <c r="R269" s="14" t="s">
        <v>192</v>
      </c>
    </row>
    <row r="270" spans="1:18" s="14" customFormat="1" x14ac:dyDescent="0.25">
      <c r="A270" s="14" t="str">
        <f>"84042"</f>
        <v>84042</v>
      </c>
      <c r="B270" s="14" t="str">
        <f>"07020"</f>
        <v>07020</v>
      </c>
      <c r="C270" s="14" t="str">
        <f>"1700"</f>
        <v>1700</v>
      </c>
      <c r="D270" s="14" t="str">
        <f>"84042"</f>
        <v>84042</v>
      </c>
      <c r="E270" s="14" t="s">
        <v>1584</v>
      </c>
      <c r="F270" s="14" t="s">
        <v>1532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993</v>
      </c>
      <c r="P270" s="14" t="s">
        <v>31</v>
      </c>
      <c r="Q270" s="14" t="s">
        <v>31</v>
      </c>
      <c r="R270" s="14" t="s">
        <v>993</v>
      </c>
    </row>
    <row r="271" spans="1:18" s="14" customFormat="1" x14ac:dyDescent="0.25">
      <c r="A271" s="14" t="str">
        <f>"84119"</f>
        <v>84119</v>
      </c>
      <c r="B271" s="14" t="str">
        <f>"07020"</f>
        <v>07020</v>
      </c>
      <c r="C271" s="14" t="str">
        <f>"1700"</f>
        <v>1700</v>
      </c>
      <c r="D271" s="14" t="str">
        <f>"84119"</f>
        <v>84119</v>
      </c>
      <c r="E271" s="14" t="s">
        <v>1657</v>
      </c>
      <c r="F271" s="14" t="s">
        <v>1532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762</v>
      </c>
      <c r="P271" s="14" t="s">
        <v>31</v>
      </c>
      <c r="Q271" s="14" t="s">
        <v>31</v>
      </c>
      <c r="R271" s="14" t="s">
        <v>762</v>
      </c>
    </row>
    <row r="272" spans="1:18" s="14" customFormat="1" x14ac:dyDescent="0.25">
      <c r="A272" s="14" t="str">
        <f>"84249"</f>
        <v>84249</v>
      </c>
      <c r="B272" s="14" t="str">
        <f>"07020"</f>
        <v>07020</v>
      </c>
      <c r="C272" s="14" t="str">
        <f>"1700"</f>
        <v>1700</v>
      </c>
      <c r="D272" s="14" t="str">
        <f>"84249"</f>
        <v>84249</v>
      </c>
      <c r="E272" s="14" t="s">
        <v>1767</v>
      </c>
      <c r="F272" s="14" t="s">
        <v>1532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762</v>
      </c>
      <c r="L272" s="14" t="s">
        <v>392</v>
      </c>
      <c r="P272" s="14" t="s">
        <v>31</v>
      </c>
      <c r="Q272" s="14" t="s">
        <v>25</v>
      </c>
      <c r="R272" s="14" t="s">
        <v>762</v>
      </c>
    </row>
    <row r="273" spans="1:18" s="14" customFormat="1" x14ac:dyDescent="0.25">
      <c r="A273" s="14" t="str">
        <f>"10001"</f>
        <v>10001</v>
      </c>
      <c r="B273" s="14" t="str">
        <f>"01241"</f>
        <v>01241</v>
      </c>
      <c r="C273" s="14" t="str">
        <f>"1300"</f>
        <v>1300</v>
      </c>
      <c r="D273" s="14" t="str">
        <f>"01241"</f>
        <v>01241</v>
      </c>
      <c r="E273" s="14" t="s">
        <v>20</v>
      </c>
      <c r="F273" s="14" t="s">
        <v>82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83</v>
      </c>
      <c r="L273" s="14" t="s">
        <v>37</v>
      </c>
      <c r="M273" s="14" t="s">
        <v>84</v>
      </c>
      <c r="P273" s="14" t="s">
        <v>31</v>
      </c>
      <c r="Q273" s="14" t="s">
        <v>25</v>
      </c>
      <c r="R273" s="14" t="s">
        <v>38</v>
      </c>
    </row>
    <row r="274" spans="1:18" s="14" customFormat="1" x14ac:dyDescent="0.25">
      <c r="A274" s="14" t="str">
        <f>"10001"</f>
        <v>10001</v>
      </c>
      <c r="B274" s="14" t="str">
        <f>"01290"</f>
        <v>01290</v>
      </c>
      <c r="C274" s="14" t="str">
        <f>"1300"</f>
        <v>1300</v>
      </c>
      <c r="D274" s="14" t="str">
        <f>"01290"</f>
        <v>01290</v>
      </c>
      <c r="E274" s="14" t="s">
        <v>20</v>
      </c>
      <c r="F274" s="14" t="s">
        <v>95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83</v>
      </c>
      <c r="L274" s="14" t="s">
        <v>37</v>
      </c>
      <c r="M274" s="14" t="s">
        <v>38</v>
      </c>
      <c r="P274" s="14" t="s">
        <v>39</v>
      </c>
      <c r="Q274" s="14" t="s">
        <v>25</v>
      </c>
      <c r="R274" s="14" t="s">
        <v>38</v>
      </c>
    </row>
    <row r="275" spans="1:18" s="14" customFormat="1" x14ac:dyDescent="0.25">
      <c r="A275" s="14" t="str">
        <f>"18509"</f>
        <v>18509</v>
      </c>
      <c r="B275" s="14" t="str">
        <f>"01241"</f>
        <v>01241</v>
      </c>
      <c r="C275" s="14" t="str">
        <f>"1300"</f>
        <v>1300</v>
      </c>
      <c r="D275" s="14" t="str">
        <f>""</f>
        <v/>
      </c>
      <c r="E275" s="14" t="s">
        <v>708</v>
      </c>
      <c r="F275" s="14" t="s">
        <v>82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83</v>
      </c>
      <c r="L275" s="14" t="s">
        <v>37</v>
      </c>
      <c r="M275" s="14" t="s">
        <v>84</v>
      </c>
      <c r="P275" s="14" t="s">
        <v>701</v>
      </c>
      <c r="Q275" s="14" t="s">
        <v>25</v>
      </c>
      <c r="R275" s="14" t="s">
        <v>38</v>
      </c>
    </row>
    <row r="276" spans="1:18" s="14" customFormat="1" x14ac:dyDescent="0.25">
      <c r="A276" s="14" t="str">
        <f>"18530"</f>
        <v>18530</v>
      </c>
      <c r="B276" s="14" t="str">
        <f>"01290"</f>
        <v>01290</v>
      </c>
      <c r="C276" s="14" t="str">
        <f>"1300"</f>
        <v>1300</v>
      </c>
      <c r="D276" s="14" t="str">
        <f>""</f>
        <v/>
      </c>
      <c r="E276" s="14" t="s">
        <v>730</v>
      </c>
      <c r="F276" s="14" t="s">
        <v>95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83</v>
      </c>
      <c r="L276" s="14" t="s">
        <v>37</v>
      </c>
      <c r="M276" s="14" t="s">
        <v>38</v>
      </c>
      <c r="P276" s="14" t="s">
        <v>701</v>
      </c>
      <c r="Q276" s="14" t="s">
        <v>25</v>
      </c>
      <c r="R276" s="14" t="s">
        <v>38</v>
      </c>
    </row>
    <row r="277" spans="1:18" s="14" customFormat="1" x14ac:dyDescent="0.25">
      <c r="A277" s="14" t="str">
        <f>"21211"</f>
        <v>21211</v>
      </c>
      <c r="B277" s="14" t="str">
        <f>"01290"</f>
        <v>01290</v>
      </c>
      <c r="C277" s="14" t="str">
        <f>"1300"</f>
        <v>1300</v>
      </c>
      <c r="D277" s="14" t="str">
        <f>"21211"</f>
        <v>21211</v>
      </c>
      <c r="E277" s="14" t="s">
        <v>859</v>
      </c>
      <c r="F277" s="14" t="s">
        <v>95</v>
      </c>
      <c r="G277" s="14" t="str">
        <f>"GR0021211"</f>
        <v>GR0021211</v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83</v>
      </c>
      <c r="L277" s="14" t="s">
        <v>37</v>
      </c>
      <c r="M277" s="14" t="s">
        <v>38</v>
      </c>
      <c r="O277" s="14" t="s">
        <v>83</v>
      </c>
      <c r="P277" s="14" t="s">
        <v>701</v>
      </c>
      <c r="Q277" s="14" t="s">
        <v>701</v>
      </c>
      <c r="R277" s="14" t="s">
        <v>38</v>
      </c>
    </row>
    <row r="278" spans="1:18" s="14" customFormat="1" x14ac:dyDescent="0.25">
      <c r="A278" s="14" t="str">
        <f>"21212"</f>
        <v>21212</v>
      </c>
      <c r="B278" s="14" t="str">
        <f>"01290"</f>
        <v>01290</v>
      </c>
      <c r="C278" s="14" t="str">
        <f>"1300"</f>
        <v>1300</v>
      </c>
      <c r="D278" s="14" t="str">
        <f>"21212"</f>
        <v>21212</v>
      </c>
      <c r="E278" s="14" t="s">
        <v>860</v>
      </c>
      <c r="F278" s="14" t="s">
        <v>95</v>
      </c>
      <c r="G278" s="14" t="str">
        <f>"GR0021212"</f>
        <v>GR0021212</v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83</v>
      </c>
      <c r="L278" s="14" t="s">
        <v>37</v>
      </c>
      <c r="M278" s="14" t="s">
        <v>38</v>
      </c>
      <c r="O278" s="14" t="s">
        <v>83</v>
      </c>
      <c r="P278" s="14" t="s">
        <v>701</v>
      </c>
      <c r="Q278" s="14" t="s">
        <v>701</v>
      </c>
      <c r="R278" s="14" t="s">
        <v>38</v>
      </c>
    </row>
    <row r="279" spans="1:18" s="14" customFormat="1" x14ac:dyDescent="0.25">
      <c r="A279" s="14" t="str">
        <f>"84021"</f>
        <v>84021</v>
      </c>
      <c r="B279" s="14" t="str">
        <f>"07020"</f>
        <v>07020</v>
      </c>
      <c r="C279" s="14" t="str">
        <f>"1700"</f>
        <v>1700</v>
      </c>
      <c r="D279" s="14" t="str">
        <f>"84021"</f>
        <v>84021</v>
      </c>
      <c r="E279" s="14" t="s">
        <v>1559</v>
      </c>
      <c r="F279" s="14" t="s">
        <v>1532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1560</v>
      </c>
      <c r="L279" s="14" t="s">
        <v>181</v>
      </c>
      <c r="P279" s="14" t="s">
        <v>31</v>
      </c>
      <c r="Q279" s="14" t="s">
        <v>31</v>
      </c>
      <c r="R279" s="14" t="s">
        <v>1560</v>
      </c>
    </row>
    <row r="280" spans="1:18" s="14" customFormat="1" x14ac:dyDescent="0.25">
      <c r="A280" s="14" t="str">
        <f>"19122"</f>
        <v>19122</v>
      </c>
      <c r="B280" s="14" t="str">
        <f>"01800"</f>
        <v>01800</v>
      </c>
      <c r="C280" s="14" t="str">
        <f>"1700"</f>
        <v>1700</v>
      </c>
      <c r="D280" s="14" t="str">
        <f>"19122"</f>
        <v>19122</v>
      </c>
      <c r="E280" s="14" t="s">
        <v>752</v>
      </c>
      <c r="F280" s="14" t="s">
        <v>180</v>
      </c>
      <c r="G280" s="14" t="str">
        <f>"GR0019122"</f>
        <v>GR0019122</v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113</v>
      </c>
      <c r="L280" s="14" t="s">
        <v>181</v>
      </c>
      <c r="M280" s="14" t="s">
        <v>114</v>
      </c>
      <c r="N280" s="14" t="s">
        <v>112</v>
      </c>
      <c r="O280" s="14" t="s">
        <v>753</v>
      </c>
      <c r="P280" s="14" t="s">
        <v>31</v>
      </c>
      <c r="Q280" s="14" t="s">
        <v>31</v>
      </c>
      <c r="R280" s="14" t="s">
        <v>115</v>
      </c>
    </row>
    <row r="281" spans="1:18" s="14" customFormat="1" x14ac:dyDescent="0.25">
      <c r="A281" s="14" t="str">
        <f>"19241"</f>
        <v>19241</v>
      </c>
      <c r="B281" s="14" t="str">
        <f>"01790"</f>
        <v>01790</v>
      </c>
      <c r="C281" s="14" t="str">
        <f>"1200"</f>
        <v>1200</v>
      </c>
      <c r="D281" s="14" t="str">
        <f>"19241"</f>
        <v>19241</v>
      </c>
      <c r="E281" s="14" t="s">
        <v>768</v>
      </c>
      <c r="F281" s="14" t="s">
        <v>178</v>
      </c>
      <c r="G281" s="14" t="str">
        <f>"GR0019241"</f>
        <v>GR0019241</v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113</v>
      </c>
      <c r="L281" s="14" t="s">
        <v>179</v>
      </c>
      <c r="M281" s="14" t="s">
        <v>114</v>
      </c>
      <c r="N281" s="14" t="s">
        <v>112</v>
      </c>
      <c r="O281" s="14" t="s">
        <v>114</v>
      </c>
      <c r="P281" s="14" t="s">
        <v>31</v>
      </c>
      <c r="Q281" s="14" t="s">
        <v>31</v>
      </c>
      <c r="R281" s="14" t="s">
        <v>115</v>
      </c>
    </row>
    <row r="282" spans="1:18" s="14" customFormat="1" x14ac:dyDescent="0.25">
      <c r="A282" s="14" t="str">
        <f>"22656"</f>
        <v>22656</v>
      </c>
      <c r="B282" s="14" t="str">
        <f>"01800"</f>
        <v>01800</v>
      </c>
      <c r="C282" s="14" t="str">
        <f>"1200"</f>
        <v>1200</v>
      </c>
      <c r="D282" s="14" t="str">
        <f>"22656"</f>
        <v>22656</v>
      </c>
      <c r="E282" s="14" t="s">
        <v>877</v>
      </c>
      <c r="F282" s="14" t="s">
        <v>180</v>
      </c>
      <c r="G282" s="14" t="str">
        <f>"GR0022656"</f>
        <v>GR0022656</v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113</v>
      </c>
      <c r="L282" s="14" t="s">
        <v>112</v>
      </c>
      <c r="M282" s="14" t="s">
        <v>181</v>
      </c>
      <c r="N282" s="14" t="s">
        <v>114</v>
      </c>
      <c r="O282" s="14" t="s">
        <v>873</v>
      </c>
      <c r="P282" s="14" t="s">
        <v>701</v>
      </c>
      <c r="Q282" s="14" t="s">
        <v>701</v>
      </c>
      <c r="R282" s="14" t="s">
        <v>115</v>
      </c>
    </row>
    <row r="283" spans="1:18" s="14" customFormat="1" x14ac:dyDescent="0.25">
      <c r="A283" s="14" t="str">
        <f>"22657"</f>
        <v>22657</v>
      </c>
      <c r="B283" s="14" t="str">
        <f>"01830"</f>
        <v>01830</v>
      </c>
      <c r="C283" s="14" t="str">
        <f>"1200"</f>
        <v>1200</v>
      </c>
      <c r="D283" s="14" t="str">
        <f>"22657"</f>
        <v>22657</v>
      </c>
      <c r="E283" s="14" t="s">
        <v>1927</v>
      </c>
      <c r="F283" s="14" t="s">
        <v>187</v>
      </c>
      <c r="G283" s="14" t="str">
        <f>"GR0022657"</f>
        <v>GR0022657</v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113</v>
      </c>
      <c r="L283" s="14" t="s">
        <v>112</v>
      </c>
      <c r="O283" s="14" t="s">
        <v>853</v>
      </c>
      <c r="P283" s="14" t="s">
        <v>701</v>
      </c>
      <c r="Q283" s="14" t="s">
        <v>701</v>
      </c>
      <c r="R283" s="14" t="s">
        <v>115</v>
      </c>
    </row>
    <row r="284" spans="1:18" s="14" customFormat="1" x14ac:dyDescent="0.25">
      <c r="A284" s="14" t="str">
        <f>"24273"</f>
        <v>24273</v>
      </c>
      <c r="B284" s="14" t="str">
        <f>"01390"</f>
        <v>01390</v>
      </c>
      <c r="C284" s="14" t="str">
        <f>"1700"</f>
        <v>1700</v>
      </c>
      <c r="D284" s="14" t="str">
        <f>"24273"</f>
        <v>24273</v>
      </c>
      <c r="E284" s="14" t="s">
        <v>894</v>
      </c>
      <c r="F284" s="14" t="s">
        <v>116</v>
      </c>
      <c r="G284" s="14" t="str">
        <f>"GR0024273"</f>
        <v>GR0024273</v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113</v>
      </c>
      <c r="L284" s="14" t="s">
        <v>112</v>
      </c>
      <c r="M284" s="14" t="s">
        <v>114</v>
      </c>
      <c r="O284" s="14" t="s">
        <v>895</v>
      </c>
      <c r="P284" s="14" t="s">
        <v>701</v>
      </c>
      <c r="Q284" s="14" t="s">
        <v>701</v>
      </c>
      <c r="R284" s="14" t="s">
        <v>115</v>
      </c>
    </row>
    <row r="285" spans="1:18" s="14" customFormat="1" x14ac:dyDescent="0.25">
      <c r="A285" s="14" t="str">
        <f>"24279"</f>
        <v>24279</v>
      </c>
      <c r="B285" s="14" t="str">
        <f>"01390"</f>
        <v>01390</v>
      </c>
      <c r="C285" s="14" t="str">
        <f>"1700"</f>
        <v>1700</v>
      </c>
      <c r="D285" s="14" t="str">
        <f>"24279"</f>
        <v>24279</v>
      </c>
      <c r="E285" s="14" t="s">
        <v>901</v>
      </c>
      <c r="F285" s="14" t="s">
        <v>116</v>
      </c>
      <c r="G285" s="14" t="str">
        <f>"GR0024279"</f>
        <v>GR0024279</v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113</v>
      </c>
      <c r="L285" s="14" t="s">
        <v>112</v>
      </c>
      <c r="M285" s="14" t="s">
        <v>114</v>
      </c>
      <c r="O285" s="14" t="s">
        <v>895</v>
      </c>
      <c r="P285" s="14" t="s">
        <v>701</v>
      </c>
      <c r="Q285" s="14" t="s">
        <v>701</v>
      </c>
      <c r="R285" s="14" t="s">
        <v>115</v>
      </c>
    </row>
    <row r="286" spans="1:18" s="14" customFormat="1" x14ac:dyDescent="0.25">
      <c r="A286" s="14" t="str">
        <f>"24280"</f>
        <v>24280</v>
      </c>
      <c r="B286" s="14" t="str">
        <f>"01390"</f>
        <v>01390</v>
      </c>
      <c r="C286" s="14" t="str">
        <f>"1800"</f>
        <v>1800</v>
      </c>
      <c r="D286" s="14" t="str">
        <f>""</f>
        <v/>
      </c>
      <c r="E286" s="14" t="s">
        <v>902</v>
      </c>
      <c r="F286" s="14" t="s">
        <v>116</v>
      </c>
      <c r="G286" s="14" t="str">
        <f>"GR0024279"</f>
        <v>GR0024279</v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113</v>
      </c>
      <c r="L286" s="14" t="s">
        <v>112</v>
      </c>
      <c r="M286" s="14" t="s">
        <v>114</v>
      </c>
      <c r="O286" s="14" t="s">
        <v>895</v>
      </c>
      <c r="P286" s="14" t="s">
        <v>701</v>
      </c>
      <c r="Q286" s="14" t="s">
        <v>701</v>
      </c>
      <c r="R286" s="14" t="s">
        <v>115</v>
      </c>
    </row>
    <row r="287" spans="1:18" s="14" customFormat="1" x14ac:dyDescent="0.25">
      <c r="A287" s="14" t="str">
        <f>"25146"</f>
        <v>25146</v>
      </c>
      <c r="B287" s="14" t="str">
        <f>"01390"</f>
        <v>01390</v>
      </c>
      <c r="C287" s="14" t="str">
        <f>"1300"</f>
        <v>1300</v>
      </c>
      <c r="D287" s="14" t="str">
        <f>"25146"</f>
        <v>25146</v>
      </c>
      <c r="E287" s="14" t="s">
        <v>924</v>
      </c>
      <c r="F287" s="14" t="s">
        <v>116</v>
      </c>
      <c r="G287" s="14" t="str">
        <f>"GR0025146"</f>
        <v>GR0025146</v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113</v>
      </c>
      <c r="L287" s="14" t="s">
        <v>112</v>
      </c>
      <c r="O287" s="14" t="s">
        <v>113</v>
      </c>
      <c r="P287" s="14" t="s">
        <v>701</v>
      </c>
      <c r="Q287" s="14" t="s">
        <v>701</v>
      </c>
      <c r="R287" s="14" t="s">
        <v>115</v>
      </c>
    </row>
    <row r="288" spans="1:18" s="14" customFormat="1" x14ac:dyDescent="0.25">
      <c r="A288" s="14" t="str">
        <f>"25158"</f>
        <v>25158</v>
      </c>
      <c r="B288" s="14" t="str">
        <f>"01390"</f>
        <v>01390</v>
      </c>
      <c r="C288" s="14" t="str">
        <f>"1300"</f>
        <v>1300</v>
      </c>
      <c r="D288" s="14" t="str">
        <f>"25158"</f>
        <v>25158</v>
      </c>
      <c r="E288" s="14" t="s">
        <v>937</v>
      </c>
      <c r="F288" s="14" t="s">
        <v>116</v>
      </c>
      <c r="G288" s="14" t="str">
        <f>"GR0025158"</f>
        <v>GR0025158</v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113</v>
      </c>
      <c r="L288" s="14" t="s">
        <v>112</v>
      </c>
      <c r="M288" s="14" t="s">
        <v>114</v>
      </c>
      <c r="O288" s="14" t="s">
        <v>113</v>
      </c>
      <c r="P288" s="14" t="s">
        <v>701</v>
      </c>
      <c r="Q288" s="14" t="s">
        <v>701</v>
      </c>
      <c r="R288" s="14" t="s">
        <v>115</v>
      </c>
    </row>
    <row r="289" spans="1:18" s="14" customFormat="1" x14ac:dyDescent="0.25">
      <c r="A289" s="14" t="str">
        <f>"10001"</f>
        <v>10001</v>
      </c>
      <c r="B289" s="14" t="str">
        <f>"01760"</f>
        <v>01760</v>
      </c>
      <c r="C289" s="14" t="str">
        <f>"1100"</f>
        <v>1100</v>
      </c>
      <c r="D289" s="14" t="str">
        <f>"01760"</f>
        <v>01760</v>
      </c>
      <c r="E289" s="14" t="s">
        <v>20</v>
      </c>
      <c r="F289" s="14" t="s">
        <v>168</v>
      </c>
      <c r="G289" s="14" t="str">
        <f>""</f>
        <v/>
      </c>
      <c r="H289" s="14" t="str">
        <f>" 20"</f>
        <v xml:space="preserve"> 20</v>
      </c>
      <c r="I289" s="14">
        <v>500.01</v>
      </c>
      <c r="J289" s="14">
        <v>9999999.9900000002</v>
      </c>
      <c r="K289" s="14" t="s">
        <v>169</v>
      </c>
      <c r="L289" s="14" t="s">
        <v>147</v>
      </c>
      <c r="M289" s="14" t="s">
        <v>154</v>
      </c>
      <c r="P289" s="14" t="s">
        <v>39</v>
      </c>
      <c r="Q289" s="14" t="s">
        <v>25</v>
      </c>
      <c r="R289" s="14" t="s">
        <v>146</v>
      </c>
    </row>
    <row r="290" spans="1:18" s="14" customFormat="1" x14ac:dyDescent="0.25">
      <c r="A290" s="14" t="str">
        <f>"19270"</f>
        <v>19270</v>
      </c>
      <c r="B290" s="14" t="str">
        <f>"01760"</f>
        <v>01760</v>
      </c>
      <c r="C290" s="14" t="str">
        <f>"1300"</f>
        <v>1300</v>
      </c>
      <c r="D290" s="14" t="str">
        <f>"19270"</f>
        <v>19270</v>
      </c>
      <c r="E290" s="14" t="s">
        <v>780</v>
      </c>
      <c r="F290" s="14" t="s">
        <v>168</v>
      </c>
      <c r="G290" s="14" t="str">
        <f>"GR0019270"</f>
        <v>GR0019270</v>
      </c>
      <c r="H290" s="14" t="str">
        <f>" 20"</f>
        <v xml:space="preserve"> 20</v>
      </c>
      <c r="I290" s="14">
        <v>500.01</v>
      </c>
      <c r="J290" s="14">
        <v>9999999.9900000002</v>
      </c>
      <c r="K290" s="14" t="s">
        <v>169</v>
      </c>
      <c r="L290" s="14" t="s">
        <v>147</v>
      </c>
      <c r="M290" s="14" t="s">
        <v>154</v>
      </c>
      <c r="O290" s="14" t="s">
        <v>781</v>
      </c>
      <c r="P290" s="14" t="s">
        <v>39</v>
      </c>
      <c r="Q290" s="14" t="s">
        <v>39</v>
      </c>
      <c r="R290" s="14" t="s">
        <v>146</v>
      </c>
    </row>
    <row r="291" spans="1:18" s="14" customFormat="1" x14ac:dyDescent="0.25">
      <c r="A291" s="14" t="str">
        <f>"84223"</f>
        <v>84223</v>
      </c>
      <c r="B291" s="14" t="str">
        <f>"07020"</f>
        <v>07020</v>
      </c>
      <c r="C291" s="14" t="str">
        <f>"1700"</f>
        <v>1700</v>
      </c>
      <c r="D291" s="14" t="str">
        <f>"84223"</f>
        <v>84223</v>
      </c>
      <c r="E291" s="14" t="s">
        <v>1729</v>
      </c>
      <c r="F291" s="14" t="s">
        <v>1532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663</v>
      </c>
      <c r="P291" s="14" t="s">
        <v>31</v>
      </c>
      <c r="Q291" s="14" t="s">
        <v>31</v>
      </c>
      <c r="R291" s="14" t="s">
        <v>1730</v>
      </c>
    </row>
    <row r="292" spans="1:18" s="14" customFormat="1" x14ac:dyDescent="0.25">
      <c r="A292" s="14" t="str">
        <f>"10001"</f>
        <v>10001</v>
      </c>
      <c r="B292" s="14" t="str">
        <f>"01440"</f>
        <v>01440</v>
      </c>
      <c r="C292" s="14" t="str">
        <f>"1300"</f>
        <v>1300</v>
      </c>
      <c r="D292" s="14" t="str">
        <f>"01440"</f>
        <v>01440</v>
      </c>
      <c r="E292" s="14" t="s">
        <v>20</v>
      </c>
      <c r="F292" s="14" t="s">
        <v>123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124</v>
      </c>
      <c r="L292" s="14" t="s">
        <v>69</v>
      </c>
      <c r="M292" s="14" t="s">
        <v>70</v>
      </c>
      <c r="N292" s="14" t="s">
        <v>71</v>
      </c>
      <c r="P292" s="14" t="s">
        <v>31</v>
      </c>
      <c r="Q292" s="14" t="s">
        <v>25</v>
      </c>
      <c r="R292" s="14" t="s">
        <v>72</v>
      </c>
    </row>
    <row r="293" spans="1:18" s="14" customFormat="1" x14ac:dyDescent="0.25">
      <c r="A293" s="14" t="str">
        <f>"10001"</f>
        <v>10001</v>
      </c>
      <c r="B293" s="14" t="str">
        <f>"01441"</f>
        <v>01441</v>
      </c>
      <c r="C293" s="14" t="str">
        <f>"1300"</f>
        <v>1300</v>
      </c>
      <c r="D293" s="14" t="str">
        <f>"01441"</f>
        <v>01441</v>
      </c>
      <c r="E293" s="14" t="s">
        <v>20</v>
      </c>
      <c r="F293" s="14" t="s">
        <v>125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124</v>
      </c>
      <c r="L293" s="14" t="s">
        <v>69</v>
      </c>
      <c r="M293" s="14" t="s">
        <v>70</v>
      </c>
      <c r="N293" s="14" t="s">
        <v>71</v>
      </c>
      <c r="P293" s="14" t="s">
        <v>31</v>
      </c>
      <c r="Q293" s="14" t="s">
        <v>25</v>
      </c>
      <c r="R293" s="14" t="s">
        <v>72</v>
      </c>
    </row>
    <row r="294" spans="1:18" s="14" customFormat="1" x14ac:dyDescent="0.25">
      <c r="A294" s="14" t="str">
        <f>"10001"</f>
        <v>10001</v>
      </c>
      <c r="B294" s="14" t="str">
        <f>"01520"</f>
        <v>01520</v>
      </c>
      <c r="C294" s="14" t="str">
        <f>"1100"</f>
        <v>1100</v>
      </c>
      <c r="D294" s="14" t="str">
        <f>"01520"</f>
        <v>01520</v>
      </c>
      <c r="E294" s="14" t="s">
        <v>20</v>
      </c>
      <c r="F294" s="14" t="s">
        <v>132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124</v>
      </c>
      <c r="L294" s="14" t="s">
        <v>69</v>
      </c>
      <c r="M294" s="14" t="s">
        <v>70</v>
      </c>
      <c r="N294" s="14" t="s">
        <v>71</v>
      </c>
      <c r="P294" s="14" t="s">
        <v>31</v>
      </c>
      <c r="Q294" s="14" t="s">
        <v>25</v>
      </c>
      <c r="R294" s="14" t="s">
        <v>72</v>
      </c>
    </row>
    <row r="295" spans="1:18" s="14" customFormat="1" x14ac:dyDescent="0.25">
      <c r="A295" s="14" t="str">
        <f>"11008"</f>
        <v>11008</v>
      </c>
      <c r="B295" s="14" t="str">
        <f>"01440"</f>
        <v>01440</v>
      </c>
      <c r="C295" s="14" t="str">
        <f>"1300"</f>
        <v>1300</v>
      </c>
      <c r="D295" s="14" t="str">
        <f>""</f>
        <v/>
      </c>
      <c r="E295" s="14" t="s">
        <v>442</v>
      </c>
      <c r="F295" s="14" t="s">
        <v>123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124</v>
      </c>
      <c r="L295" s="14" t="s">
        <v>69</v>
      </c>
      <c r="M295" s="14" t="s">
        <v>70</v>
      </c>
      <c r="N295" s="14" t="s">
        <v>71</v>
      </c>
      <c r="P295" s="14" t="s">
        <v>25</v>
      </c>
      <c r="Q295" s="14" t="s">
        <v>25</v>
      </c>
      <c r="R295" s="14" t="s">
        <v>72</v>
      </c>
    </row>
    <row r="296" spans="1:18" s="14" customFormat="1" x14ac:dyDescent="0.25">
      <c r="A296" s="14" t="str">
        <f>"11037"</f>
        <v>11037</v>
      </c>
      <c r="B296" s="14" t="str">
        <f>"01441"</f>
        <v>01441</v>
      </c>
      <c r="C296" s="14" t="str">
        <f>"1300"</f>
        <v>1300</v>
      </c>
      <c r="D296" s="14" t="str">
        <f>""</f>
        <v/>
      </c>
      <c r="E296" s="14" t="s">
        <v>471</v>
      </c>
      <c r="F296" s="14" t="s">
        <v>125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124</v>
      </c>
      <c r="L296" s="14" t="s">
        <v>69</v>
      </c>
      <c r="M296" s="14" t="s">
        <v>70</v>
      </c>
      <c r="N296" s="14" t="s">
        <v>71</v>
      </c>
      <c r="P296" s="14" t="s">
        <v>25</v>
      </c>
      <c r="Q296" s="14" t="s">
        <v>25</v>
      </c>
      <c r="R296" s="14" t="s">
        <v>72</v>
      </c>
    </row>
    <row r="297" spans="1:18" s="14" customFormat="1" x14ac:dyDescent="0.25">
      <c r="A297" s="14" t="str">
        <f>"24435"</f>
        <v>24435</v>
      </c>
      <c r="B297" s="14" t="str">
        <f>"01110"</f>
        <v>01110</v>
      </c>
      <c r="C297" s="14" t="str">
        <f>"1930"</f>
        <v>1930</v>
      </c>
      <c r="D297" s="14" t="str">
        <f>"24435"</f>
        <v>24435</v>
      </c>
      <c r="E297" s="14" t="s">
        <v>904</v>
      </c>
      <c r="F297" s="14" t="s">
        <v>905</v>
      </c>
      <c r="G297" s="14" t="str">
        <f>"GR0024435"</f>
        <v>GR0024435</v>
      </c>
      <c r="H297" s="14" t="str">
        <f>" 10"</f>
        <v xml:space="preserve"> 10</v>
      </c>
      <c r="I297" s="14">
        <v>0.01</v>
      </c>
      <c r="J297" s="14">
        <v>500</v>
      </c>
      <c r="K297" s="14" t="s">
        <v>727</v>
      </c>
      <c r="L297" s="14" t="s">
        <v>906</v>
      </c>
      <c r="M297" s="14" t="s">
        <v>55</v>
      </c>
      <c r="N297" s="14" t="s">
        <v>907</v>
      </c>
      <c r="O297" s="14" t="s">
        <v>55</v>
      </c>
      <c r="P297" s="14" t="s">
        <v>701</v>
      </c>
      <c r="Q297" s="14" t="s">
        <v>701</v>
      </c>
      <c r="R297" s="14" t="s">
        <v>727</v>
      </c>
    </row>
    <row r="298" spans="1:18" s="14" customFormat="1" x14ac:dyDescent="0.25">
      <c r="A298" s="14" t="str">
        <f>"25149"</f>
        <v>25149</v>
      </c>
      <c r="B298" s="14" t="str">
        <f>"01100"</f>
        <v>01100</v>
      </c>
      <c r="C298" s="14" t="str">
        <f>"1930"</f>
        <v>1930</v>
      </c>
      <c r="D298" s="14" t="str">
        <f>"25149"</f>
        <v>25149</v>
      </c>
      <c r="E298" s="14" t="s">
        <v>927</v>
      </c>
      <c r="F298" s="14" t="s">
        <v>725</v>
      </c>
      <c r="G298" s="14" t="str">
        <f>"GR0025149"</f>
        <v>GR0025149</v>
      </c>
      <c r="H298" s="14" t="str">
        <f>" 10"</f>
        <v xml:space="preserve"> 10</v>
      </c>
      <c r="I298" s="14">
        <v>0.01</v>
      </c>
      <c r="J298" s="14">
        <v>500</v>
      </c>
      <c r="K298" s="14" t="s">
        <v>727</v>
      </c>
      <c r="L298" s="14" t="s">
        <v>55</v>
      </c>
      <c r="O298" s="14" t="s">
        <v>55</v>
      </c>
      <c r="P298" s="14" t="s">
        <v>701</v>
      </c>
      <c r="Q298" s="14" t="s">
        <v>701</v>
      </c>
      <c r="R298" s="14" t="s">
        <v>727</v>
      </c>
    </row>
    <row r="299" spans="1:18" s="14" customFormat="1" x14ac:dyDescent="0.25">
      <c r="A299" s="14" t="str">
        <f>"25152"</f>
        <v>25152</v>
      </c>
      <c r="B299" s="14" t="str">
        <f>"01100"</f>
        <v>01100</v>
      </c>
      <c r="C299" s="14" t="str">
        <f>"1930"</f>
        <v>1930</v>
      </c>
      <c r="D299" s="14" t="str">
        <f>"25152"</f>
        <v>25152</v>
      </c>
      <c r="E299" s="14" t="s">
        <v>930</v>
      </c>
      <c r="F299" s="14" t="s">
        <v>725</v>
      </c>
      <c r="G299" s="14" t="str">
        <f>"GR0025152"</f>
        <v>GR0025152</v>
      </c>
      <c r="H299" s="14" t="str">
        <f>" 10"</f>
        <v xml:space="preserve"> 10</v>
      </c>
      <c r="I299" s="14">
        <v>0.01</v>
      </c>
      <c r="J299" s="14">
        <v>500</v>
      </c>
      <c r="K299" s="14" t="s">
        <v>727</v>
      </c>
      <c r="L299" s="14" t="s">
        <v>55</v>
      </c>
      <c r="O299" s="14" t="s">
        <v>55</v>
      </c>
      <c r="P299" s="14" t="s">
        <v>701</v>
      </c>
      <c r="Q299" s="14" t="s">
        <v>701</v>
      </c>
      <c r="R299" s="14" t="s">
        <v>727</v>
      </c>
    </row>
    <row r="300" spans="1:18" s="14" customFormat="1" x14ac:dyDescent="0.25">
      <c r="A300" s="14" t="str">
        <f>"33005"</f>
        <v>33005</v>
      </c>
      <c r="B300" s="14" t="str">
        <f>"01150"</f>
        <v>01150</v>
      </c>
      <c r="C300" s="14" t="str">
        <f>"1930"</f>
        <v>1930</v>
      </c>
      <c r="D300" s="14" t="str">
        <f>"01150A"</f>
        <v>01150A</v>
      </c>
      <c r="E300" s="14" t="s">
        <v>974</v>
      </c>
      <c r="F300" s="14" t="s">
        <v>975</v>
      </c>
      <c r="G300" s="14" t="str">
        <f>""</f>
        <v/>
      </c>
      <c r="H300" s="14" t="str">
        <f>" 10"</f>
        <v xml:space="preserve"> 10</v>
      </c>
      <c r="I300" s="14">
        <v>0.01</v>
      </c>
      <c r="J300" s="14">
        <v>500</v>
      </c>
      <c r="K300" s="14" t="s">
        <v>727</v>
      </c>
      <c r="L300" s="14" t="s">
        <v>55</v>
      </c>
      <c r="P300" s="14" t="s">
        <v>31</v>
      </c>
      <c r="Q300" s="14" t="s">
        <v>25</v>
      </c>
      <c r="R300" s="14" t="s">
        <v>727</v>
      </c>
    </row>
    <row r="301" spans="1:18" s="14" customFormat="1" x14ac:dyDescent="0.25">
      <c r="A301" s="14" t="str">
        <f>"33005"</f>
        <v>33005</v>
      </c>
      <c r="B301" s="14" t="str">
        <f>"01151"</f>
        <v>01151</v>
      </c>
      <c r="C301" s="14" t="str">
        <f>"1930"</f>
        <v>1930</v>
      </c>
      <c r="D301" s="14" t="str">
        <f>"01151"</f>
        <v>01151</v>
      </c>
      <c r="E301" s="14" t="s">
        <v>974</v>
      </c>
      <c r="F301" s="14" t="s">
        <v>976</v>
      </c>
      <c r="G301" s="14" t="str">
        <f>""</f>
        <v/>
      </c>
      <c r="H301" s="14" t="str">
        <f>" 10"</f>
        <v xml:space="preserve"> 10</v>
      </c>
      <c r="I301" s="14">
        <v>0.01</v>
      </c>
      <c r="J301" s="14">
        <v>500</v>
      </c>
      <c r="K301" s="14" t="s">
        <v>727</v>
      </c>
      <c r="L301" s="14" t="s">
        <v>55</v>
      </c>
      <c r="P301" s="14" t="s">
        <v>31</v>
      </c>
      <c r="Q301" s="14" t="s">
        <v>25</v>
      </c>
      <c r="R301" s="14" t="s">
        <v>727</v>
      </c>
    </row>
    <row r="302" spans="1:18" s="14" customFormat="1" x14ac:dyDescent="0.25">
      <c r="A302" s="14" t="str">
        <f>"33005"</f>
        <v>33005</v>
      </c>
      <c r="B302" s="14" t="str">
        <f>"01152"</f>
        <v>01152</v>
      </c>
      <c r="C302" s="14" t="str">
        <f>"1930"</f>
        <v>1930</v>
      </c>
      <c r="D302" s="14" t="str">
        <f>"01152"</f>
        <v>01152</v>
      </c>
      <c r="E302" s="14" t="s">
        <v>974</v>
      </c>
      <c r="F302" s="14" t="s">
        <v>977</v>
      </c>
      <c r="G302" s="14" t="str">
        <f>""</f>
        <v/>
      </c>
      <c r="H302" s="14" t="str">
        <f>" 10"</f>
        <v xml:space="preserve"> 10</v>
      </c>
      <c r="I302" s="14">
        <v>0.01</v>
      </c>
      <c r="J302" s="14">
        <v>500</v>
      </c>
      <c r="K302" s="14" t="s">
        <v>727</v>
      </c>
      <c r="L302" s="14" t="s">
        <v>55</v>
      </c>
      <c r="P302" s="14" t="s">
        <v>31</v>
      </c>
      <c r="Q302" s="14" t="s">
        <v>25</v>
      </c>
      <c r="R302" s="14" t="s">
        <v>727</v>
      </c>
    </row>
    <row r="303" spans="1:18" s="14" customFormat="1" x14ac:dyDescent="0.25">
      <c r="A303" s="14" t="str">
        <f>"33005"</f>
        <v>33005</v>
      </c>
      <c r="B303" s="14" t="str">
        <f>"01154"</f>
        <v>01154</v>
      </c>
      <c r="C303" s="14" t="str">
        <f>"1930"</f>
        <v>1930</v>
      </c>
      <c r="D303" s="14" t="str">
        <f>"01154"</f>
        <v>01154</v>
      </c>
      <c r="E303" s="14" t="s">
        <v>974</v>
      </c>
      <c r="F303" s="14" t="s">
        <v>978</v>
      </c>
      <c r="G303" s="14" t="str">
        <f>""</f>
        <v/>
      </c>
      <c r="H303" s="14" t="str">
        <f>" 10"</f>
        <v xml:space="preserve"> 10</v>
      </c>
      <c r="I303" s="14">
        <v>0.01</v>
      </c>
      <c r="J303" s="14">
        <v>500</v>
      </c>
      <c r="K303" s="14" t="s">
        <v>727</v>
      </c>
      <c r="L303" s="14" t="s">
        <v>55</v>
      </c>
      <c r="P303" s="14" t="s">
        <v>31</v>
      </c>
      <c r="Q303" s="14" t="s">
        <v>25</v>
      </c>
      <c r="R303" s="14" t="s">
        <v>727</v>
      </c>
    </row>
    <row r="304" spans="1:18" s="14" customFormat="1" x14ac:dyDescent="0.25">
      <c r="A304" s="14" t="str">
        <f>"33010"</f>
        <v>33010</v>
      </c>
      <c r="B304" s="14" t="str">
        <f>"01150"</f>
        <v>01150</v>
      </c>
      <c r="C304" s="14" t="str">
        <f>"1930"</f>
        <v>1930</v>
      </c>
      <c r="D304" s="14" t="str">
        <f>"01150B"</f>
        <v>01150B</v>
      </c>
      <c r="E304" s="14" t="s">
        <v>979</v>
      </c>
      <c r="F304" s="14" t="s">
        <v>975</v>
      </c>
      <c r="G304" s="14" t="str">
        <f>""</f>
        <v/>
      </c>
      <c r="H304" s="14" t="str">
        <f>" 10"</f>
        <v xml:space="preserve"> 10</v>
      </c>
      <c r="I304" s="14">
        <v>0.01</v>
      </c>
      <c r="J304" s="14">
        <v>500</v>
      </c>
      <c r="K304" s="14" t="s">
        <v>727</v>
      </c>
      <c r="L304" s="14" t="s">
        <v>55</v>
      </c>
      <c r="P304" s="14" t="s">
        <v>31</v>
      </c>
      <c r="Q304" s="14" t="s">
        <v>25</v>
      </c>
      <c r="R304" s="14" t="s">
        <v>727</v>
      </c>
    </row>
    <row r="305" spans="1:18" s="14" customFormat="1" x14ac:dyDescent="0.25">
      <c r="A305" s="14" t="str">
        <f>"33105"</f>
        <v>33105</v>
      </c>
      <c r="B305" s="14" t="str">
        <f>"01100"</f>
        <v>01100</v>
      </c>
      <c r="C305" s="14" t="str">
        <f>"1930"</f>
        <v>1930</v>
      </c>
      <c r="D305" s="14" t="str">
        <f>"01100"</f>
        <v>01100</v>
      </c>
      <c r="E305" s="14" t="s">
        <v>725</v>
      </c>
      <c r="F305" s="14" t="s">
        <v>725</v>
      </c>
      <c r="G305" s="14" t="str">
        <f>""</f>
        <v/>
      </c>
      <c r="H305" s="14" t="str">
        <f>" 10"</f>
        <v xml:space="preserve"> 10</v>
      </c>
      <c r="I305" s="14">
        <v>0.01</v>
      </c>
      <c r="J305" s="14">
        <v>500</v>
      </c>
      <c r="K305" s="14" t="s">
        <v>727</v>
      </c>
      <c r="L305" s="14" t="s">
        <v>55</v>
      </c>
      <c r="P305" s="14" t="s">
        <v>31</v>
      </c>
      <c r="Q305" s="14" t="s">
        <v>25</v>
      </c>
      <c r="R305" s="14" t="s">
        <v>727</v>
      </c>
    </row>
    <row r="306" spans="1:18" s="14" customFormat="1" x14ac:dyDescent="0.25">
      <c r="A306" s="14" t="str">
        <f>"33105"</f>
        <v>33105</v>
      </c>
      <c r="B306" s="14" t="str">
        <f>"01110"</f>
        <v>01110</v>
      </c>
      <c r="C306" s="14" t="str">
        <f>"1930"</f>
        <v>1930</v>
      </c>
      <c r="D306" s="14" t="str">
        <f>"01110"</f>
        <v>01110</v>
      </c>
      <c r="E306" s="14" t="s">
        <v>725</v>
      </c>
      <c r="F306" s="14" t="s">
        <v>905</v>
      </c>
      <c r="G306" s="14" t="str">
        <f>""</f>
        <v/>
      </c>
      <c r="H306" s="14" t="str">
        <f>" 10"</f>
        <v xml:space="preserve"> 10</v>
      </c>
      <c r="I306" s="14">
        <v>0.01</v>
      </c>
      <c r="J306" s="14">
        <v>500</v>
      </c>
      <c r="K306" s="14" t="s">
        <v>727</v>
      </c>
      <c r="L306" s="14" t="s">
        <v>906</v>
      </c>
      <c r="M306" s="14" t="s">
        <v>55</v>
      </c>
      <c r="P306" s="14" t="s">
        <v>31</v>
      </c>
      <c r="Q306" s="14" t="s">
        <v>25</v>
      </c>
      <c r="R306" s="14" t="s">
        <v>727</v>
      </c>
    </row>
    <row r="307" spans="1:18" s="14" customFormat="1" x14ac:dyDescent="0.25">
      <c r="A307" s="14" t="str">
        <f>"35025"</f>
        <v>35025</v>
      </c>
      <c r="B307" s="14" t="str">
        <f>"01100"</f>
        <v>01100</v>
      </c>
      <c r="C307" s="14" t="str">
        <f>"1930"</f>
        <v>1930</v>
      </c>
      <c r="D307" s="14" t="str">
        <f>"35025"</f>
        <v>35025</v>
      </c>
      <c r="E307" s="14" t="s">
        <v>987</v>
      </c>
      <c r="F307" s="14" t="s">
        <v>725</v>
      </c>
      <c r="G307" s="14" t="str">
        <f>""</f>
        <v/>
      </c>
      <c r="H307" s="14" t="str">
        <f>" 10"</f>
        <v xml:space="preserve"> 10</v>
      </c>
      <c r="I307" s="14">
        <v>0.01</v>
      </c>
      <c r="J307" s="14">
        <v>500</v>
      </c>
      <c r="K307" s="14" t="s">
        <v>727</v>
      </c>
      <c r="L307" s="14" t="s">
        <v>55</v>
      </c>
      <c r="P307" s="14" t="s">
        <v>31</v>
      </c>
      <c r="Q307" s="14" t="s">
        <v>25</v>
      </c>
      <c r="R307" s="14" t="s">
        <v>727</v>
      </c>
    </row>
    <row r="308" spans="1:18" s="14" customFormat="1" x14ac:dyDescent="0.25">
      <c r="A308" s="14" t="str">
        <f>"10001"</f>
        <v>10001</v>
      </c>
      <c r="B308" s="14" t="str">
        <f>"01180"</f>
        <v>01180</v>
      </c>
      <c r="C308" s="14" t="str">
        <f>"1100"</f>
        <v>1100</v>
      </c>
      <c r="D308" s="14" t="str">
        <f>"01180"</f>
        <v>01180</v>
      </c>
      <c r="E308" s="14" t="s">
        <v>20</v>
      </c>
      <c r="F308" s="14" t="s">
        <v>65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66</v>
      </c>
      <c r="L308" s="14" t="s">
        <v>50</v>
      </c>
      <c r="M308" s="14" t="s">
        <v>37</v>
      </c>
      <c r="P308" s="14" t="s">
        <v>31</v>
      </c>
      <c r="Q308" s="14" t="s">
        <v>25</v>
      </c>
      <c r="R308" s="14" t="s">
        <v>38</v>
      </c>
    </row>
    <row r="309" spans="1:18" s="14" customFormat="1" x14ac:dyDescent="0.25">
      <c r="A309" s="14" t="str">
        <f>"84124"</f>
        <v>84124</v>
      </c>
      <c r="B309" s="14" t="str">
        <f>"07020"</f>
        <v>07020</v>
      </c>
      <c r="C309" s="14" t="str">
        <f>"1700"</f>
        <v>1700</v>
      </c>
      <c r="D309" s="14" t="str">
        <f>"84124"</f>
        <v>84124</v>
      </c>
      <c r="E309" s="14" t="s">
        <v>159</v>
      </c>
      <c r="F309" s="14" t="s">
        <v>1532</v>
      </c>
      <c r="G309" s="14" t="str">
        <f>""</f>
        <v/>
      </c>
      <c r="H309" s="14" t="str">
        <f>" 10"</f>
        <v xml:space="preserve"> 10</v>
      </c>
      <c r="I309" s="14">
        <v>0.01</v>
      </c>
      <c r="J309" s="14">
        <v>500</v>
      </c>
      <c r="K309" s="14" t="s">
        <v>1659</v>
      </c>
      <c r="L309" s="14" t="s">
        <v>147</v>
      </c>
      <c r="P309" s="14" t="s">
        <v>31</v>
      </c>
      <c r="Q309" s="14" t="s">
        <v>31</v>
      </c>
      <c r="R309" s="14" t="s">
        <v>1659</v>
      </c>
    </row>
    <row r="310" spans="1:18" s="14" customFormat="1" x14ac:dyDescent="0.25">
      <c r="A310" s="14" t="str">
        <f>"22651"</f>
        <v>22651</v>
      </c>
      <c r="B310" s="14" t="str">
        <f>"01800"</f>
        <v>01800</v>
      </c>
      <c r="C310" s="14" t="str">
        <f>"1200"</f>
        <v>1200</v>
      </c>
      <c r="D310" s="14" t="str">
        <f>"22651"</f>
        <v>22651</v>
      </c>
      <c r="E310" s="14" t="s">
        <v>872</v>
      </c>
      <c r="F310" s="14" t="s">
        <v>180</v>
      </c>
      <c r="G310" s="14" t="str">
        <f>"GR0022651"</f>
        <v>GR0022651</v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114</v>
      </c>
      <c r="L310" s="14" t="s">
        <v>113</v>
      </c>
      <c r="M310" s="14" t="s">
        <v>112</v>
      </c>
      <c r="N310" s="14" t="s">
        <v>181</v>
      </c>
      <c r="O310" s="14" t="s">
        <v>873</v>
      </c>
      <c r="P310" s="14" t="s">
        <v>701</v>
      </c>
      <c r="Q310" s="14" t="s">
        <v>701</v>
      </c>
      <c r="R310" s="14" t="s">
        <v>115</v>
      </c>
    </row>
    <row r="311" spans="1:18" s="14" customFormat="1" x14ac:dyDescent="0.25">
      <c r="A311" s="14" t="str">
        <f>"84194"</f>
        <v>84194</v>
      </c>
      <c r="B311" s="14" t="str">
        <f>"07020"</f>
        <v>07020</v>
      </c>
      <c r="C311" s="14" t="str">
        <f>"1700"</f>
        <v>1700</v>
      </c>
      <c r="D311" s="14" t="str">
        <f>"84194"</f>
        <v>84194</v>
      </c>
      <c r="E311" s="14" t="s">
        <v>1699</v>
      </c>
      <c r="F311" s="14" t="s">
        <v>1532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114</v>
      </c>
      <c r="P311" s="14" t="s">
        <v>31</v>
      </c>
      <c r="Q311" s="14" t="s">
        <v>31</v>
      </c>
      <c r="R311" s="14" t="s">
        <v>115</v>
      </c>
    </row>
    <row r="312" spans="1:18" s="14" customFormat="1" x14ac:dyDescent="0.25">
      <c r="A312" s="14" t="str">
        <f>"84255"</f>
        <v>84255</v>
      </c>
      <c r="B312" s="14" t="str">
        <f>"07020"</f>
        <v>07020</v>
      </c>
      <c r="C312" s="14" t="str">
        <f>"1700"</f>
        <v>1700</v>
      </c>
      <c r="D312" s="14" t="str">
        <f>"84255"</f>
        <v>84255</v>
      </c>
      <c r="E312" s="14" t="s">
        <v>1774</v>
      </c>
      <c r="F312" s="14" t="s">
        <v>1532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114</v>
      </c>
      <c r="L312" s="14" t="s">
        <v>112</v>
      </c>
      <c r="M312" s="14" t="s">
        <v>113</v>
      </c>
      <c r="P312" s="14" t="s">
        <v>31</v>
      </c>
      <c r="Q312" s="14" t="s">
        <v>31</v>
      </c>
      <c r="R312" s="14" t="s">
        <v>115</v>
      </c>
    </row>
    <row r="313" spans="1:18" s="14" customFormat="1" x14ac:dyDescent="0.25">
      <c r="A313" s="14" t="str">
        <f>"85011"</f>
        <v>85011</v>
      </c>
      <c r="B313" s="14" t="str">
        <f>"07030"</f>
        <v>07030</v>
      </c>
      <c r="C313" s="14" t="str">
        <f>"8000"</f>
        <v>8000</v>
      </c>
      <c r="D313" s="14" t="str">
        <f>"85011"</f>
        <v>85011</v>
      </c>
      <c r="E313" s="14" t="s">
        <v>1777</v>
      </c>
      <c r="F313" s="14" t="s">
        <v>1776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114</v>
      </c>
      <c r="L313" s="14" t="s">
        <v>1661</v>
      </c>
      <c r="P313" s="14" t="s">
        <v>31</v>
      </c>
      <c r="Q313" s="14" t="s">
        <v>31</v>
      </c>
      <c r="R313" s="14" t="s">
        <v>114</v>
      </c>
    </row>
    <row r="314" spans="1:18" s="14" customFormat="1" x14ac:dyDescent="0.25">
      <c r="A314" s="14" t="str">
        <f>"10001"</f>
        <v>10001</v>
      </c>
      <c r="B314" s="14" t="str">
        <f>"01790"</f>
        <v>01790</v>
      </c>
      <c r="C314" s="14" t="str">
        <f>"1100"</f>
        <v>1100</v>
      </c>
      <c r="D314" s="14" t="str">
        <f>"01790"</f>
        <v>01790</v>
      </c>
      <c r="E314" s="14" t="s">
        <v>20</v>
      </c>
      <c r="F314" s="14" t="s">
        <v>178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179</v>
      </c>
      <c r="L314" s="14" t="s">
        <v>112</v>
      </c>
      <c r="M314" s="14" t="s">
        <v>113</v>
      </c>
      <c r="N314" s="14" t="s">
        <v>114</v>
      </c>
      <c r="P314" s="14" t="s">
        <v>31</v>
      </c>
      <c r="Q314" s="14" t="s">
        <v>25</v>
      </c>
      <c r="R314" s="14" t="s">
        <v>115</v>
      </c>
    </row>
    <row r="315" spans="1:18" s="14" customFormat="1" x14ac:dyDescent="0.25">
      <c r="A315" s="14" t="str">
        <f>"18514"</f>
        <v>18514</v>
      </c>
      <c r="B315" s="14" t="str">
        <f>"01790"</f>
        <v>01790</v>
      </c>
      <c r="C315" s="14" t="str">
        <f>"1300"</f>
        <v>1300</v>
      </c>
      <c r="D315" s="14" t="str">
        <f>""</f>
        <v/>
      </c>
      <c r="E315" s="14" t="s">
        <v>712</v>
      </c>
      <c r="F315" s="14" t="s">
        <v>178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179</v>
      </c>
      <c r="L315" s="14" t="s">
        <v>112</v>
      </c>
      <c r="M315" s="14" t="s">
        <v>113</v>
      </c>
      <c r="N315" s="14" t="s">
        <v>114</v>
      </c>
      <c r="P315" s="14" t="s">
        <v>701</v>
      </c>
      <c r="Q315" s="14" t="s">
        <v>25</v>
      </c>
      <c r="R315" s="14" t="s">
        <v>115</v>
      </c>
    </row>
    <row r="316" spans="1:18" s="14" customFormat="1" x14ac:dyDescent="0.25">
      <c r="A316" s="14" t="str">
        <f>"19271"</f>
        <v>19271</v>
      </c>
      <c r="B316" s="14" t="str">
        <f>"01790"</f>
        <v>01790</v>
      </c>
      <c r="C316" s="14" t="str">
        <f>"1200"</f>
        <v>1200</v>
      </c>
      <c r="D316" s="14" t="str">
        <f>"19271"</f>
        <v>19271</v>
      </c>
      <c r="E316" s="14" t="s">
        <v>782</v>
      </c>
      <c r="F316" s="14" t="s">
        <v>178</v>
      </c>
      <c r="G316" s="14" t="str">
        <f>"GR0019271"</f>
        <v>GR0019271</v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179</v>
      </c>
      <c r="L316" s="14" t="s">
        <v>112</v>
      </c>
      <c r="M316" s="14" t="s">
        <v>113</v>
      </c>
      <c r="N316" s="14" t="s">
        <v>114</v>
      </c>
      <c r="O316" s="14" t="s">
        <v>762</v>
      </c>
      <c r="P316" s="14" t="s">
        <v>31</v>
      </c>
      <c r="Q316" s="14" t="s">
        <v>31</v>
      </c>
      <c r="R316" s="14" t="s">
        <v>115</v>
      </c>
    </row>
    <row r="317" spans="1:18" s="14" customFormat="1" x14ac:dyDescent="0.25">
      <c r="A317" s="14" t="str">
        <f>"25147"</f>
        <v>25147</v>
      </c>
      <c r="B317" s="14" t="str">
        <f>"01790"</f>
        <v>01790</v>
      </c>
      <c r="C317" s="14" t="str">
        <f>"1600"</f>
        <v>1600</v>
      </c>
      <c r="D317" s="14" t="str">
        <f>"25147"</f>
        <v>25147</v>
      </c>
      <c r="E317" s="14" t="s">
        <v>925</v>
      </c>
      <c r="F317" s="14" t="s">
        <v>178</v>
      </c>
      <c r="G317" s="14" t="str">
        <f>"GR0025147"</f>
        <v>GR0025147</v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179</v>
      </c>
      <c r="L317" s="14" t="s">
        <v>112</v>
      </c>
      <c r="M317" s="14" t="s">
        <v>113</v>
      </c>
      <c r="O317" s="14" t="s">
        <v>926</v>
      </c>
      <c r="P317" s="14" t="s">
        <v>701</v>
      </c>
      <c r="Q317" s="14" t="s">
        <v>701</v>
      </c>
      <c r="R317" s="14" t="s">
        <v>115</v>
      </c>
    </row>
    <row r="318" spans="1:18" s="14" customFormat="1" x14ac:dyDescent="0.25">
      <c r="A318" s="14" t="str">
        <f>"85072"</f>
        <v>85072</v>
      </c>
      <c r="B318" s="14" t="str">
        <f>"01790"</f>
        <v>01790</v>
      </c>
      <c r="C318" s="14" t="str">
        <f>"1300"</f>
        <v>1300</v>
      </c>
      <c r="D318" s="14" t="str">
        <f>"85072"</f>
        <v>85072</v>
      </c>
      <c r="E318" s="14" t="s">
        <v>1785</v>
      </c>
      <c r="F318" s="14" t="s">
        <v>178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179</v>
      </c>
      <c r="L318" s="14" t="s">
        <v>37</v>
      </c>
      <c r="M318" s="14" t="s">
        <v>1586</v>
      </c>
      <c r="P318" s="14" t="s">
        <v>31</v>
      </c>
      <c r="Q318" s="14" t="s">
        <v>31</v>
      </c>
      <c r="R318" s="14" t="s">
        <v>1586</v>
      </c>
    </row>
    <row r="319" spans="1:18" s="14" customFormat="1" x14ac:dyDescent="0.25">
      <c r="A319" s="14" t="str">
        <f>"10001"</f>
        <v>10001</v>
      </c>
      <c r="B319" s="14" t="str">
        <f>"01770"</f>
        <v>01770</v>
      </c>
      <c r="C319" s="14" t="str">
        <f>"1100"</f>
        <v>1100</v>
      </c>
      <c r="D319" s="14" t="str">
        <f>"01770"</f>
        <v>01770</v>
      </c>
      <c r="E319" s="14" t="s">
        <v>20</v>
      </c>
      <c r="F319" s="14" t="s">
        <v>172</v>
      </c>
      <c r="G319" s="14" t="str">
        <f>""</f>
        <v/>
      </c>
      <c r="H319" s="14" t="str">
        <f>" 20"</f>
        <v xml:space="preserve"> 20</v>
      </c>
      <c r="I319" s="14">
        <v>500.01</v>
      </c>
      <c r="J319" s="14">
        <v>9999999.9900000002</v>
      </c>
      <c r="K319" s="14" t="s">
        <v>173</v>
      </c>
      <c r="L319" s="14" t="s">
        <v>147</v>
      </c>
      <c r="M319" s="14" t="s">
        <v>154</v>
      </c>
      <c r="P319" s="14" t="s">
        <v>39</v>
      </c>
      <c r="Q319" s="14" t="s">
        <v>25</v>
      </c>
      <c r="R319" s="14" t="s">
        <v>146</v>
      </c>
    </row>
    <row r="320" spans="1:18" s="14" customFormat="1" x14ac:dyDescent="0.25">
      <c r="A320" s="14" t="str">
        <f>"84014"</f>
        <v>84014</v>
      </c>
      <c r="B320" s="14" t="str">
        <f>"07020"</f>
        <v>07020</v>
      </c>
      <c r="C320" s="14" t="str">
        <f>"1700"</f>
        <v>1700</v>
      </c>
      <c r="D320" s="14" t="str">
        <f>"84014"</f>
        <v>84014</v>
      </c>
      <c r="E320" s="14" t="s">
        <v>1550</v>
      </c>
      <c r="F320" s="14" t="s">
        <v>1532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173</v>
      </c>
      <c r="P320" s="14" t="s">
        <v>31</v>
      </c>
      <c r="Q320" s="14" t="s">
        <v>31</v>
      </c>
      <c r="R320" s="14" t="s">
        <v>1551</v>
      </c>
    </row>
    <row r="321" spans="1:18" s="14" customFormat="1" x14ac:dyDescent="0.25">
      <c r="A321" s="14" t="str">
        <f>"84095"</f>
        <v>84095</v>
      </c>
      <c r="B321" s="14" t="str">
        <f>"07020"</f>
        <v>07020</v>
      </c>
      <c r="C321" s="14" t="str">
        <f>"1700"</f>
        <v>1700</v>
      </c>
      <c r="D321" s="14" t="str">
        <f>"84095"</f>
        <v>84095</v>
      </c>
      <c r="E321" s="14" t="s">
        <v>1634</v>
      </c>
      <c r="F321" s="14" t="s">
        <v>1532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801</v>
      </c>
      <c r="L321" s="14" t="s">
        <v>779</v>
      </c>
      <c r="M321" s="14" t="s">
        <v>72</v>
      </c>
      <c r="P321" s="14" t="s">
        <v>31</v>
      </c>
      <c r="Q321" s="14" t="s">
        <v>31</v>
      </c>
      <c r="R321" s="14" t="s">
        <v>801</v>
      </c>
    </row>
    <row r="322" spans="1:18" s="14" customFormat="1" x14ac:dyDescent="0.25">
      <c r="A322" s="14" t="str">
        <f>"84071"</f>
        <v>84071</v>
      </c>
      <c r="B322" s="14" t="str">
        <f>"07020"</f>
        <v>07020</v>
      </c>
      <c r="C322" s="14" t="str">
        <f>"1700"</f>
        <v>1700</v>
      </c>
      <c r="D322" s="14" t="str">
        <f>"84071"</f>
        <v>84071</v>
      </c>
      <c r="E322" s="14" t="s">
        <v>1612</v>
      </c>
      <c r="F322" s="14" t="s">
        <v>1532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890</v>
      </c>
      <c r="L322" s="14" t="s">
        <v>109</v>
      </c>
      <c r="M322" s="14" t="s">
        <v>72</v>
      </c>
      <c r="P322" s="14" t="s">
        <v>31</v>
      </c>
      <c r="Q322" s="14" t="s">
        <v>31</v>
      </c>
      <c r="R322" s="14" t="s">
        <v>890</v>
      </c>
    </row>
    <row r="323" spans="1:18" s="14" customFormat="1" x14ac:dyDescent="0.25">
      <c r="A323" s="14" t="str">
        <f>"84247"</f>
        <v>84247</v>
      </c>
      <c r="B323" s="14" t="str">
        <f>"07020"</f>
        <v>07020</v>
      </c>
      <c r="C323" s="14" t="str">
        <f>"1700"</f>
        <v>1700</v>
      </c>
      <c r="D323" s="14" t="str">
        <f>"84247"</f>
        <v>84247</v>
      </c>
      <c r="E323" s="14" t="s">
        <v>1765</v>
      </c>
      <c r="F323" s="14" t="s">
        <v>1532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824</v>
      </c>
      <c r="L323" s="14" t="s">
        <v>72</v>
      </c>
      <c r="P323" s="14" t="s">
        <v>31</v>
      </c>
      <c r="Q323" s="14" t="s">
        <v>31</v>
      </c>
      <c r="R323" s="14" t="s">
        <v>392</v>
      </c>
    </row>
    <row r="324" spans="1:18" s="14" customFormat="1" x14ac:dyDescent="0.25">
      <c r="A324" s="14" t="str">
        <f>"10001"</f>
        <v>10001</v>
      </c>
      <c r="B324" s="14" t="str">
        <f>"01225"</f>
        <v>01225</v>
      </c>
      <c r="C324" s="14" t="str">
        <f>"1300"</f>
        <v>1300</v>
      </c>
      <c r="D324" s="14" t="str">
        <f>"01225"</f>
        <v>01225</v>
      </c>
      <c r="E324" s="14" t="s">
        <v>20</v>
      </c>
      <c r="F324" s="14" t="s">
        <v>73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50</v>
      </c>
      <c r="L324" s="14" t="s">
        <v>74</v>
      </c>
      <c r="P324" s="14" t="s">
        <v>31</v>
      </c>
      <c r="Q324" s="14" t="s">
        <v>25</v>
      </c>
      <c r="R324" s="14" t="s">
        <v>74</v>
      </c>
    </row>
    <row r="325" spans="1:18" s="14" customFormat="1" x14ac:dyDescent="0.25">
      <c r="A325" s="14" t="str">
        <f>"18090"</f>
        <v>18090</v>
      </c>
      <c r="B325" s="14" t="str">
        <f>"01225"</f>
        <v>01225</v>
      </c>
      <c r="C325" s="14" t="str">
        <f>"1300"</f>
        <v>1300</v>
      </c>
      <c r="D325" s="14" t="str">
        <f>"18090"</f>
        <v>18090</v>
      </c>
      <c r="E325" s="14" t="s">
        <v>665</v>
      </c>
      <c r="F325" s="14" t="s">
        <v>73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50</v>
      </c>
      <c r="L325" s="14" t="s">
        <v>37</v>
      </c>
      <c r="P325" s="14" t="s">
        <v>31</v>
      </c>
      <c r="Q325" s="14" t="s">
        <v>25</v>
      </c>
      <c r="R325" s="14" t="s">
        <v>74</v>
      </c>
    </row>
    <row r="326" spans="1:18" s="14" customFormat="1" x14ac:dyDescent="0.25">
      <c r="A326" s="14" t="str">
        <f>"18100"</f>
        <v>18100</v>
      </c>
      <c r="B326" s="14" t="str">
        <f>"01225"</f>
        <v>01225</v>
      </c>
      <c r="C326" s="14" t="str">
        <f>"1300"</f>
        <v>1300</v>
      </c>
      <c r="D326" s="14" t="str">
        <f>"18100"</f>
        <v>18100</v>
      </c>
      <c r="E326" s="14" t="s">
        <v>669</v>
      </c>
      <c r="F326" s="14" t="s">
        <v>73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50</v>
      </c>
      <c r="L326" s="14" t="s">
        <v>37</v>
      </c>
      <c r="P326" s="14" t="s">
        <v>31</v>
      </c>
      <c r="Q326" s="14" t="s">
        <v>25</v>
      </c>
      <c r="R326" s="14" t="s">
        <v>50</v>
      </c>
    </row>
    <row r="327" spans="1:18" s="14" customFormat="1" x14ac:dyDescent="0.25">
      <c r="A327" s="14" t="str">
        <f>"84185"</f>
        <v>84185</v>
      </c>
      <c r="B327" s="14" t="str">
        <f>"07020"</f>
        <v>07020</v>
      </c>
      <c r="C327" s="14" t="str">
        <f>"1700"</f>
        <v>1700</v>
      </c>
      <c r="D327" s="14" t="str">
        <f>"84185"</f>
        <v>84185</v>
      </c>
      <c r="E327" s="14" t="s">
        <v>1692</v>
      </c>
      <c r="F327" s="14" t="s">
        <v>1532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50</v>
      </c>
      <c r="P327" s="14" t="s">
        <v>31</v>
      </c>
      <c r="Q327" s="14" t="s">
        <v>31</v>
      </c>
      <c r="R327" s="14" t="s">
        <v>74</v>
      </c>
    </row>
    <row r="328" spans="1:18" s="14" customFormat="1" x14ac:dyDescent="0.25">
      <c r="A328" s="14" t="str">
        <f>"10001"</f>
        <v>10001</v>
      </c>
      <c r="B328" s="14" t="str">
        <f>"01660"</f>
        <v>01660</v>
      </c>
      <c r="C328" s="14" t="str">
        <f>"1300"</f>
        <v>1300</v>
      </c>
      <c r="D328" s="14" t="str">
        <f>"01660"</f>
        <v>01660</v>
      </c>
      <c r="E328" s="14" t="s">
        <v>20</v>
      </c>
      <c r="F328" s="14" t="s">
        <v>145</v>
      </c>
      <c r="G328" s="14" t="str">
        <f>""</f>
        <v/>
      </c>
      <c r="H328" s="14" t="str">
        <f>" 10"</f>
        <v xml:space="preserve"> 10</v>
      </c>
      <c r="I328" s="14">
        <v>0.01</v>
      </c>
      <c r="J328" s="14">
        <v>500</v>
      </c>
      <c r="K328" s="14" t="s">
        <v>146</v>
      </c>
      <c r="L328" s="14" t="s">
        <v>147</v>
      </c>
      <c r="P328" s="14" t="s">
        <v>39</v>
      </c>
      <c r="Q328" s="14" t="s">
        <v>25</v>
      </c>
      <c r="R328" s="14" t="s">
        <v>146</v>
      </c>
    </row>
    <row r="329" spans="1:18" s="14" customFormat="1" x14ac:dyDescent="0.25">
      <c r="A329" s="14" t="str">
        <f>"10001"</f>
        <v>10001</v>
      </c>
      <c r="B329" s="14" t="str">
        <f>"01670"</f>
        <v>01670</v>
      </c>
      <c r="C329" s="14" t="str">
        <f>"1100"</f>
        <v>1100</v>
      </c>
      <c r="D329" s="14" t="str">
        <f>"01670"</f>
        <v>01670</v>
      </c>
      <c r="E329" s="14" t="s">
        <v>20</v>
      </c>
      <c r="F329" s="14" t="s">
        <v>151</v>
      </c>
      <c r="G329" s="14" t="str">
        <f>""</f>
        <v/>
      </c>
      <c r="H329" s="14" t="str">
        <f>" 10"</f>
        <v xml:space="preserve"> 10</v>
      </c>
      <c r="I329" s="14">
        <v>0.01</v>
      </c>
      <c r="J329" s="14">
        <v>500</v>
      </c>
      <c r="K329" s="14" t="s">
        <v>146</v>
      </c>
      <c r="L329" s="14" t="s">
        <v>147</v>
      </c>
      <c r="P329" s="14" t="s">
        <v>39</v>
      </c>
      <c r="Q329" s="14" t="s">
        <v>25</v>
      </c>
      <c r="R329" s="14" t="s">
        <v>146</v>
      </c>
    </row>
    <row r="330" spans="1:18" s="14" customFormat="1" x14ac:dyDescent="0.25">
      <c r="A330" s="14" t="str">
        <f>"10001"</f>
        <v>10001</v>
      </c>
      <c r="B330" s="14" t="str">
        <f>"01690"</f>
        <v>01690</v>
      </c>
      <c r="C330" s="14" t="str">
        <f>"1100"</f>
        <v>1100</v>
      </c>
      <c r="D330" s="14" t="str">
        <f>"01690"</f>
        <v>01690</v>
      </c>
      <c r="E330" s="14" t="s">
        <v>20</v>
      </c>
      <c r="F330" s="14" t="s">
        <v>152</v>
      </c>
      <c r="G330" s="14" t="str">
        <f>""</f>
        <v/>
      </c>
      <c r="H330" s="14" t="str">
        <f>" 10"</f>
        <v xml:space="preserve"> 10</v>
      </c>
      <c r="I330" s="14">
        <v>0.01</v>
      </c>
      <c r="J330" s="14">
        <v>500</v>
      </c>
      <c r="K330" s="14" t="s">
        <v>146</v>
      </c>
      <c r="L330" s="14" t="s">
        <v>147</v>
      </c>
      <c r="P330" s="14" t="s">
        <v>39</v>
      </c>
      <c r="Q330" s="14" t="s">
        <v>25</v>
      </c>
      <c r="R330" s="14" t="s">
        <v>146</v>
      </c>
    </row>
    <row r="331" spans="1:18" s="14" customFormat="1" x14ac:dyDescent="0.25">
      <c r="A331" s="14" t="str">
        <f>"10001"</f>
        <v>10001</v>
      </c>
      <c r="B331" s="14" t="str">
        <f>"01695"</f>
        <v>01695</v>
      </c>
      <c r="C331" s="14" t="str">
        <f>"1100"</f>
        <v>1100</v>
      </c>
      <c r="D331" s="14" t="str">
        <f>"01695"</f>
        <v>01695</v>
      </c>
      <c r="E331" s="14" t="s">
        <v>20</v>
      </c>
      <c r="F331" s="14" t="s">
        <v>155</v>
      </c>
      <c r="G331" s="14" t="str">
        <f>""</f>
        <v/>
      </c>
      <c r="H331" s="14" t="str">
        <f>" 10"</f>
        <v xml:space="preserve"> 10</v>
      </c>
      <c r="I331" s="14">
        <v>0.01</v>
      </c>
      <c r="J331" s="14">
        <v>500</v>
      </c>
      <c r="K331" s="14" t="s">
        <v>146</v>
      </c>
      <c r="L331" s="14" t="s">
        <v>147</v>
      </c>
      <c r="M331" s="14" t="s">
        <v>156</v>
      </c>
      <c r="P331" s="14" t="s">
        <v>39</v>
      </c>
      <c r="Q331" s="14" t="s">
        <v>25</v>
      </c>
      <c r="R331" s="14" t="s">
        <v>146</v>
      </c>
    </row>
    <row r="332" spans="1:18" s="14" customFormat="1" x14ac:dyDescent="0.25">
      <c r="A332" s="14" t="str">
        <f>"10001"</f>
        <v>10001</v>
      </c>
      <c r="B332" s="14" t="str">
        <f>"01700"</f>
        <v>01700</v>
      </c>
      <c r="C332" s="14" t="str">
        <f>"1100"</f>
        <v>1100</v>
      </c>
      <c r="D332" s="14" t="str">
        <f>"01700"</f>
        <v>01700</v>
      </c>
      <c r="E332" s="14" t="s">
        <v>20</v>
      </c>
      <c r="F332" s="14" t="s">
        <v>157</v>
      </c>
      <c r="G332" s="14" t="str">
        <f>""</f>
        <v/>
      </c>
      <c r="H332" s="14" t="str">
        <f>" 10"</f>
        <v xml:space="preserve"> 10</v>
      </c>
      <c r="I332" s="14">
        <v>0.01</v>
      </c>
      <c r="J332" s="14">
        <v>500</v>
      </c>
      <c r="K332" s="14" t="s">
        <v>146</v>
      </c>
      <c r="L332" s="14" t="s">
        <v>147</v>
      </c>
      <c r="P332" s="14" t="s">
        <v>39</v>
      </c>
      <c r="Q332" s="14" t="s">
        <v>25</v>
      </c>
      <c r="R332" s="14" t="s">
        <v>146</v>
      </c>
    </row>
    <row r="333" spans="1:18" s="14" customFormat="1" x14ac:dyDescent="0.25">
      <c r="A333" s="14" t="str">
        <f>"10001"</f>
        <v>10001</v>
      </c>
      <c r="B333" s="14" t="str">
        <f>"01705"</f>
        <v>01705</v>
      </c>
      <c r="C333" s="14" t="str">
        <f>"1100"</f>
        <v>1100</v>
      </c>
      <c r="D333" s="14" t="str">
        <f>"01705"</f>
        <v>01705</v>
      </c>
      <c r="E333" s="14" t="s">
        <v>20</v>
      </c>
      <c r="F333" s="14" t="s">
        <v>159</v>
      </c>
      <c r="G333" s="14" t="str">
        <f>""</f>
        <v/>
      </c>
      <c r="H333" s="14" t="str">
        <f>" 10"</f>
        <v xml:space="preserve"> 10</v>
      </c>
      <c r="I333" s="14">
        <v>0.01</v>
      </c>
      <c r="J333" s="14">
        <v>500</v>
      </c>
      <c r="K333" s="14" t="s">
        <v>146</v>
      </c>
      <c r="L333" s="14" t="s">
        <v>147</v>
      </c>
      <c r="P333" s="14" t="s">
        <v>39</v>
      </c>
      <c r="Q333" s="14" t="s">
        <v>25</v>
      </c>
      <c r="R333" s="14" t="s">
        <v>146</v>
      </c>
    </row>
    <row r="334" spans="1:18" s="14" customFormat="1" x14ac:dyDescent="0.25">
      <c r="A334" s="14" t="str">
        <f>"10001"</f>
        <v>10001</v>
      </c>
      <c r="B334" s="14" t="str">
        <f>"01710"</f>
        <v>01710</v>
      </c>
      <c r="C334" s="14" t="str">
        <f>"1100"</f>
        <v>1100</v>
      </c>
      <c r="D334" s="14" t="str">
        <f>"01710"</f>
        <v>01710</v>
      </c>
      <c r="E334" s="14" t="s">
        <v>20</v>
      </c>
      <c r="F334" s="14" t="s">
        <v>161</v>
      </c>
      <c r="G334" s="14" t="str">
        <f>""</f>
        <v/>
      </c>
      <c r="H334" s="14" t="str">
        <f>" 10"</f>
        <v xml:space="preserve"> 10</v>
      </c>
      <c r="I334" s="14">
        <v>0.01</v>
      </c>
      <c r="J334" s="14">
        <v>500</v>
      </c>
      <c r="K334" s="14" t="s">
        <v>146</v>
      </c>
      <c r="L334" s="14" t="s">
        <v>162</v>
      </c>
      <c r="P334" s="14" t="s">
        <v>39</v>
      </c>
      <c r="Q334" s="14" t="s">
        <v>25</v>
      </c>
      <c r="R334" s="14" t="s">
        <v>146</v>
      </c>
    </row>
    <row r="335" spans="1:18" s="14" customFormat="1" x14ac:dyDescent="0.25">
      <c r="A335" s="14" t="str">
        <f>"10001"</f>
        <v>10001</v>
      </c>
      <c r="B335" s="14" t="str">
        <f>"01720"</f>
        <v>01720</v>
      </c>
      <c r="C335" s="14" t="str">
        <f>"1100"</f>
        <v>1100</v>
      </c>
      <c r="D335" s="14" t="str">
        <f>"01720"</f>
        <v>01720</v>
      </c>
      <c r="E335" s="14" t="s">
        <v>20</v>
      </c>
      <c r="F335" s="14" t="s">
        <v>163</v>
      </c>
      <c r="G335" s="14" t="str">
        <f>""</f>
        <v/>
      </c>
      <c r="H335" s="14" t="str">
        <f>" 10"</f>
        <v xml:space="preserve"> 10</v>
      </c>
      <c r="I335" s="14">
        <v>0.01</v>
      </c>
      <c r="J335" s="14">
        <v>500</v>
      </c>
      <c r="K335" s="14" t="s">
        <v>146</v>
      </c>
      <c r="L335" s="14" t="s">
        <v>147</v>
      </c>
      <c r="P335" s="14" t="s">
        <v>39</v>
      </c>
      <c r="Q335" s="14" t="s">
        <v>25</v>
      </c>
      <c r="R335" s="14" t="s">
        <v>146</v>
      </c>
    </row>
    <row r="336" spans="1:18" s="14" customFormat="1" x14ac:dyDescent="0.25">
      <c r="A336" s="14" t="str">
        <f>"10001"</f>
        <v>10001</v>
      </c>
      <c r="B336" s="14" t="str">
        <f>"01760"</f>
        <v>01760</v>
      </c>
      <c r="C336" s="14" t="str">
        <f>"1100"</f>
        <v>1100</v>
      </c>
      <c r="D336" s="14" t="str">
        <f>"01760"</f>
        <v>01760</v>
      </c>
      <c r="E336" s="14" t="s">
        <v>20</v>
      </c>
      <c r="F336" s="14" t="s">
        <v>168</v>
      </c>
      <c r="G336" s="14" t="str">
        <f>""</f>
        <v/>
      </c>
      <c r="H336" s="14" t="str">
        <f>" 10"</f>
        <v xml:space="preserve"> 10</v>
      </c>
      <c r="I336" s="14">
        <v>0.01</v>
      </c>
      <c r="J336" s="14">
        <v>500</v>
      </c>
      <c r="K336" s="14" t="s">
        <v>146</v>
      </c>
      <c r="L336" s="14" t="s">
        <v>147</v>
      </c>
      <c r="P336" s="14" t="s">
        <v>39</v>
      </c>
      <c r="Q336" s="14" t="s">
        <v>25</v>
      </c>
      <c r="R336" s="14" t="s">
        <v>146</v>
      </c>
    </row>
    <row r="337" spans="1:18" s="14" customFormat="1" x14ac:dyDescent="0.25">
      <c r="A337" s="14" t="str">
        <f>"10001"</f>
        <v>10001</v>
      </c>
      <c r="B337" s="14" t="str">
        <f>"01765"</f>
        <v>01765</v>
      </c>
      <c r="C337" s="14" t="str">
        <f>"1100"</f>
        <v>1100</v>
      </c>
      <c r="D337" s="14" t="str">
        <f>"01765"</f>
        <v>01765</v>
      </c>
      <c r="E337" s="14" t="s">
        <v>20</v>
      </c>
      <c r="F337" s="14" t="s">
        <v>170</v>
      </c>
      <c r="G337" s="14" t="str">
        <f>""</f>
        <v/>
      </c>
      <c r="H337" s="14" t="str">
        <f>" 10"</f>
        <v xml:space="preserve"> 10</v>
      </c>
      <c r="I337" s="14">
        <v>0.01</v>
      </c>
      <c r="J337" s="14">
        <v>500</v>
      </c>
      <c r="K337" s="14" t="s">
        <v>146</v>
      </c>
      <c r="L337" s="14" t="s">
        <v>147</v>
      </c>
      <c r="P337" s="14" t="s">
        <v>39</v>
      </c>
      <c r="Q337" s="14" t="s">
        <v>25</v>
      </c>
      <c r="R337" s="14" t="s">
        <v>146</v>
      </c>
    </row>
    <row r="338" spans="1:18" s="14" customFormat="1" x14ac:dyDescent="0.25">
      <c r="A338" s="14" t="str">
        <f>"10001"</f>
        <v>10001</v>
      </c>
      <c r="B338" s="14" t="str">
        <f>"01770"</f>
        <v>01770</v>
      </c>
      <c r="C338" s="14" t="str">
        <f>"1100"</f>
        <v>1100</v>
      </c>
      <c r="D338" s="14" t="str">
        <f>"01770"</f>
        <v>01770</v>
      </c>
      <c r="E338" s="14" t="s">
        <v>20</v>
      </c>
      <c r="F338" s="14" t="s">
        <v>172</v>
      </c>
      <c r="G338" s="14" t="str">
        <f>""</f>
        <v/>
      </c>
      <c r="H338" s="14" t="str">
        <f>" 10"</f>
        <v xml:space="preserve"> 10</v>
      </c>
      <c r="I338" s="14">
        <v>0.01</v>
      </c>
      <c r="J338" s="14">
        <v>500</v>
      </c>
      <c r="K338" s="14" t="s">
        <v>146</v>
      </c>
      <c r="L338" s="14" t="s">
        <v>147</v>
      </c>
      <c r="P338" s="14" t="s">
        <v>39</v>
      </c>
      <c r="Q338" s="14" t="s">
        <v>25</v>
      </c>
      <c r="R338" s="14" t="s">
        <v>146</v>
      </c>
    </row>
    <row r="339" spans="1:18" s="14" customFormat="1" x14ac:dyDescent="0.25">
      <c r="A339" s="14" t="str">
        <f>"10001"</f>
        <v>10001</v>
      </c>
      <c r="B339" s="14" t="str">
        <f>"01775"</f>
        <v>01775</v>
      </c>
      <c r="C339" s="14" t="str">
        <f>"1100"</f>
        <v>1100</v>
      </c>
      <c r="D339" s="14" t="str">
        <f>"01775"</f>
        <v>01775</v>
      </c>
      <c r="E339" s="14" t="s">
        <v>20</v>
      </c>
      <c r="F339" s="14" t="s">
        <v>174</v>
      </c>
      <c r="G339" s="14" t="str">
        <f>""</f>
        <v/>
      </c>
      <c r="H339" s="14" t="str">
        <f>" 10"</f>
        <v xml:space="preserve"> 10</v>
      </c>
      <c r="I339" s="14">
        <v>0.01</v>
      </c>
      <c r="J339" s="14">
        <v>500</v>
      </c>
      <c r="K339" s="14" t="s">
        <v>146</v>
      </c>
      <c r="L339" s="14" t="s">
        <v>147</v>
      </c>
      <c r="P339" s="14" t="s">
        <v>39</v>
      </c>
      <c r="Q339" s="14" t="s">
        <v>25</v>
      </c>
      <c r="R339" s="14" t="s">
        <v>146</v>
      </c>
    </row>
    <row r="340" spans="1:18" s="14" customFormat="1" x14ac:dyDescent="0.25">
      <c r="A340" s="14" t="str">
        <f>"18006"</f>
        <v>18006</v>
      </c>
      <c r="B340" s="14" t="str">
        <f>"01687"</f>
        <v>01687</v>
      </c>
      <c r="C340" s="14" t="str">
        <f>"1600"</f>
        <v>1600</v>
      </c>
      <c r="D340" s="14" t="str">
        <f>"18006"</f>
        <v>18006</v>
      </c>
      <c r="E340" s="14" t="s">
        <v>589</v>
      </c>
      <c r="F340" s="14" t="s">
        <v>590</v>
      </c>
      <c r="G340" s="14" t="str">
        <f>""</f>
        <v/>
      </c>
      <c r="H340" s="14" t="str">
        <f>" 10"</f>
        <v xml:space="preserve"> 10</v>
      </c>
      <c r="I340" s="14">
        <v>0.01</v>
      </c>
      <c r="J340" s="14">
        <v>500</v>
      </c>
      <c r="K340" s="14" t="s">
        <v>146</v>
      </c>
      <c r="L340" s="14" t="s">
        <v>147</v>
      </c>
      <c r="P340" s="14" t="s">
        <v>39</v>
      </c>
      <c r="Q340" s="14" t="s">
        <v>25</v>
      </c>
      <c r="R340" s="14" t="s">
        <v>146</v>
      </c>
    </row>
    <row r="341" spans="1:18" s="14" customFormat="1" x14ac:dyDescent="0.25">
      <c r="A341" s="14" t="str">
        <f>"18010"</f>
        <v>18010</v>
      </c>
      <c r="B341" s="14" t="str">
        <f>"01687"</f>
        <v>01687</v>
      </c>
      <c r="C341" s="14" t="str">
        <f>"1600"</f>
        <v>1600</v>
      </c>
      <c r="D341" s="14" t="str">
        <f>"18010"</f>
        <v>18010</v>
      </c>
      <c r="E341" s="14" t="s">
        <v>595</v>
      </c>
      <c r="F341" s="14" t="s">
        <v>590</v>
      </c>
      <c r="G341" s="14" t="str">
        <f>""</f>
        <v/>
      </c>
      <c r="H341" s="14" t="str">
        <f>" 10"</f>
        <v xml:space="preserve"> 10</v>
      </c>
      <c r="I341" s="14">
        <v>0.01</v>
      </c>
      <c r="J341" s="14">
        <v>500</v>
      </c>
      <c r="K341" s="14" t="s">
        <v>146</v>
      </c>
      <c r="L341" s="14" t="s">
        <v>147</v>
      </c>
      <c r="P341" s="14" t="s">
        <v>39</v>
      </c>
      <c r="Q341" s="14" t="s">
        <v>25</v>
      </c>
      <c r="R341" s="14" t="s">
        <v>146</v>
      </c>
    </row>
    <row r="342" spans="1:18" s="14" customFormat="1" x14ac:dyDescent="0.25">
      <c r="A342" s="14" t="str">
        <f>"18020"</f>
        <v>18020</v>
      </c>
      <c r="B342" s="14" t="str">
        <f>"01660"</f>
        <v>01660</v>
      </c>
      <c r="C342" s="14" t="str">
        <f>"1300"</f>
        <v>1300</v>
      </c>
      <c r="D342" s="14" t="str">
        <f>"18020"</f>
        <v>18020</v>
      </c>
      <c r="E342" s="14" t="s">
        <v>604</v>
      </c>
      <c r="F342" s="14" t="s">
        <v>145</v>
      </c>
      <c r="G342" s="14" t="str">
        <f>""</f>
        <v/>
      </c>
      <c r="H342" s="14" t="str">
        <f>" 10"</f>
        <v xml:space="preserve"> 10</v>
      </c>
      <c r="I342" s="14">
        <v>0.01</v>
      </c>
      <c r="J342" s="14">
        <v>500</v>
      </c>
      <c r="K342" s="14" t="s">
        <v>146</v>
      </c>
      <c r="L342" s="14" t="s">
        <v>147</v>
      </c>
      <c r="P342" s="14" t="s">
        <v>39</v>
      </c>
      <c r="Q342" s="14" t="s">
        <v>25</v>
      </c>
      <c r="R342" s="14" t="s">
        <v>146</v>
      </c>
    </row>
    <row r="343" spans="1:18" s="14" customFormat="1" x14ac:dyDescent="0.25">
      <c r="A343" s="14" t="str">
        <f>"18024"</f>
        <v>18024</v>
      </c>
      <c r="B343" s="14" t="str">
        <f>"01660"</f>
        <v>01660</v>
      </c>
      <c r="C343" s="14" t="str">
        <f>"1300"</f>
        <v>1300</v>
      </c>
      <c r="D343" s="14" t="str">
        <f>"18024"</f>
        <v>18024</v>
      </c>
      <c r="E343" s="14" t="s">
        <v>606</v>
      </c>
      <c r="F343" s="14" t="s">
        <v>145</v>
      </c>
      <c r="G343" s="14" t="str">
        <f>""</f>
        <v/>
      </c>
      <c r="H343" s="14" t="str">
        <f>" 10"</f>
        <v xml:space="preserve"> 10</v>
      </c>
      <c r="I343" s="14">
        <v>0.01</v>
      </c>
      <c r="J343" s="14">
        <v>500</v>
      </c>
      <c r="K343" s="14" t="s">
        <v>146</v>
      </c>
      <c r="L343" s="14" t="s">
        <v>147</v>
      </c>
      <c r="P343" s="14" t="s">
        <v>39</v>
      </c>
      <c r="Q343" s="14" t="s">
        <v>25</v>
      </c>
      <c r="R343" s="14" t="s">
        <v>146</v>
      </c>
    </row>
    <row r="344" spans="1:18" s="14" customFormat="1" x14ac:dyDescent="0.25">
      <c r="A344" s="14" t="str">
        <f>"18049"</f>
        <v>18049</v>
      </c>
      <c r="B344" s="14" t="str">
        <f>"01687"</f>
        <v>01687</v>
      </c>
      <c r="C344" s="14" t="str">
        <f>"1600"</f>
        <v>1600</v>
      </c>
      <c r="D344" s="14" t="str">
        <f>"18049"</f>
        <v>18049</v>
      </c>
      <c r="E344" s="14" t="s">
        <v>614</v>
      </c>
      <c r="F344" s="14" t="s">
        <v>590</v>
      </c>
      <c r="G344" s="14" t="str">
        <f>""</f>
        <v/>
      </c>
      <c r="H344" s="14" t="str">
        <f>" 10"</f>
        <v xml:space="preserve"> 10</v>
      </c>
      <c r="I344" s="14">
        <v>0.01</v>
      </c>
      <c r="J344" s="14">
        <v>500</v>
      </c>
      <c r="K344" s="14" t="s">
        <v>146</v>
      </c>
      <c r="L344" s="14" t="s">
        <v>147</v>
      </c>
      <c r="P344" s="14" t="s">
        <v>39</v>
      </c>
      <c r="Q344" s="14" t="s">
        <v>25</v>
      </c>
      <c r="R344" s="14" t="s">
        <v>146</v>
      </c>
    </row>
    <row r="345" spans="1:18" s="14" customFormat="1" x14ac:dyDescent="0.25">
      <c r="A345" s="14" t="str">
        <f>"18054"</f>
        <v>18054</v>
      </c>
      <c r="B345" s="14" t="str">
        <f>"01662"</f>
        <v>01662</v>
      </c>
      <c r="C345" s="14" t="str">
        <f>"1100"</f>
        <v>1100</v>
      </c>
      <c r="D345" s="14" t="str">
        <f>"01662"</f>
        <v>01662</v>
      </c>
      <c r="E345" s="14" t="s">
        <v>615</v>
      </c>
      <c r="F345" s="14" t="s">
        <v>615</v>
      </c>
      <c r="G345" s="14" t="str">
        <f>""</f>
        <v/>
      </c>
      <c r="H345" s="14" t="str">
        <f>" 10"</f>
        <v xml:space="preserve"> 10</v>
      </c>
      <c r="I345" s="14">
        <v>0.01</v>
      </c>
      <c r="J345" s="14">
        <v>500</v>
      </c>
      <c r="K345" s="14" t="s">
        <v>146</v>
      </c>
      <c r="L345" s="14" t="s">
        <v>147</v>
      </c>
      <c r="P345" s="14" t="s">
        <v>39</v>
      </c>
      <c r="Q345" s="14" t="s">
        <v>25</v>
      </c>
      <c r="R345" s="14" t="s">
        <v>146</v>
      </c>
    </row>
    <row r="346" spans="1:18" s="14" customFormat="1" x14ac:dyDescent="0.25">
      <c r="A346" s="14" t="str">
        <f>"18054"</f>
        <v>18054</v>
      </c>
      <c r="B346" s="14" t="str">
        <f>"01663"</f>
        <v>01663</v>
      </c>
      <c r="C346" s="14" t="str">
        <f>"1100"</f>
        <v>1100</v>
      </c>
      <c r="D346" s="14" t="str">
        <f>"01663"</f>
        <v>01663</v>
      </c>
      <c r="E346" s="14" t="s">
        <v>615</v>
      </c>
      <c r="F346" s="14" t="s">
        <v>616</v>
      </c>
      <c r="G346" s="14" t="str">
        <f>""</f>
        <v/>
      </c>
      <c r="H346" s="14" t="str">
        <f>" 10"</f>
        <v xml:space="preserve"> 10</v>
      </c>
      <c r="I346" s="14">
        <v>0.01</v>
      </c>
      <c r="J346" s="14">
        <v>500</v>
      </c>
      <c r="K346" s="14" t="s">
        <v>146</v>
      </c>
      <c r="L346" s="14" t="s">
        <v>147</v>
      </c>
      <c r="P346" s="14" t="s">
        <v>39</v>
      </c>
      <c r="Q346" s="14" t="s">
        <v>25</v>
      </c>
      <c r="R346" s="14" t="s">
        <v>146</v>
      </c>
    </row>
    <row r="347" spans="1:18" s="14" customFormat="1" x14ac:dyDescent="0.25">
      <c r="A347" s="14" t="str">
        <f>"18054"</f>
        <v>18054</v>
      </c>
      <c r="B347" s="14" t="str">
        <f>"01664"</f>
        <v>01664</v>
      </c>
      <c r="C347" s="14" t="str">
        <f>"1100"</f>
        <v>1100</v>
      </c>
      <c r="D347" s="14" t="str">
        <f>"01664"</f>
        <v>01664</v>
      </c>
      <c r="E347" s="14" t="s">
        <v>615</v>
      </c>
      <c r="F347" s="14" t="s">
        <v>617</v>
      </c>
      <c r="G347" s="14" t="str">
        <f>""</f>
        <v/>
      </c>
      <c r="H347" s="14" t="str">
        <f>" 10"</f>
        <v xml:space="preserve"> 10</v>
      </c>
      <c r="I347" s="14">
        <v>0.01</v>
      </c>
      <c r="J347" s="14">
        <v>500</v>
      </c>
      <c r="K347" s="14" t="s">
        <v>146</v>
      </c>
      <c r="L347" s="14" t="s">
        <v>147</v>
      </c>
      <c r="P347" s="14" t="s">
        <v>39</v>
      </c>
      <c r="Q347" s="14" t="s">
        <v>25</v>
      </c>
      <c r="R347" s="14" t="s">
        <v>146</v>
      </c>
    </row>
    <row r="348" spans="1:18" s="14" customFormat="1" x14ac:dyDescent="0.25">
      <c r="A348" s="14" t="str">
        <f>"18054"</f>
        <v>18054</v>
      </c>
      <c r="B348" s="14" t="str">
        <f>"01665"</f>
        <v>01665</v>
      </c>
      <c r="C348" s="14" t="str">
        <f>"1100"</f>
        <v>1100</v>
      </c>
      <c r="D348" s="14" t="str">
        <f>"01665"</f>
        <v>01665</v>
      </c>
      <c r="E348" s="14" t="s">
        <v>615</v>
      </c>
      <c r="F348" s="14" t="s">
        <v>618</v>
      </c>
      <c r="G348" s="14" t="str">
        <f>""</f>
        <v/>
      </c>
      <c r="H348" s="14" t="str">
        <f>" 10"</f>
        <v xml:space="preserve"> 10</v>
      </c>
      <c r="I348" s="14">
        <v>0.01</v>
      </c>
      <c r="J348" s="14">
        <v>500</v>
      </c>
      <c r="K348" s="14" t="s">
        <v>146</v>
      </c>
      <c r="L348" s="14" t="s">
        <v>147</v>
      </c>
      <c r="P348" s="14" t="s">
        <v>39</v>
      </c>
      <c r="Q348" s="14" t="s">
        <v>25</v>
      </c>
      <c r="R348" s="14" t="s">
        <v>146</v>
      </c>
    </row>
    <row r="349" spans="1:18" s="14" customFormat="1" x14ac:dyDescent="0.25">
      <c r="A349" s="14" t="str">
        <f>"18054"</f>
        <v>18054</v>
      </c>
      <c r="B349" s="14" t="str">
        <f>"01666"</f>
        <v>01666</v>
      </c>
      <c r="C349" s="14" t="str">
        <f>"1100"</f>
        <v>1100</v>
      </c>
      <c r="D349" s="14" t="str">
        <f>"01666"</f>
        <v>01666</v>
      </c>
      <c r="E349" s="14" t="s">
        <v>615</v>
      </c>
      <c r="F349" s="14" t="s">
        <v>619</v>
      </c>
      <c r="G349" s="14" t="str">
        <f>""</f>
        <v/>
      </c>
      <c r="H349" s="14" t="str">
        <f>" 10"</f>
        <v xml:space="preserve"> 10</v>
      </c>
      <c r="I349" s="14">
        <v>0.01</v>
      </c>
      <c r="J349" s="14">
        <v>500</v>
      </c>
      <c r="K349" s="14" t="s">
        <v>146</v>
      </c>
      <c r="L349" s="14" t="s">
        <v>147</v>
      </c>
      <c r="P349" s="14" t="s">
        <v>39</v>
      </c>
      <c r="Q349" s="14" t="s">
        <v>25</v>
      </c>
      <c r="R349" s="14" t="s">
        <v>146</v>
      </c>
    </row>
    <row r="350" spans="1:18" s="14" customFormat="1" x14ac:dyDescent="0.25">
      <c r="A350" s="14" t="str">
        <f>"18054"</f>
        <v>18054</v>
      </c>
      <c r="B350" s="14" t="str">
        <f>"01667"</f>
        <v>01667</v>
      </c>
      <c r="C350" s="14" t="str">
        <f>"1100"</f>
        <v>1100</v>
      </c>
      <c r="D350" s="14" t="str">
        <f>"01667"</f>
        <v>01667</v>
      </c>
      <c r="E350" s="14" t="s">
        <v>615</v>
      </c>
      <c r="F350" s="14" t="s">
        <v>620</v>
      </c>
      <c r="G350" s="14" t="str">
        <f>""</f>
        <v/>
      </c>
      <c r="H350" s="14" t="str">
        <f>" 10"</f>
        <v xml:space="preserve"> 10</v>
      </c>
      <c r="I350" s="14">
        <v>0.01</v>
      </c>
      <c r="J350" s="14">
        <v>500</v>
      </c>
      <c r="K350" s="14" t="s">
        <v>146</v>
      </c>
      <c r="L350" s="14" t="s">
        <v>147</v>
      </c>
      <c r="P350" s="14" t="s">
        <v>39</v>
      </c>
      <c r="Q350" s="14" t="s">
        <v>25</v>
      </c>
      <c r="R350" s="14" t="s">
        <v>146</v>
      </c>
    </row>
    <row r="351" spans="1:18" s="14" customFormat="1" x14ac:dyDescent="0.25">
      <c r="A351" s="14" t="str">
        <f>"18054"</f>
        <v>18054</v>
      </c>
      <c r="B351" s="14" t="str">
        <f>"01668"</f>
        <v>01668</v>
      </c>
      <c r="C351" s="14" t="str">
        <f>"1100"</f>
        <v>1100</v>
      </c>
      <c r="D351" s="14" t="str">
        <f>"01668"</f>
        <v>01668</v>
      </c>
      <c r="E351" s="14" t="s">
        <v>615</v>
      </c>
      <c r="F351" s="14" t="s">
        <v>621</v>
      </c>
      <c r="G351" s="14" t="str">
        <f>""</f>
        <v/>
      </c>
      <c r="H351" s="14" t="str">
        <f>" 10"</f>
        <v xml:space="preserve"> 10</v>
      </c>
      <c r="I351" s="14">
        <v>0.01</v>
      </c>
      <c r="J351" s="14">
        <v>500</v>
      </c>
      <c r="K351" s="14" t="s">
        <v>146</v>
      </c>
      <c r="L351" s="14" t="s">
        <v>147</v>
      </c>
      <c r="P351" s="14" t="s">
        <v>39</v>
      </c>
      <c r="Q351" s="14" t="s">
        <v>25</v>
      </c>
      <c r="R351" s="14" t="s">
        <v>146</v>
      </c>
    </row>
    <row r="352" spans="1:18" s="14" customFormat="1" x14ac:dyDescent="0.25">
      <c r="A352" s="14" t="str">
        <f>"18054"</f>
        <v>18054</v>
      </c>
      <c r="B352" s="14" t="str">
        <f>"01669"</f>
        <v>01669</v>
      </c>
      <c r="C352" s="14" t="str">
        <f>"1100"</f>
        <v>1100</v>
      </c>
      <c r="D352" s="14" t="str">
        <f>"01669"</f>
        <v>01669</v>
      </c>
      <c r="E352" s="14" t="s">
        <v>615</v>
      </c>
      <c r="F352" s="14" t="s">
        <v>622</v>
      </c>
      <c r="G352" s="14" t="str">
        <f>""</f>
        <v/>
      </c>
      <c r="H352" s="14" t="str">
        <f>" 10"</f>
        <v xml:space="preserve"> 10</v>
      </c>
      <c r="I352" s="14">
        <v>0.01</v>
      </c>
      <c r="J352" s="14">
        <v>500</v>
      </c>
      <c r="K352" s="14" t="s">
        <v>146</v>
      </c>
      <c r="L352" s="14" t="s">
        <v>147</v>
      </c>
      <c r="P352" s="14" t="s">
        <v>39</v>
      </c>
      <c r="Q352" s="14" t="s">
        <v>25</v>
      </c>
      <c r="R352" s="14" t="s">
        <v>146</v>
      </c>
    </row>
    <row r="353" spans="1:18" s="14" customFormat="1" x14ac:dyDescent="0.25">
      <c r="A353" s="14" t="str">
        <f>"18054"</f>
        <v>18054</v>
      </c>
      <c r="B353" s="14" t="str">
        <f>"01671"</f>
        <v>01671</v>
      </c>
      <c r="C353" s="14" t="str">
        <f>"1100"</f>
        <v>1100</v>
      </c>
      <c r="D353" s="14" t="str">
        <f>"01671"</f>
        <v>01671</v>
      </c>
      <c r="E353" s="14" t="s">
        <v>615</v>
      </c>
      <c r="F353" s="14" t="s">
        <v>623</v>
      </c>
      <c r="G353" s="14" t="str">
        <f>""</f>
        <v/>
      </c>
      <c r="H353" s="14" t="str">
        <f>" 10"</f>
        <v xml:space="preserve"> 10</v>
      </c>
      <c r="I353" s="14">
        <v>0.01</v>
      </c>
      <c r="J353" s="14">
        <v>500</v>
      </c>
      <c r="K353" s="14" t="s">
        <v>146</v>
      </c>
      <c r="L353" s="14" t="s">
        <v>147</v>
      </c>
      <c r="P353" s="14" t="s">
        <v>39</v>
      </c>
      <c r="Q353" s="14" t="s">
        <v>25</v>
      </c>
      <c r="R353" s="14" t="s">
        <v>146</v>
      </c>
    </row>
    <row r="354" spans="1:18" s="14" customFormat="1" x14ac:dyDescent="0.25">
      <c r="A354" s="14" t="str">
        <f>"18054"</f>
        <v>18054</v>
      </c>
      <c r="B354" s="14" t="str">
        <f>"01672"</f>
        <v>01672</v>
      </c>
      <c r="C354" s="14" t="str">
        <f>"1100"</f>
        <v>1100</v>
      </c>
      <c r="D354" s="14" t="str">
        <f>"01672"</f>
        <v>01672</v>
      </c>
      <c r="E354" s="14" t="s">
        <v>615</v>
      </c>
      <c r="F354" s="14" t="s">
        <v>624</v>
      </c>
      <c r="G354" s="14" t="str">
        <f>""</f>
        <v/>
      </c>
      <c r="H354" s="14" t="str">
        <f>" 10"</f>
        <v xml:space="preserve"> 10</v>
      </c>
      <c r="I354" s="14">
        <v>0.01</v>
      </c>
      <c r="J354" s="14">
        <v>500</v>
      </c>
      <c r="K354" s="14" t="s">
        <v>146</v>
      </c>
      <c r="L354" s="14" t="s">
        <v>147</v>
      </c>
      <c r="P354" s="14" t="s">
        <v>39</v>
      </c>
      <c r="Q354" s="14" t="s">
        <v>25</v>
      </c>
      <c r="R354" s="14" t="s">
        <v>146</v>
      </c>
    </row>
    <row r="355" spans="1:18" s="14" customFormat="1" x14ac:dyDescent="0.25">
      <c r="A355" s="14" t="str">
        <f>"18054"</f>
        <v>18054</v>
      </c>
      <c r="B355" s="14" t="str">
        <f>"01674"</f>
        <v>01674</v>
      </c>
      <c r="C355" s="14" t="str">
        <f>"1100"</f>
        <v>1100</v>
      </c>
      <c r="D355" s="14" t="str">
        <f>"01674"</f>
        <v>01674</v>
      </c>
      <c r="E355" s="14" t="s">
        <v>615</v>
      </c>
      <c r="F355" s="14" t="s">
        <v>625</v>
      </c>
      <c r="G355" s="14" t="str">
        <f>""</f>
        <v/>
      </c>
      <c r="H355" s="14" t="str">
        <f>" 10"</f>
        <v xml:space="preserve"> 10</v>
      </c>
      <c r="I355" s="14">
        <v>0.01</v>
      </c>
      <c r="J355" s="14">
        <v>500</v>
      </c>
      <c r="K355" s="14" t="s">
        <v>146</v>
      </c>
      <c r="L355" s="14" t="s">
        <v>147</v>
      </c>
      <c r="P355" s="14" t="s">
        <v>39</v>
      </c>
      <c r="Q355" s="14" t="s">
        <v>25</v>
      </c>
      <c r="R355" s="14" t="s">
        <v>146</v>
      </c>
    </row>
    <row r="356" spans="1:18" s="14" customFormat="1" x14ac:dyDescent="0.25">
      <c r="A356" s="14" t="str">
        <f>"18054"</f>
        <v>18054</v>
      </c>
      <c r="B356" s="14" t="str">
        <f>"01675"</f>
        <v>01675</v>
      </c>
      <c r="C356" s="14" t="str">
        <f>"1100"</f>
        <v>1100</v>
      </c>
      <c r="D356" s="14" t="str">
        <f>"01675"</f>
        <v>01675</v>
      </c>
      <c r="E356" s="14" t="s">
        <v>615</v>
      </c>
      <c r="F356" s="14" t="s">
        <v>626</v>
      </c>
      <c r="G356" s="14" t="str">
        <f>""</f>
        <v/>
      </c>
      <c r="H356" s="14" t="str">
        <f>" 10"</f>
        <v xml:space="preserve"> 10</v>
      </c>
      <c r="I356" s="14">
        <v>0.01</v>
      </c>
      <c r="J356" s="14">
        <v>500</v>
      </c>
      <c r="K356" s="14" t="s">
        <v>146</v>
      </c>
      <c r="L356" s="14" t="s">
        <v>147</v>
      </c>
      <c r="P356" s="14" t="s">
        <v>39</v>
      </c>
      <c r="Q356" s="14" t="s">
        <v>25</v>
      </c>
      <c r="R356" s="14" t="s">
        <v>146</v>
      </c>
    </row>
    <row r="357" spans="1:18" s="14" customFormat="1" x14ac:dyDescent="0.25">
      <c r="A357" s="14" t="str">
        <f>"18054"</f>
        <v>18054</v>
      </c>
      <c r="B357" s="14" t="str">
        <f>"01676"</f>
        <v>01676</v>
      </c>
      <c r="C357" s="14" t="str">
        <f>"1100"</f>
        <v>1100</v>
      </c>
      <c r="D357" s="14" t="str">
        <f>"01676"</f>
        <v>01676</v>
      </c>
      <c r="E357" s="14" t="s">
        <v>615</v>
      </c>
      <c r="F357" s="14" t="s">
        <v>627</v>
      </c>
      <c r="G357" s="14" t="str">
        <f>""</f>
        <v/>
      </c>
      <c r="H357" s="14" t="str">
        <f>" 10"</f>
        <v xml:space="preserve"> 10</v>
      </c>
      <c r="I357" s="14">
        <v>0.01</v>
      </c>
      <c r="J357" s="14">
        <v>500</v>
      </c>
      <c r="K357" s="14" t="s">
        <v>146</v>
      </c>
      <c r="L357" s="14" t="s">
        <v>147</v>
      </c>
      <c r="P357" s="14" t="s">
        <v>39</v>
      </c>
      <c r="Q357" s="14" t="s">
        <v>25</v>
      </c>
      <c r="R357" s="14" t="s">
        <v>146</v>
      </c>
    </row>
    <row r="358" spans="1:18" s="14" customFormat="1" x14ac:dyDescent="0.25">
      <c r="A358" s="14" t="str">
        <f>"18054"</f>
        <v>18054</v>
      </c>
      <c r="B358" s="14" t="str">
        <f>"01678"</f>
        <v>01678</v>
      </c>
      <c r="C358" s="14" t="str">
        <f>"1100"</f>
        <v>1100</v>
      </c>
      <c r="D358" s="14" t="str">
        <f>"01678"</f>
        <v>01678</v>
      </c>
      <c r="E358" s="14" t="s">
        <v>615</v>
      </c>
      <c r="F358" s="14" t="s">
        <v>628</v>
      </c>
      <c r="G358" s="14" t="str">
        <f>""</f>
        <v/>
      </c>
      <c r="H358" s="14" t="str">
        <f>" 10"</f>
        <v xml:space="preserve"> 10</v>
      </c>
      <c r="I358" s="14">
        <v>0.01</v>
      </c>
      <c r="J358" s="14">
        <v>500</v>
      </c>
      <c r="K358" s="14" t="s">
        <v>146</v>
      </c>
      <c r="L358" s="14" t="s">
        <v>147</v>
      </c>
      <c r="P358" s="14" t="s">
        <v>39</v>
      </c>
      <c r="Q358" s="14" t="s">
        <v>25</v>
      </c>
      <c r="R358" s="14" t="s">
        <v>146</v>
      </c>
    </row>
    <row r="359" spans="1:18" s="14" customFormat="1" x14ac:dyDescent="0.25">
      <c r="A359" s="14" t="str">
        <f>"18054"</f>
        <v>18054</v>
      </c>
      <c r="B359" s="14" t="str">
        <f>"01679"</f>
        <v>01679</v>
      </c>
      <c r="C359" s="14" t="str">
        <f>"1100"</f>
        <v>1100</v>
      </c>
      <c r="D359" s="14" t="str">
        <f>"01679"</f>
        <v>01679</v>
      </c>
      <c r="E359" s="14" t="s">
        <v>615</v>
      </c>
      <c r="F359" s="14" t="s">
        <v>629</v>
      </c>
      <c r="G359" s="14" t="str">
        <f>""</f>
        <v/>
      </c>
      <c r="H359" s="14" t="str">
        <f>" 10"</f>
        <v xml:space="preserve"> 10</v>
      </c>
      <c r="I359" s="14">
        <v>0.01</v>
      </c>
      <c r="J359" s="14">
        <v>500</v>
      </c>
      <c r="K359" s="14" t="s">
        <v>146</v>
      </c>
      <c r="L359" s="14" t="s">
        <v>147</v>
      </c>
      <c r="P359" s="14" t="s">
        <v>39</v>
      </c>
      <c r="Q359" s="14" t="s">
        <v>25</v>
      </c>
      <c r="R359" s="14" t="s">
        <v>146</v>
      </c>
    </row>
    <row r="360" spans="1:18" s="14" customFormat="1" x14ac:dyDescent="0.25">
      <c r="A360" s="14" t="str">
        <f>"18054"</f>
        <v>18054</v>
      </c>
      <c r="B360" s="14" t="str">
        <f>"01681"</f>
        <v>01681</v>
      </c>
      <c r="C360" s="14" t="str">
        <f>"1100"</f>
        <v>1100</v>
      </c>
      <c r="D360" s="14" t="str">
        <f>"01681"</f>
        <v>01681</v>
      </c>
      <c r="E360" s="14" t="s">
        <v>615</v>
      </c>
      <c r="F360" s="14" t="s">
        <v>630</v>
      </c>
      <c r="G360" s="14" t="str">
        <f>""</f>
        <v/>
      </c>
      <c r="H360" s="14" t="str">
        <f>" 10"</f>
        <v xml:space="preserve"> 10</v>
      </c>
      <c r="I360" s="14">
        <v>0.01</v>
      </c>
      <c r="J360" s="14">
        <v>500</v>
      </c>
      <c r="K360" s="14" t="s">
        <v>146</v>
      </c>
      <c r="L360" s="14" t="s">
        <v>147</v>
      </c>
      <c r="P360" s="14" t="s">
        <v>39</v>
      </c>
      <c r="Q360" s="14" t="s">
        <v>25</v>
      </c>
      <c r="R360" s="14" t="s">
        <v>146</v>
      </c>
    </row>
    <row r="361" spans="1:18" s="14" customFormat="1" x14ac:dyDescent="0.25">
      <c r="A361" s="14" t="str">
        <f>"18054"</f>
        <v>18054</v>
      </c>
      <c r="B361" s="14" t="str">
        <f>"01683"</f>
        <v>01683</v>
      </c>
      <c r="C361" s="14" t="str">
        <f>"1100"</f>
        <v>1100</v>
      </c>
      <c r="D361" s="14" t="str">
        <f>"01683"</f>
        <v>01683</v>
      </c>
      <c r="E361" s="14" t="s">
        <v>615</v>
      </c>
      <c r="F361" s="14" t="s">
        <v>631</v>
      </c>
      <c r="G361" s="14" t="str">
        <f>""</f>
        <v/>
      </c>
      <c r="H361" s="14" t="str">
        <f>" 10"</f>
        <v xml:space="preserve"> 10</v>
      </c>
      <c r="I361" s="14">
        <v>0.01</v>
      </c>
      <c r="J361" s="14">
        <v>500</v>
      </c>
      <c r="K361" s="14" t="s">
        <v>146</v>
      </c>
      <c r="L361" s="14" t="s">
        <v>147</v>
      </c>
      <c r="P361" s="14" t="s">
        <v>39</v>
      </c>
      <c r="Q361" s="14" t="s">
        <v>25</v>
      </c>
      <c r="R361" s="14" t="s">
        <v>146</v>
      </c>
    </row>
    <row r="362" spans="1:18" s="14" customFormat="1" x14ac:dyDescent="0.25">
      <c r="A362" s="14" t="str">
        <f>"18054"</f>
        <v>18054</v>
      </c>
      <c r="B362" s="14" t="str">
        <f>"01684"</f>
        <v>01684</v>
      </c>
      <c r="C362" s="14" t="str">
        <f>"1100"</f>
        <v>1100</v>
      </c>
      <c r="D362" s="14" t="str">
        <f>"01684"</f>
        <v>01684</v>
      </c>
      <c r="E362" s="14" t="s">
        <v>615</v>
      </c>
      <c r="F362" s="14" t="s">
        <v>632</v>
      </c>
      <c r="G362" s="14" t="str">
        <f>""</f>
        <v/>
      </c>
      <c r="H362" s="14" t="str">
        <f>" 10"</f>
        <v xml:space="preserve"> 10</v>
      </c>
      <c r="I362" s="14">
        <v>0.01</v>
      </c>
      <c r="J362" s="14">
        <v>500</v>
      </c>
      <c r="K362" s="14" t="s">
        <v>146</v>
      </c>
      <c r="L362" s="14" t="s">
        <v>147</v>
      </c>
      <c r="P362" s="14" t="s">
        <v>39</v>
      </c>
      <c r="Q362" s="14" t="s">
        <v>25</v>
      </c>
      <c r="R362" s="14" t="s">
        <v>146</v>
      </c>
    </row>
    <row r="363" spans="1:18" s="14" customFormat="1" x14ac:dyDescent="0.25">
      <c r="A363" s="14" t="str">
        <f>"18054"</f>
        <v>18054</v>
      </c>
      <c r="B363" s="14" t="str">
        <f>"01685"</f>
        <v>01685</v>
      </c>
      <c r="C363" s="14" t="str">
        <f>"1100"</f>
        <v>1100</v>
      </c>
      <c r="D363" s="14" t="str">
        <f>"01685"</f>
        <v>01685</v>
      </c>
      <c r="E363" s="14" t="s">
        <v>615</v>
      </c>
      <c r="F363" s="14" t="s">
        <v>633</v>
      </c>
      <c r="G363" s="14" t="str">
        <f>""</f>
        <v/>
      </c>
      <c r="H363" s="14" t="str">
        <f>" 10"</f>
        <v xml:space="preserve"> 10</v>
      </c>
      <c r="I363" s="14">
        <v>0.01</v>
      </c>
      <c r="J363" s="14">
        <v>500</v>
      </c>
      <c r="K363" s="14" t="s">
        <v>146</v>
      </c>
      <c r="L363" s="14" t="s">
        <v>147</v>
      </c>
      <c r="P363" s="14" t="s">
        <v>39</v>
      </c>
      <c r="Q363" s="14" t="s">
        <v>25</v>
      </c>
      <c r="R363" s="14" t="s">
        <v>146</v>
      </c>
    </row>
    <row r="364" spans="1:18" s="14" customFormat="1" x14ac:dyDescent="0.25">
      <c r="A364" s="14" t="str">
        <f>"18054"</f>
        <v>18054</v>
      </c>
      <c r="B364" s="14" t="str">
        <f>"01688"</f>
        <v>01688</v>
      </c>
      <c r="C364" s="14" t="str">
        <f>"1100"</f>
        <v>1100</v>
      </c>
      <c r="D364" s="14" t="str">
        <f>"01688"</f>
        <v>01688</v>
      </c>
      <c r="E364" s="14" t="s">
        <v>615</v>
      </c>
      <c r="F364" s="14" t="s">
        <v>634</v>
      </c>
      <c r="G364" s="14" t="str">
        <f>""</f>
        <v/>
      </c>
      <c r="H364" s="14" t="str">
        <f>" 10"</f>
        <v xml:space="preserve"> 10</v>
      </c>
      <c r="I364" s="14">
        <v>0.01</v>
      </c>
      <c r="J364" s="14">
        <v>500</v>
      </c>
      <c r="K364" s="14" t="s">
        <v>146</v>
      </c>
      <c r="L364" s="14" t="s">
        <v>147</v>
      </c>
      <c r="P364" s="14" t="s">
        <v>39</v>
      </c>
      <c r="Q364" s="14" t="s">
        <v>25</v>
      </c>
      <c r="R364" s="14" t="s">
        <v>146</v>
      </c>
    </row>
    <row r="365" spans="1:18" s="14" customFormat="1" x14ac:dyDescent="0.25">
      <c r="A365" s="14" t="str">
        <f>"18054"</f>
        <v>18054</v>
      </c>
      <c r="B365" s="14" t="str">
        <f>"01691"</f>
        <v>01691</v>
      </c>
      <c r="C365" s="14" t="str">
        <f>"1100"</f>
        <v>1100</v>
      </c>
      <c r="D365" s="14" t="str">
        <f>"01691"</f>
        <v>01691</v>
      </c>
      <c r="E365" s="14" t="s">
        <v>615</v>
      </c>
      <c r="F365" s="14" t="s">
        <v>635</v>
      </c>
      <c r="G365" s="14" t="str">
        <f>""</f>
        <v/>
      </c>
      <c r="H365" s="14" t="str">
        <f>" 10"</f>
        <v xml:space="preserve"> 10</v>
      </c>
      <c r="I365" s="14">
        <v>0.01</v>
      </c>
      <c r="J365" s="14">
        <v>500</v>
      </c>
      <c r="K365" s="14" t="s">
        <v>146</v>
      </c>
      <c r="L365" s="14" t="s">
        <v>147</v>
      </c>
      <c r="P365" s="14" t="s">
        <v>39</v>
      </c>
      <c r="Q365" s="14" t="s">
        <v>25</v>
      </c>
      <c r="R365" s="14" t="s">
        <v>146</v>
      </c>
    </row>
    <row r="366" spans="1:18" s="14" customFormat="1" x14ac:dyDescent="0.25">
      <c r="A366" s="14" t="str">
        <f>"18054"</f>
        <v>18054</v>
      </c>
      <c r="B366" s="14" t="str">
        <f>"01692"</f>
        <v>01692</v>
      </c>
      <c r="C366" s="14" t="str">
        <f>"1100"</f>
        <v>1100</v>
      </c>
      <c r="D366" s="14" t="str">
        <f>"01692"</f>
        <v>01692</v>
      </c>
      <c r="E366" s="14" t="s">
        <v>615</v>
      </c>
      <c r="F366" s="14" t="s">
        <v>636</v>
      </c>
      <c r="G366" s="14" t="str">
        <f>""</f>
        <v/>
      </c>
      <c r="H366" s="14" t="str">
        <f>" 10"</f>
        <v xml:space="preserve"> 10</v>
      </c>
      <c r="I366" s="14">
        <v>0.01</v>
      </c>
      <c r="J366" s="14">
        <v>500</v>
      </c>
      <c r="K366" s="14" t="s">
        <v>146</v>
      </c>
      <c r="L366" s="14" t="s">
        <v>147</v>
      </c>
      <c r="P366" s="14" t="s">
        <v>39</v>
      </c>
      <c r="Q366" s="14" t="s">
        <v>25</v>
      </c>
      <c r="R366" s="14" t="s">
        <v>146</v>
      </c>
    </row>
    <row r="367" spans="1:18" s="14" customFormat="1" x14ac:dyDescent="0.25">
      <c r="A367" s="14" t="str">
        <f>"18054"</f>
        <v>18054</v>
      </c>
      <c r="B367" s="14" t="str">
        <f>"01696"</f>
        <v>01696</v>
      </c>
      <c r="C367" s="14" t="str">
        <f>"1100"</f>
        <v>1100</v>
      </c>
      <c r="D367" s="14" t="str">
        <f>"01696"</f>
        <v>01696</v>
      </c>
      <c r="E367" s="14" t="s">
        <v>615</v>
      </c>
      <c r="F367" s="14" t="s">
        <v>637</v>
      </c>
      <c r="G367" s="14" t="str">
        <f>""</f>
        <v/>
      </c>
      <c r="H367" s="14" t="str">
        <f>" 10"</f>
        <v xml:space="preserve"> 10</v>
      </c>
      <c r="I367" s="14">
        <v>0.01</v>
      </c>
      <c r="J367" s="14">
        <v>500</v>
      </c>
      <c r="K367" s="14" t="s">
        <v>146</v>
      </c>
      <c r="L367" s="14" t="s">
        <v>147</v>
      </c>
      <c r="P367" s="14" t="s">
        <v>39</v>
      </c>
      <c r="Q367" s="14" t="s">
        <v>25</v>
      </c>
      <c r="R367" s="14" t="s">
        <v>146</v>
      </c>
    </row>
    <row r="368" spans="1:18" s="14" customFormat="1" x14ac:dyDescent="0.25">
      <c r="A368" s="14" t="str">
        <f>"18054"</f>
        <v>18054</v>
      </c>
      <c r="B368" s="14" t="str">
        <f>"01697"</f>
        <v>01697</v>
      </c>
      <c r="C368" s="14" t="str">
        <f>"1100"</f>
        <v>1100</v>
      </c>
      <c r="D368" s="14" t="str">
        <f>"01697"</f>
        <v>01697</v>
      </c>
      <c r="E368" s="14" t="s">
        <v>615</v>
      </c>
      <c r="F368" s="14" t="s">
        <v>638</v>
      </c>
      <c r="G368" s="14" t="str">
        <f>""</f>
        <v/>
      </c>
      <c r="H368" s="14" t="str">
        <f>" 10"</f>
        <v xml:space="preserve"> 10</v>
      </c>
      <c r="I368" s="14">
        <v>0.01</v>
      </c>
      <c r="J368" s="14">
        <v>500</v>
      </c>
      <c r="K368" s="14" t="s">
        <v>146</v>
      </c>
      <c r="L368" s="14" t="s">
        <v>147</v>
      </c>
      <c r="P368" s="14" t="s">
        <v>39</v>
      </c>
      <c r="Q368" s="14" t="s">
        <v>25</v>
      </c>
      <c r="R368" s="14" t="s">
        <v>146</v>
      </c>
    </row>
    <row r="369" spans="1:18" s="14" customFormat="1" x14ac:dyDescent="0.25">
      <c r="A369" s="14" t="str">
        <f>"18054"</f>
        <v>18054</v>
      </c>
      <c r="B369" s="14" t="str">
        <f>"01699"</f>
        <v>01699</v>
      </c>
      <c r="C369" s="14" t="str">
        <f>"1100"</f>
        <v>1100</v>
      </c>
      <c r="D369" s="14" t="str">
        <f>"01699"</f>
        <v>01699</v>
      </c>
      <c r="E369" s="14" t="s">
        <v>615</v>
      </c>
      <c r="F369" s="14" t="s">
        <v>639</v>
      </c>
      <c r="G369" s="14" t="str">
        <f>""</f>
        <v/>
      </c>
      <c r="H369" s="14" t="str">
        <f>" 10"</f>
        <v xml:space="preserve"> 10</v>
      </c>
      <c r="I369" s="14">
        <v>0.01</v>
      </c>
      <c r="J369" s="14">
        <v>500</v>
      </c>
      <c r="K369" s="14" t="s">
        <v>146</v>
      </c>
      <c r="L369" s="14" t="s">
        <v>147</v>
      </c>
      <c r="P369" s="14" t="s">
        <v>39</v>
      </c>
      <c r="Q369" s="14" t="s">
        <v>25</v>
      </c>
      <c r="R369" s="14" t="s">
        <v>146</v>
      </c>
    </row>
    <row r="370" spans="1:18" s="14" customFormat="1" x14ac:dyDescent="0.25">
      <c r="A370" s="14" t="str">
        <f>"18054"</f>
        <v>18054</v>
      </c>
      <c r="B370" s="14" t="str">
        <f>"01712"</f>
        <v>01712</v>
      </c>
      <c r="C370" s="14" t="str">
        <f>"1100"</f>
        <v>1100</v>
      </c>
      <c r="D370" s="14" t="str">
        <f>"01712"</f>
        <v>01712</v>
      </c>
      <c r="E370" s="14" t="s">
        <v>615</v>
      </c>
      <c r="F370" s="14" t="s">
        <v>640</v>
      </c>
      <c r="G370" s="14" t="str">
        <f>""</f>
        <v/>
      </c>
      <c r="H370" s="14" t="str">
        <f>" 10"</f>
        <v xml:space="preserve"> 10</v>
      </c>
      <c r="I370" s="14">
        <v>0.01</v>
      </c>
      <c r="J370" s="14">
        <v>500</v>
      </c>
      <c r="K370" s="14" t="s">
        <v>146</v>
      </c>
      <c r="L370" s="14" t="s">
        <v>147</v>
      </c>
      <c r="P370" s="14" t="s">
        <v>39</v>
      </c>
      <c r="Q370" s="14" t="s">
        <v>25</v>
      </c>
      <c r="R370" s="14" t="s">
        <v>146</v>
      </c>
    </row>
    <row r="371" spans="1:18" s="14" customFormat="1" x14ac:dyDescent="0.25">
      <c r="A371" s="14" t="str">
        <f>"18054"</f>
        <v>18054</v>
      </c>
      <c r="B371" s="14" t="str">
        <f>"01713"</f>
        <v>01713</v>
      </c>
      <c r="C371" s="14" t="str">
        <f>"1100"</f>
        <v>1100</v>
      </c>
      <c r="D371" s="14" t="str">
        <f>"01713"</f>
        <v>01713</v>
      </c>
      <c r="E371" s="14" t="s">
        <v>615</v>
      </c>
      <c r="F371" s="14" t="s">
        <v>641</v>
      </c>
      <c r="G371" s="14" t="str">
        <f>""</f>
        <v/>
      </c>
      <c r="H371" s="14" t="str">
        <f>" 10"</f>
        <v xml:space="preserve"> 10</v>
      </c>
      <c r="I371" s="14">
        <v>0.01</v>
      </c>
      <c r="J371" s="14">
        <v>500</v>
      </c>
      <c r="K371" s="14" t="s">
        <v>146</v>
      </c>
      <c r="L371" s="14" t="s">
        <v>147</v>
      </c>
      <c r="P371" s="14" t="s">
        <v>39</v>
      </c>
      <c r="Q371" s="14" t="s">
        <v>25</v>
      </c>
      <c r="R371" s="14" t="s">
        <v>146</v>
      </c>
    </row>
    <row r="372" spans="1:18" s="14" customFormat="1" x14ac:dyDescent="0.25">
      <c r="A372" s="14" t="str">
        <f>"18054"</f>
        <v>18054</v>
      </c>
      <c r="B372" s="14" t="str">
        <f>"01714"</f>
        <v>01714</v>
      </c>
      <c r="C372" s="14" t="str">
        <f>"1100"</f>
        <v>1100</v>
      </c>
      <c r="D372" s="14" t="str">
        <f>"01714"</f>
        <v>01714</v>
      </c>
      <c r="E372" s="14" t="s">
        <v>615</v>
      </c>
      <c r="F372" s="14" t="s">
        <v>642</v>
      </c>
      <c r="G372" s="14" t="str">
        <f>""</f>
        <v/>
      </c>
      <c r="H372" s="14" t="str">
        <f>" 10"</f>
        <v xml:space="preserve"> 10</v>
      </c>
      <c r="I372" s="14">
        <v>0.01</v>
      </c>
      <c r="J372" s="14">
        <v>500</v>
      </c>
      <c r="K372" s="14" t="s">
        <v>146</v>
      </c>
      <c r="L372" s="14" t="s">
        <v>147</v>
      </c>
      <c r="P372" s="14" t="s">
        <v>39</v>
      </c>
      <c r="Q372" s="14" t="s">
        <v>25</v>
      </c>
      <c r="R372" s="14" t="s">
        <v>146</v>
      </c>
    </row>
    <row r="373" spans="1:18" s="14" customFormat="1" x14ac:dyDescent="0.25">
      <c r="A373" s="14" t="str">
        <f>"18054"</f>
        <v>18054</v>
      </c>
      <c r="B373" s="14" t="str">
        <f>"01715"</f>
        <v>01715</v>
      </c>
      <c r="C373" s="14" t="str">
        <f>"1100"</f>
        <v>1100</v>
      </c>
      <c r="D373" s="14" t="str">
        <f>"01715"</f>
        <v>01715</v>
      </c>
      <c r="E373" s="14" t="s">
        <v>615</v>
      </c>
      <c r="F373" s="14" t="s">
        <v>643</v>
      </c>
      <c r="G373" s="14" t="str">
        <f>""</f>
        <v/>
      </c>
      <c r="H373" s="14" t="str">
        <f>" 10"</f>
        <v xml:space="preserve"> 10</v>
      </c>
      <c r="I373" s="14">
        <v>0.01</v>
      </c>
      <c r="J373" s="14">
        <v>500</v>
      </c>
      <c r="K373" s="14" t="s">
        <v>146</v>
      </c>
      <c r="L373" s="14" t="s">
        <v>147</v>
      </c>
      <c r="P373" s="14" t="s">
        <v>39</v>
      </c>
      <c r="Q373" s="14" t="s">
        <v>25</v>
      </c>
      <c r="R373" s="14" t="s">
        <v>146</v>
      </c>
    </row>
    <row r="374" spans="1:18" s="14" customFormat="1" x14ac:dyDescent="0.25">
      <c r="A374" s="14" t="str">
        <f>"18054"</f>
        <v>18054</v>
      </c>
      <c r="B374" s="14" t="str">
        <f>"01716"</f>
        <v>01716</v>
      </c>
      <c r="C374" s="14" t="str">
        <f>"1100"</f>
        <v>1100</v>
      </c>
      <c r="D374" s="14" t="str">
        <f>"01716"</f>
        <v>01716</v>
      </c>
      <c r="E374" s="14" t="s">
        <v>615</v>
      </c>
      <c r="F374" s="14" t="s">
        <v>644</v>
      </c>
      <c r="G374" s="14" t="str">
        <f>""</f>
        <v/>
      </c>
      <c r="H374" s="14" t="str">
        <f>" 10"</f>
        <v xml:space="preserve"> 10</v>
      </c>
      <c r="I374" s="14">
        <v>0.01</v>
      </c>
      <c r="J374" s="14">
        <v>500</v>
      </c>
      <c r="K374" s="14" t="s">
        <v>146</v>
      </c>
      <c r="L374" s="14" t="s">
        <v>147</v>
      </c>
      <c r="P374" s="14" t="s">
        <v>39</v>
      </c>
      <c r="Q374" s="14" t="s">
        <v>25</v>
      </c>
      <c r="R374" s="14" t="s">
        <v>146</v>
      </c>
    </row>
    <row r="375" spans="1:18" s="14" customFormat="1" x14ac:dyDescent="0.25">
      <c r="A375" s="14" t="str">
        <f>"18054"</f>
        <v>18054</v>
      </c>
      <c r="B375" s="14" t="str">
        <f>"01717"</f>
        <v>01717</v>
      </c>
      <c r="C375" s="14" t="str">
        <f>"1100"</f>
        <v>1100</v>
      </c>
      <c r="D375" s="14" t="str">
        <f>"01717"</f>
        <v>01717</v>
      </c>
      <c r="E375" s="14" t="s">
        <v>615</v>
      </c>
      <c r="F375" s="14" t="s">
        <v>645</v>
      </c>
      <c r="G375" s="14" t="str">
        <f>""</f>
        <v/>
      </c>
      <c r="H375" s="14" t="str">
        <f>" 10"</f>
        <v xml:space="preserve"> 10</v>
      </c>
      <c r="I375" s="14">
        <v>0.01</v>
      </c>
      <c r="J375" s="14">
        <v>500</v>
      </c>
      <c r="K375" s="14" t="s">
        <v>146</v>
      </c>
      <c r="L375" s="14" t="s">
        <v>147</v>
      </c>
      <c r="P375" s="14" t="s">
        <v>39</v>
      </c>
      <c r="Q375" s="14" t="s">
        <v>25</v>
      </c>
      <c r="R375" s="14" t="s">
        <v>146</v>
      </c>
    </row>
    <row r="376" spans="1:18" s="14" customFormat="1" x14ac:dyDescent="0.25">
      <c r="A376" s="14" t="str">
        <f>"18076"</f>
        <v>18076</v>
      </c>
      <c r="B376" s="14" t="str">
        <f>"01687"</f>
        <v>01687</v>
      </c>
      <c r="C376" s="14" t="str">
        <f>"1600"</f>
        <v>1600</v>
      </c>
      <c r="D376" s="14" t="str">
        <f>"18076"</f>
        <v>18076</v>
      </c>
      <c r="E376" s="14" t="s">
        <v>658</v>
      </c>
      <c r="F376" s="14" t="s">
        <v>590</v>
      </c>
      <c r="G376" s="14" t="str">
        <f>"GN0018076"</f>
        <v>GN0018076</v>
      </c>
      <c r="H376" s="14" t="str">
        <f>" 10"</f>
        <v xml:space="preserve"> 10</v>
      </c>
      <c r="I376" s="14">
        <v>0.01</v>
      </c>
      <c r="J376" s="14">
        <v>500</v>
      </c>
      <c r="K376" s="14" t="s">
        <v>146</v>
      </c>
      <c r="L376" s="14" t="s">
        <v>147</v>
      </c>
      <c r="P376" s="14" t="s">
        <v>39</v>
      </c>
      <c r="Q376" s="14" t="s">
        <v>25</v>
      </c>
      <c r="R376" s="14" t="s">
        <v>146</v>
      </c>
    </row>
    <row r="377" spans="1:18" s="14" customFormat="1" x14ac:dyDescent="0.25">
      <c r="A377" s="14" t="str">
        <f>"18081"</f>
        <v>18081</v>
      </c>
      <c r="B377" s="14" t="str">
        <f>"01670"</f>
        <v>01670</v>
      </c>
      <c r="C377" s="14" t="str">
        <f>"1600"</f>
        <v>1600</v>
      </c>
      <c r="D377" s="14" t="str">
        <f>"18081"</f>
        <v>18081</v>
      </c>
      <c r="E377" s="14" t="s">
        <v>660</v>
      </c>
      <c r="F377" s="14" t="s">
        <v>151</v>
      </c>
      <c r="G377" s="14" t="str">
        <f>""</f>
        <v/>
      </c>
      <c r="H377" s="14" t="str">
        <f>" 10"</f>
        <v xml:space="preserve"> 10</v>
      </c>
      <c r="I377" s="14">
        <v>0.01</v>
      </c>
      <c r="J377" s="14">
        <v>500</v>
      </c>
      <c r="K377" s="14" t="s">
        <v>146</v>
      </c>
      <c r="L377" s="14" t="s">
        <v>147</v>
      </c>
      <c r="P377" s="14" t="s">
        <v>39</v>
      </c>
      <c r="Q377" s="14" t="s">
        <v>25</v>
      </c>
      <c r="R377" s="14" t="s">
        <v>146</v>
      </c>
    </row>
    <row r="378" spans="1:18" s="14" customFormat="1" x14ac:dyDescent="0.25">
      <c r="A378" s="14" t="str">
        <f>"18102"</f>
        <v>18102</v>
      </c>
      <c r="B378" s="14" t="str">
        <f>"01687"</f>
        <v>01687</v>
      </c>
      <c r="C378" s="14" t="str">
        <f>"1600"</f>
        <v>1600</v>
      </c>
      <c r="D378" s="14" t="str">
        <f>"18102"</f>
        <v>18102</v>
      </c>
      <c r="E378" s="14" t="s">
        <v>671</v>
      </c>
      <c r="F378" s="14" t="s">
        <v>590</v>
      </c>
      <c r="G378" s="14" t="str">
        <f>""</f>
        <v/>
      </c>
      <c r="H378" s="14" t="str">
        <f>" 10"</f>
        <v xml:space="preserve"> 10</v>
      </c>
      <c r="I378" s="14">
        <v>0.01</v>
      </c>
      <c r="J378" s="14">
        <v>500</v>
      </c>
      <c r="K378" s="14" t="s">
        <v>146</v>
      </c>
      <c r="L378" s="14" t="s">
        <v>147</v>
      </c>
      <c r="P378" s="14" t="s">
        <v>39</v>
      </c>
      <c r="Q378" s="14" t="s">
        <v>25</v>
      </c>
      <c r="R378" s="14" t="s">
        <v>146</v>
      </c>
    </row>
    <row r="379" spans="1:18" s="14" customFormat="1" x14ac:dyDescent="0.25">
      <c r="A379" s="14" t="str">
        <f>"18108"</f>
        <v>18108</v>
      </c>
      <c r="B379" s="14" t="str">
        <f>"01682"</f>
        <v>01682</v>
      </c>
      <c r="C379" s="14" t="str">
        <f>"1600"</f>
        <v>1600</v>
      </c>
      <c r="D379" s="14" t="str">
        <f>"01682"</f>
        <v>01682</v>
      </c>
      <c r="E379" s="14" t="s">
        <v>590</v>
      </c>
      <c r="F379" s="14" t="s">
        <v>676</v>
      </c>
      <c r="G379" s="14" t="str">
        <f>""</f>
        <v/>
      </c>
      <c r="H379" s="14" t="str">
        <f>" 10"</f>
        <v xml:space="preserve"> 10</v>
      </c>
      <c r="I379" s="14">
        <v>0.01</v>
      </c>
      <c r="J379" s="14">
        <v>500</v>
      </c>
      <c r="K379" s="14" t="s">
        <v>146</v>
      </c>
      <c r="L379" s="14" t="s">
        <v>147</v>
      </c>
      <c r="P379" s="14" t="s">
        <v>39</v>
      </c>
      <c r="Q379" s="14" t="s">
        <v>25</v>
      </c>
      <c r="R379" s="14" t="s">
        <v>146</v>
      </c>
    </row>
    <row r="380" spans="1:18" s="14" customFormat="1" x14ac:dyDescent="0.25">
      <c r="A380" s="14" t="str">
        <f>"18108"</f>
        <v>18108</v>
      </c>
      <c r="B380" s="14" t="str">
        <f>"01687"</f>
        <v>01687</v>
      </c>
      <c r="C380" s="14" t="str">
        <f>"1600"</f>
        <v>1600</v>
      </c>
      <c r="D380" s="14" t="str">
        <f>"01687"</f>
        <v>01687</v>
      </c>
      <c r="E380" s="14" t="s">
        <v>590</v>
      </c>
      <c r="F380" s="14" t="s">
        <v>590</v>
      </c>
      <c r="G380" s="14" t="str">
        <f>""</f>
        <v/>
      </c>
      <c r="H380" s="14" t="str">
        <f>" 10"</f>
        <v xml:space="preserve"> 10</v>
      </c>
      <c r="I380" s="14">
        <v>0.01</v>
      </c>
      <c r="J380" s="14">
        <v>500</v>
      </c>
      <c r="K380" s="14" t="s">
        <v>146</v>
      </c>
      <c r="L380" s="14" t="s">
        <v>147</v>
      </c>
      <c r="P380" s="14" t="s">
        <v>39</v>
      </c>
      <c r="Q380" s="14" t="s">
        <v>25</v>
      </c>
      <c r="R380" s="14" t="s">
        <v>146</v>
      </c>
    </row>
    <row r="381" spans="1:18" s="14" customFormat="1" x14ac:dyDescent="0.25">
      <c r="A381" s="14" t="str">
        <f>"18108"</f>
        <v>18108</v>
      </c>
      <c r="B381" s="14" t="str">
        <f>"01689"</f>
        <v>01689</v>
      </c>
      <c r="C381" s="14" t="str">
        <f>"1600"</f>
        <v>1600</v>
      </c>
      <c r="D381" s="14" t="str">
        <f>"01689"</f>
        <v>01689</v>
      </c>
      <c r="E381" s="14" t="s">
        <v>590</v>
      </c>
      <c r="F381" s="14" t="s">
        <v>677</v>
      </c>
      <c r="G381" s="14" t="str">
        <f>""</f>
        <v/>
      </c>
      <c r="H381" s="14" t="str">
        <f>" 10"</f>
        <v xml:space="preserve"> 10</v>
      </c>
      <c r="I381" s="14">
        <v>0.01</v>
      </c>
      <c r="J381" s="14">
        <v>500</v>
      </c>
      <c r="K381" s="14" t="s">
        <v>146</v>
      </c>
      <c r="L381" s="14" t="s">
        <v>147</v>
      </c>
      <c r="P381" s="14" t="s">
        <v>39</v>
      </c>
      <c r="Q381" s="14" t="s">
        <v>25</v>
      </c>
      <c r="R381" s="14" t="s">
        <v>146</v>
      </c>
    </row>
    <row r="382" spans="1:18" s="14" customFormat="1" x14ac:dyDescent="0.25">
      <c r="A382" s="14" t="str">
        <f>"18108"</f>
        <v>18108</v>
      </c>
      <c r="B382" s="14" t="str">
        <f>"01701"</f>
        <v>01701</v>
      </c>
      <c r="C382" s="14" t="str">
        <f>"1600"</f>
        <v>1600</v>
      </c>
      <c r="D382" s="14" t="str">
        <f>"01701"</f>
        <v>01701</v>
      </c>
      <c r="E382" s="14" t="s">
        <v>590</v>
      </c>
      <c r="F382" s="14" t="s">
        <v>678</v>
      </c>
      <c r="G382" s="14" t="str">
        <f>""</f>
        <v/>
      </c>
      <c r="H382" s="14" t="str">
        <f>" 10"</f>
        <v xml:space="preserve"> 10</v>
      </c>
      <c r="I382" s="14">
        <v>0.01</v>
      </c>
      <c r="J382" s="14">
        <v>500</v>
      </c>
      <c r="K382" s="14" t="s">
        <v>146</v>
      </c>
      <c r="L382" s="14" t="s">
        <v>147</v>
      </c>
      <c r="P382" s="14" t="s">
        <v>39</v>
      </c>
      <c r="Q382" s="14" t="s">
        <v>25</v>
      </c>
      <c r="R382" s="14" t="s">
        <v>146</v>
      </c>
    </row>
    <row r="383" spans="1:18" s="14" customFormat="1" x14ac:dyDescent="0.25">
      <c r="A383" s="14" t="str">
        <f>"18108"</f>
        <v>18108</v>
      </c>
      <c r="B383" s="14" t="str">
        <f>"01703"</f>
        <v>01703</v>
      </c>
      <c r="C383" s="14" t="str">
        <f>"1600"</f>
        <v>1600</v>
      </c>
      <c r="D383" s="14" t="str">
        <f>"01703"</f>
        <v>01703</v>
      </c>
      <c r="E383" s="14" t="s">
        <v>590</v>
      </c>
      <c r="F383" s="14" t="s">
        <v>679</v>
      </c>
      <c r="G383" s="14" t="str">
        <f>""</f>
        <v/>
      </c>
      <c r="H383" s="14" t="str">
        <f>" 10"</f>
        <v xml:space="preserve"> 10</v>
      </c>
      <c r="I383" s="14">
        <v>0.01</v>
      </c>
      <c r="J383" s="14">
        <v>500</v>
      </c>
      <c r="K383" s="14" t="s">
        <v>146</v>
      </c>
      <c r="L383" s="14" t="s">
        <v>147</v>
      </c>
      <c r="P383" s="14" t="s">
        <v>39</v>
      </c>
      <c r="Q383" s="14" t="s">
        <v>25</v>
      </c>
      <c r="R383" s="14" t="s">
        <v>146</v>
      </c>
    </row>
    <row r="384" spans="1:18" s="14" customFormat="1" x14ac:dyDescent="0.25">
      <c r="A384" s="14" t="str">
        <f>"18108"</f>
        <v>18108</v>
      </c>
      <c r="B384" s="14" t="str">
        <f>"01706"</f>
        <v>01706</v>
      </c>
      <c r="C384" s="14" t="str">
        <f>"1600"</f>
        <v>1600</v>
      </c>
      <c r="D384" s="14" t="str">
        <f>"01706"</f>
        <v>01706</v>
      </c>
      <c r="E384" s="14" t="s">
        <v>590</v>
      </c>
      <c r="F384" s="14" t="s">
        <v>680</v>
      </c>
      <c r="G384" s="14" t="str">
        <f>""</f>
        <v/>
      </c>
      <c r="H384" s="14" t="str">
        <f>" 10"</f>
        <v xml:space="preserve"> 10</v>
      </c>
      <c r="I384" s="14">
        <v>0.01</v>
      </c>
      <c r="J384" s="14">
        <v>500</v>
      </c>
      <c r="K384" s="14" t="s">
        <v>146</v>
      </c>
      <c r="L384" s="14" t="s">
        <v>147</v>
      </c>
      <c r="P384" s="14" t="s">
        <v>39</v>
      </c>
      <c r="Q384" s="14" t="s">
        <v>25</v>
      </c>
      <c r="R384" s="14" t="s">
        <v>146</v>
      </c>
    </row>
    <row r="385" spans="1:18" s="14" customFormat="1" x14ac:dyDescent="0.25">
      <c r="A385" s="14" t="str">
        <f>"18108"</f>
        <v>18108</v>
      </c>
      <c r="B385" s="14" t="str">
        <f>"01707"</f>
        <v>01707</v>
      </c>
      <c r="C385" s="14" t="str">
        <f>"1600"</f>
        <v>1600</v>
      </c>
      <c r="D385" s="14" t="str">
        <f>"01707"</f>
        <v>01707</v>
      </c>
      <c r="E385" s="14" t="s">
        <v>590</v>
      </c>
      <c r="F385" s="14" t="s">
        <v>681</v>
      </c>
      <c r="G385" s="14" t="str">
        <f>""</f>
        <v/>
      </c>
      <c r="H385" s="14" t="str">
        <f>" 10"</f>
        <v xml:space="preserve"> 10</v>
      </c>
      <c r="I385" s="14">
        <v>0.01</v>
      </c>
      <c r="J385" s="14">
        <v>500</v>
      </c>
      <c r="K385" s="14" t="s">
        <v>146</v>
      </c>
      <c r="L385" s="14" t="s">
        <v>147</v>
      </c>
      <c r="P385" s="14" t="s">
        <v>39</v>
      </c>
      <c r="Q385" s="14" t="s">
        <v>25</v>
      </c>
      <c r="R385" s="14" t="s">
        <v>146</v>
      </c>
    </row>
    <row r="386" spans="1:18" s="14" customFormat="1" x14ac:dyDescent="0.25">
      <c r="A386" s="14" t="str">
        <f>"18108"</f>
        <v>18108</v>
      </c>
      <c r="B386" s="14" t="str">
        <f>"01709"</f>
        <v>01709</v>
      </c>
      <c r="C386" s="14" t="str">
        <f>"1600"</f>
        <v>1600</v>
      </c>
      <c r="D386" s="14" t="str">
        <f>"01709"</f>
        <v>01709</v>
      </c>
      <c r="E386" s="14" t="s">
        <v>590</v>
      </c>
      <c r="F386" s="14" t="s">
        <v>682</v>
      </c>
      <c r="G386" s="14" t="str">
        <f>""</f>
        <v/>
      </c>
      <c r="H386" s="14" t="str">
        <f>" 10"</f>
        <v xml:space="preserve"> 10</v>
      </c>
      <c r="I386" s="14">
        <v>0.01</v>
      </c>
      <c r="J386" s="14">
        <v>500</v>
      </c>
      <c r="K386" s="14" t="s">
        <v>146</v>
      </c>
      <c r="L386" s="14" t="s">
        <v>147</v>
      </c>
      <c r="P386" s="14" t="s">
        <v>39</v>
      </c>
      <c r="Q386" s="14" t="s">
        <v>25</v>
      </c>
      <c r="R386" s="14" t="s">
        <v>146</v>
      </c>
    </row>
    <row r="387" spans="1:18" s="14" customFormat="1" x14ac:dyDescent="0.25">
      <c r="A387" s="14" t="str">
        <f>"18108"</f>
        <v>18108</v>
      </c>
      <c r="B387" s="14" t="str">
        <f>"01711"</f>
        <v>01711</v>
      </c>
      <c r="C387" s="14" t="str">
        <f>"1600"</f>
        <v>1600</v>
      </c>
      <c r="D387" s="14" t="str">
        <f>"01711"</f>
        <v>01711</v>
      </c>
      <c r="E387" s="14" t="s">
        <v>590</v>
      </c>
      <c r="F387" s="14" t="s">
        <v>683</v>
      </c>
      <c r="G387" s="14" t="str">
        <f>""</f>
        <v/>
      </c>
      <c r="H387" s="14" t="str">
        <f>" 10"</f>
        <v xml:space="preserve"> 10</v>
      </c>
      <c r="I387" s="14">
        <v>0.01</v>
      </c>
      <c r="J387" s="14">
        <v>500</v>
      </c>
      <c r="K387" s="14" t="s">
        <v>146</v>
      </c>
      <c r="L387" s="14" t="s">
        <v>147</v>
      </c>
      <c r="P387" s="14" t="s">
        <v>39</v>
      </c>
      <c r="Q387" s="14" t="s">
        <v>25</v>
      </c>
      <c r="R387" s="14" t="s">
        <v>146</v>
      </c>
    </row>
    <row r="388" spans="1:18" s="14" customFormat="1" x14ac:dyDescent="0.25">
      <c r="A388" s="14" t="str">
        <f>"18122"</f>
        <v>18122</v>
      </c>
      <c r="B388" s="14" t="str">
        <f>"01695"</f>
        <v>01695</v>
      </c>
      <c r="C388" s="14" t="str">
        <f>"1600"</f>
        <v>1600</v>
      </c>
      <c r="D388" s="14" t="str">
        <f>"18122"</f>
        <v>18122</v>
      </c>
      <c r="E388" s="14" t="s">
        <v>687</v>
      </c>
      <c r="F388" s="14" t="s">
        <v>155</v>
      </c>
      <c r="G388" s="14" t="str">
        <f>""</f>
        <v/>
      </c>
      <c r="H388" s="14" t="str">
        <f>" 10"</f>
        <v xml:space="preserve"> 10</v>
      </c>
      <c r="I388" s="14">
        <v>0.01</v>
      </c>
      <c r="J388" s="14">
        <v>500</v>
      </c>
      <c r="K388" s="14" t="s">
        <v>146</v>
      </c>
      <c r="L388" s="14" t="s">
        <v>147</v>
      </c>
      <c r="M388" s="14" t="s">
        <v>156</v>
      </c>
      <c r="P388" s="14" t="s">
        <v>39</v>
      </c>
      <c r="Q388" s="14" t="s">
        <v>25</v>
      </c>
      <c r="R388" s="14" t="s">
        <v>146</v>
      </c>
    </row>
    <row r="389" spans="1:18" s="14" customFormat="1" x14ac:dyDescent="0.25">
      <c r="A389" s="14" t="str">
        <f>"18123"</f>
        <v>18123</v>
      </c>
      <c r="B389" s="14" t="str">
        <f>"01695"</f>
        <v>01695</v>
      </c>
      <c r="C389" s="14" t="str">
        <f>"1600"</f>
        <v>1600</v>
      </c>
      <c r="D389" s="14" t="str">
        <f>"18123"</f>
        <v>18123</v>
      </c>
      <c r="E389" s="14" t="s">
        <v>688</v>
      </c>
      <c r="F389" s="14" t="s">
        <v>155</v>
      </c>
      <c r="G389" s="14" t="str">
        <f>""</f>
        <v/>
      </c>
      <c r="H389" s="14" t="str">
        <f>" 10"</f>
        <v xml:space="preserve"> 10</v>
      </c>
      <c r="I389" s="14">
        <v>0.01</v>
      </c>
      <c r="J389" s="14">
        <v>500</v>
      </c>
      <c r="K389" s="14" t="s">
        <v>146</v>
      </c>
      <c r="L389" s="14" t="s">
        <v>147</v>
      </c>
      <c r="M389" s="14" t="s">
        <v>156</v>
      </c>
      <c r="P389" s="14" t="s">
        <v>39</v>
      </c>
      <c r="Q389" s="14" t="s">
        <v>25</v>
      </c>
      <c r="R389" s="14" t="s">
        <v>146</v>
      </c>
    </row>
    <row r="390" spans="1:18" s="14" customFormat="1" x14ac:dyDescent="0.25">
      <c r="A390" s="14" t="str">
        <f>"19200"</f>
        <v>19200</v>
      </c>
      <c r="B390" s="14" t="str">
        <f>"01670"</f>
        <v>01670</v>
      </c>
      <c r="C390" s="14" t="str">
        <f>"1300"</f>
        <v>1300</v>
      </c>
      <c r="D390" s="14" t="str">
        <f>"19200"</f>
        <v>19200</v>
      </c>
      <c r="E390" s="14" t="s">
        <v>758</v>
      </c>
      <c r="F390" s="14" t="s">
        <v>151</v>
      </c>
      <c r="G390" s="14" t="str">
        <f>"GR0019200"</f>
        <v>GR0019200</v>
      </c>
      <c r="H390" s="14" t="str">
        <f>" 10"</f>
        <v xml:space="preserve"> 10</v>
      </c>
      <c r="I390" s="14">
        <v>0.01</v>
      </c>
      <c r="J390" s="14">
        <v>500</v>
      </c>
      <c r="K390" s="14" t="s">
        <v>146</v>
      </c>
      <c r="L390" s="14" t="s">
        <v>147</v>
      </c>
      <c r="O390" s="14" t="s">
        <v>759</v>
      </c>
      <c r="P390" s="14" t="s">
        <v>39</v>
      </c>
      <c r="Q390" s="14" t="s">
        <v>39</v>
      </c>
      <c r="R390" s="14" t="s">
        <v>146</v>
      </c>
    </row>
    <row r="391" spans="1:18" s="14" customFormat="1" x14ac:dyDescent="0.25">
      <c r="A391" s="14" t="str">
        <f>"19265"</f>
        <v>19265</v>
      </c>
      <c r="B391" s="14" t="str">
        <f>"01710"</f>
        <v>01710</v>
      </c>
      <c r="C391" s="14" t="str">
        <f>"1300"</f>
        <v>1300</v>
      </c>
      <c r="D391" s="14" t="str">
        <f>"19265"</f>
        <v>19265</v>
      </c>
      <c r="E391" s="14" t="s">
        <v>776</v>
      </c>
      <c r="F391" s="14" t="s">
        <v>161</v>
      </c>
      <c r="G391" s="14" t="str">
        <f>"GR0019265"</f>
        <v>GR0019265</v>
      </c>
      <c r="H391" s="14" t="str">
        <f>" 10"</f>
        <v xml:space="preserve"> 10</v>
      </c>
      <c r="I391" s="14">
        <v>0.01</v>
      </c>
      <c r="J391" s="14">
        <v>500</v>
      </c>
      <c r="K391" s="14" t="s">
        <v>146</v>
      </c>
      <c r="L391" s="14" t="s">
        <v>162</v>
      </c>
      <c r="O391" s="14" t="s">
        <v>777</v>
      </c>
      <c r="P391" s="14" t="s">
        <v>39</v>
      </c>
      <c r="Q391" s="14" t="s">
        <v>39</v>
      </c>
      <c r="R391" s="14" t="s">
        <v>146</v>
      </c>
    </row>
    <row r="392" spans="1:18" s="14" customFormat="1" x14ac:dyDescent="0.25">
      <c r="A392" s="14" t="str">
        <f>"19270"</f>
        <v>19270</v>
      </c>
      <c r="B392" s="14" t="str">
        <f>"01760"</f>
        <v>01760</v>
      </c>
      <c r="C392" s="14" t="str">
        <f>"1300"</f>
        <v>1300</v>
      </c>
      <c r="D392" s="14" t="str">
        <f>"19270"</f>
        <v>19270</v>
      </c>
      <c r="E392" s="14" t="s">
        <v>780</v>
      </c>
      <c r="F392" s="14" t="s">
        <v>168</v>
      </c>
      <c r="G392" s="14" t="str">
        <f>"GR0019270"</f>
        <v>GR0019270</v>
      </c>
      <c r="H392" s="14" t="str">
        <f>" 10"</f>
        <v xml:space="preserve"> 10</v>
      </c>
      <c r="I392" s="14">
        <v>0.01</v>
      </c>
      <c r="J392" s="14">
        <v>500</v>
      </c>
      <c r="K392" s="14" t="s">
        <v>146</v>
      </c>
      <c r="L392" s="14" t="s">
        <v>169</v>
      </c>
      <c r="O392" s="14" t="s">
        <v>781</v>
      </c>
      <c r="P392" s="14" t="s">
        <v>39</v>
      </c>
      <c r="Q392" s="14" t="s">
        <v>39</v>
      </c>
      <c r="R392" s="14" t="s">
        <v>146</v>
      </c>
    </row>
    <row r="393" spans="1:18" s="14" customFormat="1" x14ac:dyDescent="0.25">
      <c r="A393" s="14" t="str">
        <f>"19293"</f>
        <v>19293</v>
      </c>
      <c r="B393" s="14" t="str">
        <f>"01670"</f>
        <v>01670</v>
      </c>
      <c r="C393" s="14" t="str">
        <f>"1300"</f>
        <v>1300</v>
      </c>
      <c r="D393" s="14" t="str">
        <f>"19293"</f>
        <v>19293</v>
      </c>
      <c r="E393" s="14" t="s">
        <v>815</v>
      </c>
      <c r="F393" s="14" t="s">
        <v>151</v>
      </c>
      <c r="G393" s="14" t="str">
        <f>"GR0019293"</f>
        <v>GR0019293</v>
      </c>
      <c r="H393" s="14" t="str">
        <f>" 10"</f>
        <v xml:space="preserve"> 10</v>
      </c>
      <c r="I393" s="14">
        <v>0.01</v>
      </c>
      <c r="J393" s="14">
        <v>500</v>
      </c>
      <c r="K393" s="14" t="s">
        <v>146</v>
      </c>
      <c r="L393" s="14" t="s">
        <v>147</v>
      </c>
      <c r="O393" s="14" t="s">
        <v>816</v>
      </c>
      <c r="P393" s="14" t="s">
        <v>39</v>
      </c>
      <c r="Q393" s="14" t="s">
        <v>39</v>
      </c>
      <c r="R393" s="14" t="s">
        <v>146</v>
      </c>
    </row>
    <row r="394" spans="1:18" s="14" customFormat="1" x14ac:dyDescent="0.25">
      <c r="A394" s="14" t="str">
        <f>"19294"</f>
        <v>19294</v>
      </c>
      <c r="B394" s="14" t="str">
        <f>"01765"</f>
        <v>01765</v>
      </c>
      <c r="C394" s="14" t="str">
        <f>"1300"</f>
        <v>1300</v>
      </c>
      <c r="D394" s="14" t="str">
        <f>"19294"</f>
        <v>19294</v>
      </c>
      <c r="E394" s="14" t="s">
        <v>817</v>
      </c>
      <c r="F394" s="14" t="s">
        <v>170</v>
      </c>
      <c r="G394" s="14" t="str">
        <f>"GR0019294"</f>
        <v>GR0019294</v>
      </c>
      <c r="H394" s="14" t="str">
        <f>" 10"</f>
        <v xml:space="preserve"> 10</v>
      </c>
      <c r="I394" s="14">
        <v>0.01</v>
      </c>
      <c r="J394" s="14">
        <v>500</v>
      </c>
      <c r="K394" s="14" t="s">
        <v>146</v>
      </c>
      <c r="L394" s="14" t="s">
        <v>147</v>
      </c>
      <c r="O394" s="14" t="s">
        <v>818</v>
      </c>
      <c r="P394" s="14" t="s">
        <v>39</v>
      </c>
      <c r="Q394" s="14" t="s">
        <v>39</v>
      </c>
      <c r="R394" s="14" t="s">
        <v>146</v>
      </c>
    </row>
    <row r="395" spans="1:18" s="14" customFormat="1" x14ac:dyDescent="0.25">
      <c r="A395" s="14" t="str">
        <f>"21165"</f>
        <v>21165</v>
      </c>
      <c r="B395" s="14" t="str">
        <f>"01695"</f>
        <v>01695</v>
      </c>
      <c r="C395" s="14" t="str">
        <f>"1600"</f>
        <v>1600</v>
      </c>
      <c r="D395" s="14" t="str">
        <f>"21165"</f>
        <v>21165</v>
      </c>
      <c r="E395" s="14" t="s">
        <v>847</v>
      </c>
      <c r="F395" s="14" t="s">
        <v>155</v>
      </c>
      <c r="G395" s="14" t="str">
        <f>"GR0021161"</f>
        <v>GR0021161</v>
      </c>
      <c r="H395" s="14" t="str">
        <f>" 10"</f>
        <v xml:space="preserve"> 10</v>
      </c>
      <c r="I395" s="14">
        <v>0.01</v>
      </c>
      <c r="J395" s="14">
        <v>500</v>
      </c>
      <c r="K395" s="14" t="s">
        <v>146</v>
      </c>
      <c r="L395" s="14" t="s">
        <v>147</v>
      </c>
      <c r="M395" s="14" t="s">
        <v>156</v>
      </c>
      <c r="O395" s="14" t="s">
        <v>156</v>
      </c>
      <c r="P395" s="14" t="s">
        <v>701</v>
      </c>
      <c r="Q395" s="14" t="s">
        <v>701</v>
      </c>
      <c r="R395" s="14" t="s">
        <v>146</v>
      </c>
    </row>
    <row r="396" spans="1:18" s="14" customFormat="1" x14ac:dyDescent="0.25">
      <c r="A396" s="14" t="str">
        <f>"21183"</f>
        <v>21183</v>
      </c>
      <c r="B396" s="14" t="str">
        <f>"01695"</f>
        <v>01695</v>
      </c>
      <c r="C396" s="14" t="str">
        <f>"1600"</f>
        <v>1600</v>
      </c>
      <c r="D396" s="14" t="str">
        <f>"21183"</f>
        <v>21183</v>
      </c>
      <c r="E396" s="14" t="s">
        <v>851</v>
      </c>
      <c r="F396" s="14" t="s">
        <v>155</v>
      </c>
      <c r="G396" s="14" t="str">
        <f>"GR0021161"</f>
        <v>GR0021161</v>
      </c>
      <c r="H396" s="14" t="str">
        <f>" 10"</f>
        <v xml:space="preserve"> 10</v>
      </c>
      <c r="I396" s="14">
        <v>0.01</v>
      </c>
      <c r="J396" s="14">
        <v>500</v>
      </c>
      <c r="K396" s="14" t="s">
        <v>146</v>
      </c>
      <c r="L396" s="14" t="s">
        <v>147</v>
      </c>
      <c r="M396" s="14" t="s">
        <v>156</v>
      </c>
      <c r="O396" s="14" t="s">
        <v>156</v>
      </c>
      <c r="P396" s="14" t="s">
        <v>701</v>
      </c>
      <c r="Q396" s="14" t="s">
        <v>701</v>
      </c>
      <c r="R396" s="14" t="s">
        <v>146</v>
      </c>
    </row>
    <row r="397" spans="1:18" s="14" customFormat="1" x14ac:dyDescent="0.25">
      <c r="A397" s="14" t="str">
        <f>"21189"</f>
        <v>21189</v>
      </c>
      <c r="B397" s="14" t="str">
        <f>"01670"</f>
        <v>01670</v>
      </c>
      <c r="C397" s="14" t="str">
        <f>"1600"</f>
        <v>1600</v>
      </c>
      <c r="D397" s="14" t="str">
        <f>"21189"</f>
        <v>21189</v>
      </c>
      <c r="E397" s="14" t="s">
        <v>855</v>
      </c>
      <c r="F397" s="14" t="s">
        <v>151</v>
      </c>
      <c r="G397" s="14" t="str">
        <f>"GR0021157"</f>
        <v>GR0021157</v>
      </c>
      <c r="H397" s="14" t="str">
        <f>" 10"</f>
        <v xml:space="preserve"> 10</v>
      </c>
      <c r="I397" s="14">
        <v>0.01</v>
      </c>
      <c r="J397" s="14">
        <v>500</v>
      </c>
      <c r="K397" s="14" t="s">
        <v>146</v>
      </c>
      <c r="L397" s="14" t="s">
        <v>147</v>
      </c>
      <c r="O397" s="14" t="s">
        <v>856</v>
      </c>
      <c r="P397" s="14" t="s">
        <v>701</v>
      </c>
      <c r="Q397" s="14" t="s">
        <v>701</v>
      </c>
      <c r="R397" s="14" t="s">
        <v>146</v>
      </c>
    </row>
    <row r="398" spans="1:18" s="14" customFormat="1" x14ac:dyDescent="0.25">
      <c r="A398" s="14" t="str">
        <f>"21190"</f>
        <v>21190</v>
      </c>
      <c r="B398" s="14" t="str">
        <f>"01670"</f>
        <v>01670</v>
      </c>
      <c r="C398" s="14" t="str">
        <f>"1600"</f>
        <v>1600</v>
      </c>
      <c r="D398" s="14" t="str">
        <f>"21190"</f>
        <v>21190</v>
      </c>
      <c r="E398" s="14" t="s">
        <v>857</v>
      </c>
      <c r="F398" s="14" t="s">
        <v>151</v>
      </c>
      <c r="G398" s="14" t="str">
        <f>"GR0021157"</f>
        <v>GR0021157</v>
      </c>
      <c r="H398" s="14" t="str">
        <f>" 10"</f>
        <v xml:space="preserve"> 10</v>
      </c>
      <c r="I398" s="14">
        <v>0.01</v>
      </c>
      <c r="J398" s="14">
        <v>500</v>
      </c>
      <c r="K398" s="14" t="s">
        <v>146</v>
      </c>
      <c r="L398" s="14" t="s">
        <v>147</v>
      </c>
      <c r="O398" s="14" t="s">
        <v>856</v>
      </c>
      <c r="P398" s="14" t="s">
        <v>701</v>
      </c>
      <c r="Q398" s="14" t="s">
        <v>701</v>
      </c>
      <c r="R398" s="14" t="s">
        <v>146</v>
      </c>
    </row>
    <row r="399" spans="1:18" s="14" customFormat="1" x14ac:dyDescent="0.25">
      <c r="A399" s="14" t="str">
        <f>"21191"</f>
        <v>21191</v>
      </c>
      <c r="B399" s="14" t="str">
        <f>"01695"</f>
        <v>01695</v>
      </c>
      <c r="C399" s="14" t="str">
        <f>"1600"</f>
        <v>1600</v>
      </c>
      <c r="D399" s="14" t="str">
        <f>"21191"</f>
        <v>21191</v>
      </c>
      <c r="E399" s="14" t="s">
        <v>858</v>
      </c>
      <c r="F399" s="14" t="s">
        <v>155</v>
      </c>
      <c r="G399" s="14" t="str">
        <f>"GR0021161"</f>
        <v>GR0021161</v>
      </c>
      <c r="H399" s="14" t="str">
        <f>" 10"</f>
        <v xml:space="preserve"> 10</v>
      </c>
      <c r="I399" s="14">
        <v>0.01</v>
      </c>
      <c r="J399" s="14">
        <v>500</v>
      </c>
      <c r="K399" s="14" t="s">
        <v>146</v>
      </c>
      <c r="L399" s="14" t="s">
        <v>147</v>
      </c>
      <c r="M399" s="14" t="s">
        <v>156</v>
      </c>
      <c r="O399" s="14" t="s">
        <v>156</v>
      </c>
      <c r="P399" s="14" t="s">
        <v>701</v>
      </c>
      <c r="Q399" s="14" t="s">
        <v>701</v>
      </c>
      <c r="R399" s="14" t="s">
        <v>146</v>
      </c>
    </row>
    <row r="400" spans="1:18" s="14" customFormat="1" x14ac:dyDescent="0.25">
      <c r="A400" s="14" t="str">
        <f>"22271"</f>
        <v>22271</v>
      </c>
      <c r="B400" s="14" t="str">
        <f>"01660"</f>
        <v>01660</v>
      </c>
      <c r="C400" s="14" t="str">
        <f>"1600"</f>
        <v>1600</v>
      </c>
      <c r="D400" s="14" t="str">
        <f>"22271"</f>
        <v>22271</v>
      </c>
      <c r="E400" s="14" t="s">
        <v>867</v>
      </c>
      <c r="F400" s="14" t="s">
        <v>145</v>
      </c>
      <c r="G400" s="14" t="str">
        <f>"GR0022271"</f>
        <v>GR0022271</v>
      </c>
      <c r="H400" s="14" t="str">
        <f>" 10"</f>
        <v xml:space="preserve"> 10</v>
      </c>
      <c r="I400" s="14">
        <v>0.01</v>
      </c>
      <c r="J400" s="14">
        <v>500</v>
      </c>
      <c r="K400" s="14" t="s">
        <v>146</v>
      </c>
      <c r="L400" s="14" t="s">
        <v>147</v>
      </c>
      <c r="O400" s="14" t="s">
        <v>661</v>
      </c>
      <c r="P400" s="14" t="s">
        <v>701</v>
      </c>
      <c r="Q400" s="14" t="s">
        <v>701</v>
      </c>
      <c r="R400" s="14" t="s">
        <v>146</v>
      </c>
    </row>
    <row r="401" spans="1:18" s="14" customFormat="1" x14ac:dyDescent="0.25">
      <c r="A401" s="14" t="str">
        <f>"22275"</f>
        <v>22275</v>
      </c>
      <c r="B401" s="14" t="str">
        <f>"01660"</f>
        <v>01660</v>
      </c>
      <c r="C401" s="14" t="str">
        <f>"1700"</f>
        <v>1700</v>
      </c>
      <c r="D401" s="14" t="str">
        <f>"22275"</f>
        <v>22275</v>
      </c>
      <c r="E401" s="14" t="s">
        <v>868</v>
      </c>
      <c r="F401" s="14" t="s">
        <v>145</v>
      </c>
      <c r="G401" s="14" t="str">
        <f>"GR0022268"</f>
        <v>GR0022268</v>
      </c>
      <c r="H401" s="14" t="str">
        <f>" 10"</f>
        <v xml:space="preserve"> 10</v>
      </c>
      <c r="I401" s="14">
        <v>0.01</v>
      </c>
      <c r="J401" s="14">
        <v>500</v>
      </c>
      <c r="K401" s="14" t="s">
        <v>146</v>
      </c>
      <c r="L401" s="14" t="s">
        <v>147</v>
      </c>
      <c r="O401" s="14" t="s">
        <v>147</v>
      </c>
      <c r="P401" s="14" t="s">
        <v>701</v>
      </c>
      <c r="Q401" s="14" t="s">
        <v>701</v>
      </c>
      <c r="R401" s="14" t="s">
        <v>146</v>
      </c>
    </row>
    <row r="402" spans="1:18" s="14" customFormat="1" x14ac:dyDescent="0.25">
      <c r="A402" s="14" t="str">
        <f>"22276"</f>
        <v>22276</v>
      </c>
      <c r="B402" s="14" t="str">
        <f>"01660"</f>
        <v>01660</v>
      </c>
      <c r="C402" s="14" t="str">
        <f>"1800"</f>
        <v>1800</v>
      </c>
      <c r="D402" s="14" t="str">
        <f>"22276"</f>
        <v>22276</v>
      </c>
      <c r="E402" s="14" t="s">
        <v>869</v>
      </c>
      <c r="F402" s="14" t="s">
        <v>145</v>
      </c>
      <c r="G402" s="14" t="str">
        <f>"GR0022268"</f>
        <v>GR0022268</v>
      </c>
      <c r="H402" s="14" t="str">
        <f>" 10"</f>
        <v xml:space="preserve"> 10</v>
      </c>
      <c r="I402" s="14">
        <v>0.01</v>
      </c>
      <c r="J402" s="14">
        <v>500</v>
      </c>
      <c r="K402" s="14" t="s">
        <v>146</v>
      </c>
      <c r="L402" s="14" t="s">
        <v>147</v>
      </c>
      <c r="O402" s="14" t="s">
        <v>147</v>
      </c>
      <c r="P402" s="14" t="s">
        <v>701</v>
      </c>
      <c r="Q402" s="14" t="s">
        <v>701</v>
      </c>
      <c r="R402" s="14" t="s">
        <v>146</v>
      </c>
    </row>
    <row r="403" spans="1:18" s="14" customFormat="1" x14ac:dyDescent="0.25">
      <c r="A403" s="14" t="str">
        <f>"22277"</f>
        <v>22277</v>
      </c>
      <c r="B403" s="14" t="str">
        <f>"01660"</f>
        <v>01660</v>
      </c>
      <c r="C403" s="14" t="str">
        <f>"1600"</f>
        <v>1600</v>
      </c>
      <c r="D403" s="14" t="str">
        <f>"22277"</f>
        <v>22277</v>
      </c>
      <c r="E403" s="14" t="s">
        <v>870</v>
      </c>
      <c r="F403" s="14" t="s">
        <v>145</v>
      </c>
      <c r="G403" s="14" t="str">
        <f>"GR0022274"</f>
        <v>GR0022274</v>
      </c>
      <c r="H403" s="14" t="str">
        <f>" 10"</f>
        <v xml:space="preserve"> 10</v>
      </c>
      <c r="I403" s="14">
        <v>0.01</v>
      </c>
      <c r="J403" s="14">
        <v>500</v>
      </c>
      <c r="K403" s="14" t="s">
        <v>146</v>
      </c>
      <c r="L403" s="14" t="s">
        <v>147</v>
      </c>
      <c r="O403" s="14" t="s">
        <v>661</v>
      </c>
      <c r="P403" s="14" t="s">
        <v>701</v>
      </c>
      <c r="Q403" s="14" t="s">
        <v>701</v>
      </c>
      <c r="R403" s="14" t="s">
        <v>146</v>
      </c>
    </row>
    <row r="404" spans="1:18" s="14" customFormat="1" x14ac:dyDescent="0.25">
      <c r="A404" s="14" t="str">
        <f>"22650"</f>
        <v>22650</v>
      </c>
      <c r="B404" s="14" t="str">
        <f>"01660"</f>
        <v>01660</v>
      </c>
      <c r="C404" s="14" t="str">
        <f>"1100"</f>
        <v>1100</v>
      </c>
      <c r="D404" s="14" t="str">
        <f>"22650"</f>
        <v>22650</v>
      </c>
      <c r="E404" s="14" t="s">
        <v>871</v>
      </c>
      <c r="F404" s="14" t="s">
        <v>145</v>
      </c>
      <c r="G404" s="14" t="str">
        <f>"GR0022650"</f>
        <v>GR0022650</v>
      </c>
      <c r="H404" s="14" t="str">
        <f>" 10"</f>
        <v xml:space="preserve"> 10</v>
      </c>
      <c r="I404" s="14">
        <v>0.01</v>
      </c>
      <c r="J404" s="14">
        <v>500</v>
      </c>
      <c r="K404" s="14" t="s">
        <v>146</v>
      </c>
      <c r="L404" s="14" t="s">
        <v>147</v>
      </c>
      <c r="O404" s="14" t="s">
        <v>147</v>
      </c>
      <c r="P404" s="14" t="s">
        <v>701</v>
      </c>
      <c r="Q404" s="14" t="s">
        <v>701</v>
      </c>
      <c r="R404" s="14" t="s">
        <v>146</v>
      </c>
    </row>
    <row r="405" spans="1:18" s="14" customFormat="1" x14ac:dyDescent="0.25">
      <c r="A405" s="14" t="str">
        <f>"22655"</f>
        <v>22655</v>
      </c>
      <c r="B405" s="14" t="str">
        <f>"01660"</f>
        <v>01660</v>
      </c>
      <c r="C405" s="14" t="str">
        <f>"1600"</f>
        <v>1600</v>
      </c>
      <c r="D405" s="14" t="str">
        <f>"22655"</f>
        <v>22655</v>
      </c>
      <c r="E405" s="14" t="s">
        <v>876</v>
      </c>
      <c r="F405" s="14" t="s">
        <v>145</v>
      </c>
      <c r="G405" s="14" t="str">
        <f>"GR0022655"</f>
        <v>GR0022655</v>
      </c>
      <c r="H405" s="14" t="str">
        <f>" 10"</f>
        <v xml:space="preserve"> 10</v>
      </c>
      <c r="I405" s="14">
        <v>0.01</v>
      </c>
      <c r="J405" s="14">
        <v>500</v>
      </c>
      <c r="K405" s="14" t="s">
        <v>146</v>
      </c>
      <c r="L405" s="14" t="s">
        <v>147</v>
      </c>
      <c r="O405" s="14" t="s">
        <v>661</v>
      </c>
      <c r="P405" s="14" t="s">
        <v>701</v>
      </c>
      <c r="Q405" s="14" t="s">
        <v>701</v>
      </c>
      <c r="R405" s="14" t="s">
        <v>146</v>
      </c>
    </row>
    <row r="406" spans="1:18" s="14" customFormat="1" x14ac:dyDescent="0.25">
      <c r="A406" s="14" t="str">
        <f>"24538"</f>
        <v>24538</v>
      </c>
      <c r="B406" s="14" t="str">
        <f>"01660"</f>
        <v>01660</v>
      </c>
      <c r="C406" s="14" t="str">
        <f>"1600"</f>
        <v>1600</v>
      </c>
      <c r="D406" s="14" t="str">
        <f>"24538"</f>
        <v>24538</v>
      </c>
      <c r="E406" s="14" t="s">
        <v>908</v>
      </c>
      <c r="F406" s="14" t="s">
        <v>145</v>
      </c>
      <c r="G406" s="14" t="str">
        <f>"GR0024538"</f>
        <v>GR0024538</v>
      </c>
      <c r="H406" s="14" t="str">
        <f>" 10"</f>
        <v xml:space="preserve"> 10</v>
      </c>
      <c r="I406" s="14">
        <v>0.01</v>
      </c>
      <c r="J406" s="14">
        <v>500</v>
      </c>
      <c r="K406" s="14" t="s">
        <v>146</v>
      </c>
      <c r="L406" s="14" t="s">
        <v>147</v>
      </c>
      <c r="O406" s="14" t="s">
        <v>661</v>
      </c>
      <c r="P406" s="14" t="s">
        <v>701</v>
      </c>
      <c r="Q406" s="14" t="s">
        <v>701</v>
      </c>
      <c r="R406" s="14" t="s">
        <v>146</v>
      </c>
    </row>
    <row r="407" spans="1:18" s="14" customFormat="1" x14ac:dyDescent="0.25">
      <c r="A407" s="14" t="str">
        <f>"24539"</f>
        <v>24539</v>
      </c>
      <c r="B407" s="14" t="str">
        <f>"01660"</f>
        <v>01660</v>
      </c>
      <c r="C407" s="14" t="str">
        <f>"1600"</f>
        <v>1600</v>
      </c>
      <c r="D407" s="14" t="str">
        <f>"24539"</f>
        <v>24539</v>
      </c>
      <c r="E407" s="14" t="s">
        <v>909</v>
      </c>
      <c r="F407" s="14" t="s">
        <v>145</v>
      </c>
      <c r="G407" s="14" t="str">
        <f>"GR0024538"</f>
        <v>GR0024538</v>
      </c>
      <c r="H407" s="14" t="str">
        <f>" 10"</f>
        <v xml:space="preserve"> 10</v>
      </c>
      <c r="I407" s="14">
        <v>0.01</v>
      </c>
      <c r="J407" s="14">
        <v>500</v>
      </c>
      <c r="K407" s="14" t="s">
        <v>146</v>
      </c>
      <c r="L407" s="14" t="s">
        <v>147</v>
      </c>
      <c r="O407" s="14" t="s">
        <v>661</v>
      </c>
      <c r="P407" s="14" t="s">
        <v>701</v>
      </c>
      <c r="Q407" s="14" t="s">
        <v>701</v>
      </c>
      <c r="R407" s="14" t="s">
        <v>146</v>
      </c>
    </row>
    <row r="408" spans="1:18" s="14" customFormat="1" x14ac:dyDescent="0.25">
      <c r="A408" s="14" t="str">
        <f>"25116"</f>
        <v>25116</v>
      </c>
      <c r="B408" s="14" t="str">
        <f>"01705"</f>
        <v>01705</v>
      </c>
      <c r="C408" s="14" t="str">
        <f>"1600"</f>
        <v>1600</v>
      </c>
      <c r="D408" s="14" t="str">
        <f>"25116"</f>
        <v>25116</v>
      </c>
      <c r="E408" s="14" t="s">
        <v>917</v>
      </c>
      <c r="F408" s="14" t="s">
        <v>159</v>
      </c>
      <c r="G408" s="14" t="str">
        <f>"GR0025116"</f>
        <v>GR0025116</v>
      </c>
      <c r="H408" s="14" t="str">
        <f>" 10"</f>
        <v xml:space="preserve"> 10</v>
      </c>
      <c r="I408" s="14">
        <v>0.01</v>
      </c>
      <c r="J408" s="14">
        <v>500</v>
      </c>
      <c r="K408" s="14" t="s">
        <v>146</v>
      </c>
      <c r="L408" s="14" t="s">
        <v>147</v>
      </c>
      <c r="O408" s="14" t="s">
        <v>147</v>
      </c>
      <c r="P408" s="14" t="s">
        <v>701</v>
      </c>
      <c r="Q408" s="14" t="s">
        <v>701</v>
      </c>
      <c r="R408" s="14" t="s">
        <v>146</v>
      </c>
    </row>
    <row r="409" spans="1:18" s="14" customFormat="1" x14ac:dyDescent="0.25">
      <c r="A409" s="14" t="str">
        <f>"25139"</f>
        <v>25139</v>
      </c>
      <c r="B409" s="14" t="str">
        <f>"01695"</f>
        <v>01695</v>
      </c>
      <c r="C409" s="14" t="str">
        <f>"1200"</f>
        <v>1200</v>
      </c>
      <c r="D409" s="14" t="str">
        <f>"25139"</f>
        <v>25139</v>
      </c>
      <c r="E409" s="14" t="s">
        <v>922</v>
      </c>
      <c r="F409" s="14" t="s">
        <v>155</v>
      </c>
      <c r="G409" s="14" t="str">
        <f>"GR0025139"</f>
        <v>GR0025139</v>
      </c>
      <c r="H409" s="14" t="str">
        <f>" 10"</f>
        <v xml:space="preserve"> 10</v>
      </c>
      <c r="I409" s="14">
        <v>0.01</v>
      </c>
      <c r="J409" s="14">
        <v>500</v>
      </c>
      <c r="K409" s="14" t="s">
        <v>146</v>
      </c>
      <c r="L409" s="14" t="s">
        <v>147</v>
      </c>
      <c r="O409" s="14" t="s">
        <v>156</v>
      </c>
      <c r="P409" s="14" t="s">
        <v>701</v>
      </c>
      <c r="Q409" s="14" t="s">
        <v>701</v>
      </c>
      <c r="R409" s="14" t="s">
        <v>146</v>
      </c>
    </row>
    <row r="410" spans="1:18" s="14" customFormat="1" x14ac:dyDescent="0.25">
      <c r="A410" s="14" t="str">
        <f>"25150"</f>
        <v>25150</v>
      </c>
      <c r="B410" s="14" t="str">
        <f>"01695"</f>
        <v>01695</v>
      </c>
      <c r="C410" s="14" t="str">
        <f>"1600"</f>
        <v>1600</v>
      </c>
      <c r="D410" s="14" t="str">
        <f>"25150"</f>
        <v>25150</v>
      </c>
      <c r="E410" s="14" t="s">
        <v>928</v>
      </c>
      <c r="F410" s="14" t="s">
        <v>155</v>
      </c>
      <c r="G410" s="14" t="str">
        <f>"GR0025150"</f>
        <v>GR0025150</v>
      </c>
      <c r="H410" s="14" t="str">
        <f>" 10"</f>
        <v xml:space="preserve"> 10</v>
      </c>
      <c r="I410" s="14">
        <v>0.01</v>
      </c>
      <c r="J410" s="14">
        <v>500</v>
      </c>
      <c r="K410" s="14" t="s">
        <v>146</v>
      </c>
      <c r="L410" s="14" t="s">
        <v>147</v>
      </c>
      <c r="M410" s="14" t="s">
        <v>156</v>
      </c>
      <c r="O410" s="14" t="s">
        <v>156</v>
      </c>
      <c r="P410" s="14" t="s">
        <v>701</v>
      </c>
      <c r="Q410" s="14" t="s">
        <v>701</v>
      </c>
      <c r="R410" s="14" t="s">
        <v>146</v>
      </c>
    </row>
    <row r="411" spans="1:18" s="14" customFormat="1" x14ac:dyDescent="0.25">
      <c r="A411" s="14" t="str">
        <f>"25159"</f>
        <v>25159</v>
      </c>
      <c r="B411" s="14" t="str">
        <f>"01695"</f>
        <v>01695</v>
      </c>
      <c r="C411" s="14" t="str">
        <f>"1600"</f>
        <v>1600</v>
      </c>
      <c r="D411" s="14" t="str">
        <f>"25159"</f>
        <v>25159</v>
      </c>
      <c r="E411" s="14" t="s">
        <v>938</v>
      </c>
      <c r="F411" s="14" t="s">
        <v>155</v>
      </c>
      <c r="G411" s="14" t="str">
        <f>"GR0025159"</f>
        <v>GR0025159</v>
      </c>
      <c r="H411" s="14" t="str">
        <f>" 10"</f>
        <v xml:space="preserve"> 10</v>
      </c>
      <c r="I411" s="14">
        <v>0.01</v>
      </c>
      <c r="J411" s="14">
        <v>500</v>
      </c>
      <c r="K411" s="14" t="s">
        <v>146</v>
      </c>
      <c r="L411" s="14" t="s">
        <v>156</v>
      </c>
      <c r="O411" s="14" t="s">
        <v>156</v>
      </c>
      <c r="P411" s="14" t="s">
        <v>701</v>
      </c>
      <c r="Q411" s="14" t="s">
        <v>701</v>
      </c>
      <c r="R411" s="14" t="s">
        <v>146</v>
      </c>
    </row>
    <row r="412" spans="1:18" s="14" customFormat="1" x14ac:dyDescent="0.25">
      <c r="A412" s="14" t="str">
        <f>"25160"</f>
        <v>25160</v>
      </c>
      <c r="B412" s="14" t="str">
        <f>"01660"</f>
        <v>01660</v>
      </c>
      <c r="C412" s="14" t="str">
        <f>"1800"</f>
        <v>1800</v>
      </c>
      <c r="D412" s="14" t="str">
        <f>""</f>
        <v/>
      </c>
      <c r="E412" s="14" t="s">
        <v>939</v>
      </c>
      <c r="F412" s="14" t="s">
        <v>145</v>
      </c>
      <c r="G412" s="14" t="str">
        <f>"GR0025160"</f>
        <v>GR0025160</v>
      </c>
      <c r="H412" s="14" t="str">
        <f>" 10"</f>
        <v xml:space="preserve"> 10</v>
      </c>
      <c r="I412" s="14">
        <v>0.01</v>
      </c>
      <c r="J412" s="14">
        <v>500</v>
      </c>
      <c r="K412" s="14" t="s">
        <v>146</v>
      </c>
      <c r="L412" s="14" t="s">
        <v>147</v>
      </c>
      <c r="O412" s="14" t="s">
        <v>147</v>
      </c>
      <c r="P412" s="14" t="s">
        <v>701</v>
      </c>
      <c r="Q412" s="14" t="s">
        <v>701</v>
      </c>
      <c r="R412" s="14" t="s">
        <v>146</v>
      </c>
    </row>
    <row r="413" spans="1:18" s="14" customFormat="1" x14ac:dyDescent="0.25">
      <c r="A413" s="14" t="str">
        <f>"84040"</f>
        <v>84040</v>
      </c>
      <c r="B413" s="14" t="str">
        <f>"07020"</f>
        <v>07020</v>
      </c>
      <c r="C413" s="14" t="str">
        <f>"1700"</f>
        <v>1700</v>
      </c>
      <c r="D413" s="14" t="str">
        <f>"84040"</f>
        <v>84040</v>
      </c>
      <c r="E413" s="14" t="s">
        <v>1581</v>
      </c>
      <c r="F413" s="14" t="s">
        <v>1532</v>
      </c>
      <c r="G413" s="14" t="str">
        <f>""</f>
        <v/>
      </c>
      <c r="H413" s="14" t="str">
        <f>" 10"</f>
        <v xml:space="preserve"> 10</v>
      </c>
      <c r="I413" s="14">
        <v>0.01</v>
      </c>
      <c r="J413" s="14">
        <v>500</v>
      </c>
      <c r="K413" s="14" t="s">
        <v>146</v>
      </c>
      <c r="L413" s="14" t="s">
        <v>147</v>
      </c>
      <c r="P413" s="14" t="s">
        <v>31</v>
      </c>
      <c r="Q413" s="14" t="s">
        <v>31</v>
      </c>
      <c r="R413" s="14" t="s">
        <v>146</v>
      </c>
    </row>
    <row r="414" spans="1:18" s="14" customFormat="1" x14ac:dyDescent="0.25">
      <c r="A414" s="14" t="str">
        <f>"84169"</f>
        <v>84169</v>
      </c>
      <c r="B414" s="14" t="str">
        <f>"07020"</f>
        <v>07020</v>
      </c>
      <c r="C414" s="14" t="str">
        <f>"1700"</f>
        <v>1700</v>
      </c>
      <c r="D414" s="14" t="str">
        <f>"84169"</f>
        <v>84169</v>
      </c>
      <c r="E414" s="14" t="s">
        <v>1684</v>
      </c>
      <c r="F414" s="14" t="s">
        <v>1532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146</v>
      </c>
      <c r="P414" s="14" t="s">
        <v>31</v>
      </c>
      <c r="Q414" s="14" t="s">
        <v>31</v>
      </c>
      <c r="R414" s="14" t="s">
        <v>146</v>
      </c>
    </row>
    <row r="415" spans="1:18" s="14" customFormat="1" x14ac:dyDescent="0.25">
      <c r="A415" s="14" t="str">
        <f>"84230"</f>
        <v>84230</v>
      </c>
      <c r="B415" s="14" t="str">
        <f>"07020"</f>
        <v>07020</v>
      </c>
      <c r="C415" s="14" t="str">
        <f>"1700"</f>
        <v>1700</v>
      </c>
      <c r="D415" s="14" t="str">
        <f>"84230"</f>
        <v>84230</v>
      </c>
      <c r="E415" s="14" t="s">
        <v>1742</v>
      </c>
      <c r="F415" s="14" t="s">
        <v>1532</v>
      </c>
      <c r="G415" s="14" t="str">
        <f>""</f>
        <v/>
      </c>
      <c r="H415" s="14" t="str">
        <f>" 10"</f>
        <v xml:space="preserve"> 10</v>
      </c>
      <c r="I415" s="14">
        <v>0.01</v>
      </c>
      <c r="J415" s="14">
        <v>500</v>
      </c>
      <c r="K415" s="14" t="s">
        <v>146</v>
      </c>
      <c r="L415" s="14" t="s">
        <v>147</v>
      </c>
      <c r="P415" s="14" t="s">
        <v>31</v>
      </c>
      <c r="Q415" s="14" t="s">
        <v>31</v>
      </c>
      <c r="R415" s="14" t="s">
        <v>147</v>
      </c>
    </row>
    <row r="416" spans="1:18" s="14" customFormat="1" x14ac:dyDescent="0.25">
      <c r="A416" s="14" t="str">
        <f>"85026"</f>
        <v>85026</v>
      </c>
      <c r="B416" s="14" t="str">
        <f>"07030"</f>
        <v>07030</v>
      </c>
      <c r="C416" s="14" t="str">
        <f>"8000"</f>
        <v>8000</v>
      </c>
      <c r="D416" s="14" t="str">
        <f>"85026"</f>
        <v>85026</v>
      </c>
      <c r="E416" s="14" t="s">
        <v>1780</v>
      </c>
      <c r="F416" s="14" t="s">
        <v>1776</v>
      </c>
      <c r="G416" s="14" t="str">
        <f>""</f>
        <v/>
      </c>
      <c r="H416" s="14" t="str">
        <f>" 10"</f>
        <v xml:space="preserve"> 10</v>
      </c>
      <c r="I416" s="14">
        <v>0.01</v>
      </c>
      <c r="J416" s="14">
        <v>500</v>
      </c>
      <c r="K416" s="14" t="s">
        <v>146</v>
      </c>
      <c r="L416" s="14" t="s">
        <v>162</v>
      </c>
      <c r="P416" s="14" t="s">
        <v>39</v>
      </c>
      <c r="Q416" s="14" t="s">
        <v>39</v>
      </c>
      <c r="R416" s="14" t="s">
        <v>146</v>
      </c>
    </row>
    <row r="417" spans="1:18" s="14" customFormat="1" x14ac:dyDescent="0.25">
      <c r="A417" s="14" t="str">
        <f>"85055"</f>
        <v>85055</v>
      </c>
      <c r="B417" s="14" t="str">
        <f>"07030"</f>
        <v>07030</v>
      </c>
      <c r="C417" s="14" t="str">
        <f>"8000"</f>
        <v>8000</v>
      </c>
      <c r="D417" s="14" t="str">
        <f>"85055"</f>
        <v>85055</v>
      </c>
      <c r="E417" s="14" t="s">
        <v>1783</v>
      </c>
      <c r="F417" s="14" t="s">
        <v>1776</v>
      </c>
      <c r="G417" s="14" t="str">
        <f>""</f>
        <v/>
      </c>
      <c r="H417" s="14" t="str">
        <f>" 10"</f>
        <v xml:space="preserve"> 10</v>
      </c>
      <c r="I417" s="14">
        <v>0.01</v>
      </c>
      <c r="J417" s="14">
        <v>500</v>
      </c>
      <c r="K417" s="14" t="s">
        <v>146</v>
      </c>
      <c r="L417" s="14" t="s">
        <v>147</v>
      </c>
      <c r="P417" s="14" t="s">
        <v>39</v>
      </c>
      <c r="Q417" s="14" t="s">
        <v>39</v>
      </c>
      <c r="R417" s="14" t="s">
        <v>146</v>
      </c>
    </row>
    <row r="418" spans="1:18" s="14" customFormat="1" x14ac:dyDescent="0.25">
      <c r="A418" s="14" t="str">
        <f>"10001"</f>
        <v>10001</v>
      </c>
      <c r="B418" s="14" t="str">
        <f>"01005"</f>
        <v>01005</v>
      </c>
      <c r="C418" s="14" t="str">
        <f>"1400"</f>
        <v>1400</v>
      </c>
      <c r="D418" s="14" t="str">
        <f>"01005"</f>
        <v>01005</v>
      </c>
      <c r="E418" s="14" t="s">
        <v>20</v>
      </c>
      <c r="F418" s="14" t="s">
        <v>46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47</v>
      </c>
      <c r="L418" s="14" t="s">
        <v>23</v>
      </c>
      <c r="P418" s="14" t="s">
        <v>39</v>
      </c>
      <c r="Q418" s="14" t="s">
        <v>25</v>
      </c>
      <c r="R418" s="14" t="s">
        <v>23</v>
      </c>
    </row>
    <row r="419" spans="1:18" s="14" customFormat="1" x14ac:dyDescent="0.25">
      <c r="A419" s="14" t="str">
        <f>"10001"</f>
        <v>10001</v>
      </c>
      <c r="B419" s="14" t="str">
        <f>"05000"</f>
        <v>05000</v>
      </c>
      <c r="C419" s="14" t="str">
        <f>"1700"</f>
        <v>1700</v>
      </c>
      <c r="D419" s="14" t="str">
        <f>"05000"</f>
        <v>05000</v>
      </c>
      <c r="E419" s="14" t="s">
        <v>20</v>
      </c>
      <c r="F419" s="14" t="s">
        <v>366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47</v>
      </c>
      <c r="L419" s="14" t="s">
        <v>37</v>
      </c>
      <c r="P419" s="14" t="s">
        <v>31</v>
      </c>
      <c r="Q419" s="14" t="s">
        <v>25</v>
      </c>
      <c r="R419" s="14" t="s">
        <v>367</v>
      </c>
    </row>
    <row r="420" spans="1:18" s="14" customFormat="1" x14ac:dyDescent="0.25">
      <c r="A420" s="14" t="str">
        <f>"10001"</f>
        <v>10001</v>
      </c>
      <c r="B420" s="14" t="str">
        <f>"05001"</f>
        <v>05001</v>
      </c>
      <c r="C420" s="14" t="str">
        <f>"1700"</f>
        <v>1700</v>
      </c>
      <c r="D420" s="14" t="str">
        <f>"05001"</f>
        <v>05001</v>
      </c>
      <c r="E420" s="14" t="s">
        <v>20</v>
      </c>
      <c r="F420" s="14" t="s">
        <v>368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47</v>
      </c>
      <c r="L420" s="14" t="s">
        <v>37</v>
      </c>
      <c r="P420" s="14" t="s">
        <v>31</v>
      </c>
      <c r="Q420" s="14" t="s">
        <v>25</v>
      </c>
      <c r="R420" s="14" t="s">
        <v>367</v>
      </c>
    </row>
    <row r="421" spans="1:18" s="14" customFormat="1" x14ac:dyDescent="0.25">
      <c r="A421" s="14" t="str">
        <f>"10001"</f>
        <v>10001</v>
      </c>
      <c r="B421" s="14" t="str">
        <f>"05110"</f>
        <v>05110</v>
      </c>
      <c r="C421" s="14" t="str">
        <f>"1700"</f>
        <v>1700</v>
      </c>
      <c r="D421" s="14" t="str">
        <f>"05110"</f>
        <v>05110</v>
      </c>
      <c r="E421" s="14" t="s">
        <v>20</v>
      </c>
      <c r="F421" s="14" t="s">
        <v>391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47</v>
      </c>
      <c r="L421" s="14" t="s">
        <v>392</v>
      </c>
      <c r="P421" s="14" t="s">
        <v>31</v>
      </c>
      <c r="Q421" s="14" t="s">
        <v>25</v>
      </c>
      <c r="R421" s="14" t="s">
        <v>392</v>
      </c>
    </row>
    <row r="422" spans="1:18" s="14" customFormat="1" x14ac:dyDescent="0.25">
      <c r="A422" s="14" t="str">
        <f>"16001"</f>
        <v>16001</v>
      </c>
      <c r="B422" s="14" t="str">
        <f>"05000"</f>
        <v>05000</v>
      </c>
      <c r="C422" s="14" t="str">
        <f>"1700"</f>
        <v>1700</v>
      </c>
      <c r="D422" s="14" t="str">
        <f>"16001"</f>
        <v>16001</v>
      </c>
      <c r="E422" s="14" t="s">
        <v>520</v>
      </c>
      <c r="F422" s="14" t="s">
        <v>366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47</v>
      </c>
      <c r="L422" s="14" t="s">
        <v>37</v>
      </c>
      <c r="P422" s="14" t="s">
        <v>31</v>
      </c>
      <c r="Q422" s="14" t="s">
        <v>25</v>
      </c>
      <c r="R422" s="14" t="s">
        <v>367</v>
      </c>
    </row>
    <row r="423" spans="1:18" s="14" customFormat="1" x14ac:dyDescent="0.25">
      <c r="A423" s="14" t="str">
        <f>"16014"</f>
        <v>16014</v>
      </c>
      <c r="B423" s="14" t="str">
        <f>"05100"</f>
        <v>05100</v>
      </c>
      <c r="C423" s="14" t="str">
        <f>"1700"</f>
        <v>1700</v>
      </c>
      <c r="D423" s="14" t="str">
        <f>"16014"</f>
        <v>16014</v>
      </c>
      <c r="E423" s="14" t="s">
        <v>533</v>
      </c>
      <c r="F423" s="14" t="s">
        <v>534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47</v>
      </c>
      <c r="L423" s="14" t="s">
        <v>377</v>
      </c>
      <c r="P423" s="14" t="s">
        <v>31</v>
      </c>
      <c r="Q423" s="14" t="s">
        <v>25</v>
      </c>
      <c r="R423" s="14" t="s">
        <v>377</v>
      </c>
    </row>
    <row r="424" spans="1:18" s="14" customFormat="1" x14ac:dyDescent="0.25">
      <c r="A424" s="14" t="str">
        <f>"16015"</f>
        <v>16015</v>
      </c>
      <c r="B424" s="14" t="str">
        <f>"05100"</f>
        <v>05100</v>
      </c>
      <c r="C424" s="14" t="str">
        <f>"1700"</f>
        <v>1700</v>
      </c>
      <c r="D424" s="14" t="str">
        <f>"16015"</f>
        <v>16015</v>
      </c>
      <c r="E424" s="14" t="s">
        <v>535</v>
      </c>
      <c r="F424" s="14" t="s">
        <v>534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47</v>
      </c>
      <c r="L424" s="14" t="s">
        <v>377</v>
      </c>
      <c r="M424" s="14" t="s">
        <v>536</v>
      </c>
      <c r="P424" s="14" t="s">
        <v>31</v>
      </c>
      <c r="Q424" s="14" t="s">
        <v>25</v>
      </c>
      <c r="R424" s="14" t="s">
        <v>367</v>
      </c>
    </row>
    <row r="425" spans="1:18" s="14" customFormat="1" x14ac:dyDescent="0.25">
      <c r="A425" s="14" t="str">
        <f>"16047"</f>
        <v>16047</v>
      </c>
      <c r="B425" s="14" t="str">
        <f>"05000"</f>
        <v>05000</v>
      </c>
      <c r="C425" s="14" t="str">
        <f>"1700"</f>
        <v>1700</v>
      </c>
      <c r="D425" s="14" t="str">
        <f>"16047"</f>
        <v>16047</v>
      </c>
      <c r="E425" s="14" t="s">
        <v>561</v>
      </c>
      <c r="F425" s="14" t="s">
        <v>366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47</v>
      </c>
      <c r="L425" s="14" t="s">
        <v>37</v>
      </c>
      <c r="P425" s="14" t="s">
        <v>31</v>
      </c>
      <c r="Q425" s="14" t="s">
        <v>25</v>
      </c>
      <c r="R425" s="14" t="s">
        <v>367</v>
      </c>
    </row>
    <row r="426" spans="1:18" s="14" customFormat="1" x14ac:dyDescent="0.25">
      <c r="A426" s="14" t="str">
        <f>"16057"</f>
        <v>16057</v>
      </c>
      <c r="B426" s="14" t="str">
        <f>"05110"</f>
        <v>05110</v>
      </c>
      <c r="C426" s="14" t="str">
        <f>"1700"</f>
        <v>1700</v>
      </c>
      <c r="D426" s="14" t="str">
        <f>"16057"</f>
        <v>16057</v>
      </c>
      <c r="E426" s="14" t="s">
        <v>571</v>
      </c>
      <c r="F426" s="14" t="s">
        <v>391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47</v>
      </c>
      <c r="L426" s="14" t="s">
        <v>392</v>
      </c>
      <c r="P426" s="14" t="s">
        <v>31</v>
      </c>
      <c r="Q426" s="14" t="s">
        <v>25</v>
      </c>
      <c r="R426" s="14" t="s">
        <v>392</v>
      </c>
    </row>
    <row r="427" spans="1:18" s="14" customFormat="1" x14ac:dyDescent="0.25">
      <c r="A427" s="14" t="str">
        <f>"16059"</f>
        <v>16059</v>
      </c>
      <c r="B427" s="14" t="str">
        <f>"05000"</f>
        <v>05000</v>
      </c>
      <c r="C427" s="14" t="str">
        <f>"1700"</f>
        <v>1700</v>
      </c>
      <c r="D427" s="14" t="str">
        <f>"16059"</f>
        <v>16059</v>
      </c>
      <c r="E427" s="14" t="s">
        <v>573</v>
      </c>
      <c r="F427" s="14" t="s">
        <v>366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47</v>
      </c>
      <c r="L427" s="14" t="s">
        <v>377</v>
      </c>
      <c r="P427" s="14" t="s">
        <v>31</v>
      </c>
      <c r="Q427" s="14" t="s">
        <v>25</v>
      </c>
      <c r="R427" s="14" t="s">
        <v>377</v>
      </c>
    </row>
    <row r="428" spans="1:18" s="14" customFormat="1" x14ac:dyDescent="0.25">
      <c r="A428" s="14" t="str">
        <f>"16063"</f>
        <v>16063</v>
      </c>
      <c r="B428" s="14" t="str">
        <f>"05000"</f>
        <v>05000</v>
      </c>
      <c r="C428" s="14" t="str">
        <f>"1700"</f>
        <v>1700</v>
      </c>
      <c r="D428" s="14" t="str">
        <f>""</f>
        <v/>
      </c>
      <c r="E428" s="14" t="s">
        <v>577</v>
      </c>
      <c r="F428" s="14" t="s">
        <v>366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47</v>
      </c>
      <c r="L428" s="14" t="s">
        <v>37</v>
      </c>
      <c r="P428" s="14" t="s">
        <v>31</v>
      </c>
      <c r="Q428" s="14" t="s">
        <v>25</v>
      </c>
      <c r="R428" s="14" t="s">
        <v>367</v>
      </c>
    </row>
    <row r="429" spans="1:18" s="14" customFormat="1" x14ac:dyDescent="0.25">
      <c r="A429" s="14" t="str">
        <f>"18120"</f>
        <v>18120</v>
      </c>
      <c r="B429" s="14" t="str">
        <f>"05000"</f>
        <v>05000</v>
      </c>
      <c r="C429" s="14" t="str">
        <f>"1600"</f>
        <v>1600</v>
      </c>
      <c r="D429" s="14" t="str">
        <f>"18120"</f>
        <v>18120</v>
      </c>
      <c r="E429" s="14" t="s">
        <v>685</v>
      </c>
      <c r="F429" s="14" t="s">
        <v>366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47</v>
      </c>
      <c r="L429" s="14" t="s">
        <v>370</v>
      </c>
      <c r="P429" s="14" t="s">
        <v>31</v>
      </c>
      <c r="Q429" s="14" t="s">
        <v>25</v>
      </c>
      <c r="R429" s="14" t="s">
        <v>367</v>
      </c>
    </row>
    <row r="430" spans="1:18" s="14" customFormat="1" x14ac:dyDescent="0.25">
      <c r="A430" s="14" t="str">
        <f>"24281"</f>
        <v>24281</v>
      </c>
      <c r="B430" s="14" t="str">
        <f>"05000"</f>
        <v>05000</v>
      </c>
      <c r="C430" s="14" t="str">
        <f>"1700"</f>
        <v>1700</v>
      </c>
      <c r="D430" s="14" t="str">
        <f>"24281"</f>
        <v>24281</v>
      </c>
      <c r="E430" s="14" t="s">
        <v>903</v>
      </c>
      <c r="F430" s="14" t="s">
        <v>366</v>
      </c>
      <c r="G430" s="14" t="str">
        <f>"GR0024281"</f>
        <v>GR0024281</v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47</v>
      </c>
      <c r="L430" s="14" t="s">
        <v>37</v>
      </c>
      <c r="M430" s="14" t="s">
        <v>370</v>
      </c>
      <c r="O430" s="14" t="s">
        <v>47</v>
      </c>
      <c r="P430" s="14" t="s">
        <v>701</v>
      </c>
      <c r="Q430" s="14" t="s">
        <v>701</v>
      </c>
      <c r="R430" s="14" t="s">
        <v>367</v>
      </c>
    </row>
    <row r="431" spans="1:18" s="14" customFormat="1" x14ac:dyDescent="0.25">
      <c r="A431" s="14" t="str">
        <f>"30110"</f>
        <v>30110</v>
      </c>
      <c r="B431" s="14" t="str">
        <f>"05000"</f>
        <v>05000</v>
      </c>
      <c r="C431" s="14" t="str">
        <f>"1930"</f>
        <v>1930</v>
      </c>
      <c r="D431" s="14" t="str">
        <f>""</f>
        <v/>
      </c>
      <c r="E431" s="14" t="s">
        <v>953</v>
      </c>
      <c r="F431" s="14" t="s">
        <v>366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47</v>
      </c>
      <c r="L431" s="14" t="s">
        <v>37</v>
      </c>
      <c r="P431" s="14" t="s">
        <v>31</v>
      </c>
      <c r="Q431" s="14" t="s">
        <v>25</v>
      </c>
      <c r="R431" s="14" t="s">
        <v>367</v>
      </c>
    </row>
    <row r="432" spans="1:18" s="14" customFormat="1" x14ac:dyDescent="0.25">
      <c r="A432" s="14" t="str">
        <f>"10001"</f>
        <v>10001</v>
      </c>
      <c r="B432" s="14" t="str">
        <f>"01200"</f>
        <v>01200</v>
      </c>
      <c r="C432" s="14" t="str">
        <f>"1100"</f>
        <v>1100</v>
      </c>
      <c r="D432" s="14" t="str">
        <f>"01200"</f>
        <v>01200</v>
      </c>
      <c r="E432" s="14" t="s">
        <v>20</v>
      </c>
      <c r="F432" s="14" t="s">
        <v>68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69</v>
      </c>
      <c r="L432" s="14" t="s">
        <v>70</v>
      </c>
      <c r="M432" s="14" t="s">
        <v>71</v>
      </c>
      <c r="P432" s="14" t="s">
        <v>31</v>
      </c>
      <c r="Q432" s="14" t="s">
        <v>25</v>
      </c>
      <c r="R432" s="14" t="s">
        <v>72</v>
      </c>
    </row>
    <row r="433" spans="1:18" s="14" customFormat="1" x14ac:dyDescent="0.25">
      <c r="A433" s="14" t="str">
        <f>"10001"</f>
        <v>10001</v>
      </c>
      <c r="B433" s="14" t="str">
        <f>"01370"</f>
        <v>01370</v>
      </c>
      <c r="C433" s="14" t="str">
        <f>"1100"</f>
        <v>1100</v>
      </c>
      <c r="D433" s="14" t="str">
        <f>"01370"</f>
        <v>01370</v>
      </c>
      <c r="E433" s="14" t="s">
        <v>20</v>
      </c>
      <c r="F433" s="14" t="s">
        <v>108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69</v>
      </c>
      <c r="L433" s="14" t="s">
        <v>109</v>
      </c>
      <c r="M433" s="14" t="s">
        <v>70</v>
      </c>
      <c r="N433" s="14" t="s">
        <v>71</v>
      </c>
      <c r="P433" s="14" t="s">
        <v>31</v>
      </c>
      <c r="Q433" s="14" t="s">
        <v>25</v>
      </c>
      <c r="R433" s="14" t="s">
        <v>109</v>
      </c>
    </row>
    <row r="434" spans="1:18" s="14" customFormat="1" x14ac:dyDescent="0.25">
      <c r="A434" s="14" t="str">
        <f>"10001"</f>
        <v>10001</v>
      </c>
      <c r="B434" s="14" t="str">
        <f>"01400"</f>
        <v>01400</v>
      </c>
      <c r="C434" s="14" t="str">
        <f>"1300"</f>
        <v>1300</v>
      </c>
      <c r="D434" s="14" t="str">
        <f>"01400"</f>
        <v>01400</v>
      </c>
      <c r="E434" s="14" t="s">
        <v>20</v>
      </c>
      <c r="F434" s="14" t="s">
        <v>117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69</v>
      </c>
      <c r="L434" s="14" t="s">
        <v>70</v>
      </c>
      <c r="M434" s="14" t="s">
        <v>71</v>
      </c>
      <c r="P434" s="14" t="s">
        <v>31</v>
      </c>
      <c r="Q434" s="14" t="s">
        <v>25</v>
      </c>
      <c r="R434" s="14" t="s">
        <v>72</v>
      </c>
    </row>
    <row r="435" spans="1:18" s="14" customFormat="1" x14ac:dyDescent="0.25">
      <c r="A435" s="14" t="str">
        <f>"10001"</f>
        <v>10001</v>
      </c>
      <c r="B435" s="14" t="str">
        <f>"01410"</f>
        <v>01410</v>
      </c>
      <c r="C435" s="14" t="str">
        <f>"1300"</f>
        <v>1300</v>
      </c>
      <c r="D435" s="14" t="str">
        <f>"01410"</f>
        <v>01410</v>
      </c>
      <c r="E435" s="14" t="s">
        <v>20</v>
      </c>
      <c r="F435" s="14" t="s">
        <v>120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69</v>
      </c>
      <c r="L435" s="14" t="s">
        <v>70</v>
      </c>
      <c r="M435" s="14" t="s">
        <v>71</v>
      </c>
      <c r="P435" s="14" t="s">
        <v>31</v>
      </c>
      <c r="Q435" s="14" t="s">
        <v>25</v>
      </c>
      <c r="R435" s="14" t="s">
        <v>72</v>
      </c>
    </row>
    <row r="436" spans="1:18" s="14" customFormat="1" x14ac:dyDescent="0.25">
      <c r="A436" s="14" t="str">
        <f>"10001"</f>
        <v>10001</v>
      </c>
      <c r="B436" s="14" t="str">
        <f>"01420"</f>
        <v>01420</v>
      </c>
      <c r="C436" s="14" t="str">
        <f>"1300"</f>
        <v>1300</v>
      </c>
      <c r="D436" s="14" t="str">
        <f>"01420"</f>
        <v>01420</v>
      </c>
      <c r="E436" s="14" t="s">
        <v>20</v>
      </c>
      <c r="F436" s="14" t="s">
        <v>121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69</v>
      </c>
      <c r="L436" s="14" t="s">
        <v>70</v>
      </c>
      <c r="M436" s="14" t="s">
        <v>71</v>
      </c>
      <c r="P436" s="14" t="s">
        <v>31</v>
      </c>
      <c r="Q436" s="14" t="s">
        <v>25</v>
      </c>
      <c r="R436" s="14" t="s">
        <v>72</v>
      </c>
    </row>
    <row r="437" spans="1:18" s="14" customFormat="1" x14ac:dyDescent="0.25">
      <c r="A437" s="14" t="str">
        <f>"10001"</f>
        <v>10001</v>
      </c>
      <c r="B437" s="14" t="str">
        <f>"01430"</f>
        <v>01430</v>
      </c>
      <c r="C437" s="14" t="str">
        <f>"1300"</f>
        <v>1300</v>
      </c>
      <c r="D437" s="14" t="str">
        <f>"01430"</f>
        <v>01430</v>
      </c>
      <c r="E437" s="14" t="s">
        <v>20</v>
      </c>
      <c r="F437" s="14" t="s">
        <v>122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69</v>
      </c>
      <c r="L437" s="14" t="s">
        <v>70</v>
      </c>
      <c r="M437" s="14" t="s">
        <v>71</v>
      </c>
      <c r="P437" s="14" t="s">
        <v>31</v>
      </c>
      <c r="Q437" s="14" t="s">
        <v>25</v>
      </c>
      <c r="R437" s="14" t="s">
        <v>72</v>
      </c>
    </row>
    <row r="438" spans="1:18" s="14" customFormat="1" x14ac:dyDescent="0.25">
      <c r="A438" s="14" t="str">
        <f>"10001"</f>
        <v>10001</v>
      </c>
      <c r="B438" s="14" t="str">
        <f>"01450"</f>
        <v>01450</v>
      </c>
      <c r="C438" s="14" t="str">
        <f>"1300"</f>
        <v>1300</v>
      </c>
      <c r="D438" s="14" t="str">
        <f>"01450"</f>
        <v>01450</v>
      </c>
      <c r="E438" s="14" t="s">
        <v>20</v>
      </c>
      <c r="F438" s="14" t="s">
        <v>126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69</v>
      </c>
      <c r="L438" s="14" t="s">
        <v>70</v>
      </c>
      <c r="M438" s="14" t="s">
        <v>71</v>
      </c>
      <c r="P438" s="14" t="s">
        <v>31</v>
      </c>
      <c r="Q438" s="14" t="s">
        <v>25</v>
      </c>
      <c r="R438" s="14" t="s">
        <v>72</v>
      </c>
    </row>
    <row r="439" spans="1:18" s="14" customFormat="1" x14ac:dyDescent="0.25">
      <c r="A439" s="14" t="str">
        <f>"10001"</f>
        <v>10001</v>
      </c>
      <c r="B439" s="14" t="str">
        <f>"01460"</f>
        <v>01460</v>
      </c>
      <c r="C439" s="14" t="str">
        <f>"1300"</f>
        <v>1300</v>
      </c>
      <c r="D439" s="14" t="str">
        <f>"01460"</f>
        <v>01460</v>
      </c>
      <c r="E439" s="14" t="s">
        <v>20</v>
      </c>
      <c r="F439" s="14" t="s">
        <v>127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69</v>
      </c>
      <c r="L439" s="14" t="s">
        <v>70</v>
      </c>
      <c r="M439" s="14" t="s">
        <v>71</v>
      </c>
      <c r="P439" s="14" t="s">
        <v>31</v>
      </c>
      <c r="Q439" s="14" t="s">
        <v>25</v>
      </c>
      <c r="R439" s="14" t="s">
        <v>72</v>
      </c>
    </row>
    <row r="440" spans="1:18" s="14" customFormat="1" x14ac:dyDescent="0.25">
      <c r="A440" s="14" t="str">
        <f>"10001"</f>
        <v>10001</v>
      </c>
      <c r="B440" s="14" t="str">
        <f>"01500"</f>
        <v>01500</v>
      </c>
      <c r="C440" s="14" t="str">
        <f>"1100"</f>
        <v>1100</v>
      </c>
      <c r="D440" s="14" t="str">
        <f>"01500"</f>
        <v>01500</v>
      </c>
      <c r="E440" s="14" t="s">
        <v>20</v>
      </c>
      <c r="F440" s="14" t="s">
        <v>130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69</v>
      </c>
      <c r="L440" s="14" t="s">
        <v>70</v>
      </c>
      <c r="M440" s="14" t="s">
        <v>71</v>
      </c>
      <c r="P440" s="14" t="s">
        <v>31</v>
      </c>
      <c r="Q440" s="14" t="s">
        <v>25</v>
      </c>
      <c r="R440" s="14" t="s">
        <v>72</v>
      </c>
    </row>
    <row r="441" spans="1:18" s="14" customFormat="1" x14ac:dyDescent="0.25">
      <c r="A441" s="14" t="str">
        <f>"10001"</f>
        <v>10001</v>
      </c>
      <c r="B441" s="14" t="str">
        <f>"01505"</f>
        <v>01505</v>
      </c>
      <c r="C441" s="14" t="str">
        <f>"1300"</f>
        <v>1300</v>
      </c>
      <c r="D441" s="14" t="str">
        <f>"01505"</f>
        <v>01505</v>
      </c>
      <c r="E441" s="14" t="s">
        <v>20</v>
      </c>
      <c r="F441" s="14" t="s">
        <v>131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69</v>
      </c>
      <c r="L441" s="14" t="s">
        <v>70</v>
      </c>
      <c r="M441" s="14" t="s">
        <v>71</v>
      </c>
      <c r="P441" s="14" t="s">
        <v>31</v>
      </c>
      <c r="Q441" s="14" t="s">
        <v>25</v>
      </c>
      <c r="R441" s="14" t="s">
        <v>72</v>
      </c>
    </row>
    <row r="442" spans="1:18" s="14" customFormat="1" x14ac:dyDescent="0.25">
      <c r="A442" s="14" t="str">
        <f>"10001"</f>
        <v>10001</v>
      </c>
      <c r="B442" s="14" t="str">
        <f>"01545"</f>
        <v>01545</v>
      </c>
      <c r="C442" s="14" t="str">
        <f>"1100"</f>
        <v>1100</v>
      </c>
      <c r="D442" s="14" t="str">
        <f>"01545"</f>
        <v>01545</v>
      </c>
      <c r="E442" s="14" t="s">
        <v>20</v>
      </c>
      <c r="F442" s="14" t="s">
        <v>133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69</v>
      </c>
      <c r="L442" s="14" t="s">
        <v>70</v>
      </c>
      <c r="M442" s="14" t="s">
        <v>71</v>
      </c>
      <c r="P442" s="14" t="s">
        <v>31</v>
      </c>
      <c r="Q442" s="14" t="s">
        <v>25</v>
      </c>
      <c r="R442" s="14" t="s">
        <v>72</v>
      </c>
    </row>
    <row r="443" spans="1:18" s="14" customFormat="1" x14ac:dyDescent="0.25">
      <c r="A443" s="14" t="str">
        <f>"10001"</f>
        <v>10001</v>
      </c>
      <c r="B443" s="14" t="str">
        <f>"01550"</f>
        <v>01550</v>
      </c>
      <c r="C443" s="14" t="str">
        <f>"1100"</f>
        <v>1100</v>
      </c>
      <c r="D443" s="14" t="str">
        <f>"01550"</f>
        <v>01550</v>
      </c>
      <c r="E443" s="14" t="s">
        <v>20</v>
      </c>
      <c r="F443" s="14" t="s">
        <v>134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69</v>
      </c>
      <c r="L443" s="14" t="s">
        <v>70</v>
      </c>
      <c r="M443" s="14" t="s">
        <v>71</v>
      </c>
      <c r="P443" s="14" t="s">
        <v>31</v>
      </c>
      <c r="Q443" s="14" t="s">
        <v>25</v>
      </c>
      <c r="R443" s="14" t="s">
        <v>72</v>
      </c>
    </row>
    <row r="444" spans="1:18" s="14" customFormat="1" x14ac:dyDescent="0.25">
      <c r="A444" s="14" t="str">
        <f>"10001"</f>
        <v>10001</v>
      </c>
      <c r="B444" s="14" t="str">
        <f>"01560"</f>
        <v>01560</v>
      </c>
      <c r="C444" s="14" t="str">
        <f>"1100"</f>
        <v>1100</v>
      </c>
      <c r="D444" s="14" t="str">
        <f>"01560"</f>
        <v>01560</v>
      </c>
      <c r="E444" s="14" t="s">
        <v>20</v>
      </c>
      <c r="F444" s="14" t="s">
        <v>135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69</v>
      </c>
      <c r="L444" s="14" t="s">
        <v>70</v>
      </c>
      <c r="M444" s="14" t="s">
        <v>71</v>
      </c>
      <c r="P444" s="14" t="s">
        <v>31</v>
      </c>
      <c r="Q444" s="14" t="s">
        <v>25</v>
      </c>
      <c r="R444" s="14" t="s">
        <v>72</v>
      </c>
    </row>
    <row r="445" spans="1:18" s="14" customFormat="1" x14ac:dyDescent="0.25">
      <c r="A445" s="14" t="str">
        <f>"10001"</f>
        <v>10001</v>
      </c>
      <c r="B445" s="14" t="str">
        <f>"01570"</f>
        <v>01570</v>
      </c>
      <c r="C445" s="14" t="str">
        <f>"1100"</f>
        <v>1100</v>
      </c>
      <c r="D445" s="14" t="str">
        <f>"01570"</f>
        <v>01570</v>
      </c>
      <c r="E445" s="14" t="s">
        <v>20</v>
      </c>
      <c r="F445" s="14" t="s">
        <v>136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69</v>
      </c>
      <c r="L445" s="14" t="s">
        <v>70</v>
      </c>
      <c r="M445" s="14" t="s">
        <v>71</v>
      </c>
      <c r="P445" s="14" t="s">
        <v>31</v>
      </c>
      <c r="Q445" s="14" t="s">
        <v>25</v>
      </c>
      <c r="R445" s="14" t="s">
        <v>72</v>
      </c>
    </row>
    <row r="446" spans="1:18" s="14" customFormat="1" x14ac:dyDescent="0.25">
      <c r="A446" s="14" t="str">
        <f>"10001"</f>
        <v>10001</v>
      </c>
      <c r="B446" s="14" t="str">
        <f>"01580"</f>
        <v>01580</v>
      </c>
      <c r="C446" s="14" t="str">
        <f>"1100"</f>
        <v>1100</v>
      </c>
      <c r="D446" s="14" t="str">
        <f>"01580"</f>
        <v>01580</v>
      </c>
      <c r="E446" s="14" t="s">
        <v>20</v>
      </c>
      <c r="F446" s="14" t="s">
        <v>137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69</v>
      </c>
      <c r="L446" s="14" t="s">
        <v>70</v>
      </c>
      <c r="M446" s="14" t="s">
        <v>71</v>
      </c>
      <c r="P446" s="14" t="s">
        <v>31</v>
      </c>
      <c r="Q446" s="14" t="s">
        <v>25</v>
      </c>
      <c r="R446" s="14" t="s">
        <v>72</v>
      </c>
    </row>
    <row r="447" spans="1:18" s="14" customFormat="1" x14ac:dyDescent="0.25">
      <c r="A447" s="14" t="str">
        <f>"10001"</f>
        <v>10001</v>
      </c>
      <c r="B447" s="14" t="str">
        <f>"01600"</f>
        <v>01600</v>
      </c>
      <c r="C447" s="14" t="str">
        <f>"1100"</f>
        <v>1100</v>
      </c>
      <c r="D447" s="14" t="str">
        <f>"01600"</f>
        <v>01600</v>
      </c>
      <c r="E447" s="14" t="s">
        <v>20</v>
      </c>
      <c r="F447" s="14" t="s">
        <v>138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69</v>
      </c>
      <c r="L447" s="14" t="s">
        <v>70</v>
      </c>
      <c r="M447" s="14" t="s">
        <v>71</v>
      </c>
      <c r="P447" s="14" t="s">
        <v>31</v>
      </c>
      <c r="Q447" s="14" t="s">
        <v>25</v>
      </c>
      <c r="R447" s="14" t="s">
        <v>72</v>
      </c>
    </row>
    <row r="448" spans="1:18" s="14" customFormat="1" x14ac:dyDescent="0.25">
      <c r="A448" s="14" t="str">
        <f>"10001"</f>
        <v>10001</v>
      </c>
      <c r="B448" s="14" t="str">
        <f>"01610"</f>
        <v>01610</v>
      </c>
      <c r="C448" s="14" t="str">
        <f>"1100"</f>
        <v>1100</v>
      </c>
      <c r="D448" s="14" t="str">
        <f>"01610"</f>
        <v>01610</v>
      </c>
      <c r="E448" s="14" t="s">
        <v>20</v>
      </c>
      <c r="F448" s="14" t="s">
        <v>139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69</v>
      </c>
      <c r="L448" s="14" t="s">
        <v>70</v>
      </c>
      <c r="M448" s="14" t="s">
        <v>71</v>
      </c>
      <c r="P448" s="14" t="s">
        <v>31</v>
      </c>
      <c r="Q448" s="14" t="s">
        <v>25</v>
      </c>
      <c r="R448" s="14" t="s">
        <v>72</v>
      </c>
    </row>
    <row r="449" spans="1:18" s="14" customFormat="1" x14ac:dyDescent="0.25">
      <c r="A449" s="14" t="str">
        <f>"10001"</f>
        <v>10001</v>
      </c>
      <c r="B449" s="14" t="str">
        <f>"01620"</f>
        <v>01620</v>
      </c>
      <c r="C449" s="14" t="str">
        <f>"1100"</f>
        <v>1100</v>
      </c>
      <c r="D449" s="14" t="str">
        <f>"01620"</f>
        <v>01620</v>
      </c>
      <c r="E449" s="14" t="s">
        <v>20</v>
      </c>
      <c r="F449" s="14" t="s">
        <v>140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69</v>
      </c>
      <c r="L449" s="14" t="s">
        <v>70</v>
      </c>
      <c r="M449" s="14" t="s">
        <v>71</v>
      </c>
      <c r="P449" s="14" t="s">
        <v>31</v>
      </c>
      <c r="Q449" s="14" t="s">
        <v>25</v>
      </c>
      <c r="R449" s="14" t="s">
        <v>141</v>
      </c>
    </row>
    <row r="450" spans="1:18" s="14" customFormat="1" x14ac:dyDescent="0.25">
      <c r="A450" s="14" t="str">
        <f>"10001"</f>
        <v>10001</v>
      </c>
      <c r="B450" s="14" t="str">
        <f>"01630"</f>
        <v>01630</v>
      </c>
      <c r="C450" s="14" t="str">
        <f>"1100"</f>
        <v>1100</v>
      </c>
      <c r="D450" s="14" t="str">
        <f>"01630"</f>
        <v>01630</v>
      </c>
      <c r="E450" s="14" t="s">
        <v>20</v>
      </c>
      <c r="F450" s="14" t="s">
        <v>142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69</v>
      </c>
      <c r="L450" s="14" t="s">
        <v>70</v>
      </c>
      <c r="M450" s="14" t="s">
        <v>71</v>
      </c>
      <c r="P450" s="14" t="s">
        <v>31</v>
      </c>
      <c r="Q450" s="14" t="s">
        <v>25</v>
      </c>
      <c r="R450" s="14" t="s">
        <v>72</v>
      </c>
    </row>
    <row r="451" spans="1:18" s="14" customFormat="1" x14ac:dyDescent="0.25">
      <c r="A451" s="14" t="str">
        <f>"10001"</f>
        <v>10001</v>
      </c>
      <c r="B451" s="14" t="str">
        <f>"01640"</f>
        <v>01640</v>
      </c>
      <c r="C451" s="14" t="str">
        <f>"1100"</f>
        <v>1100</v>
      </c>
      <c r="D451" s="14" t="str">
        <f>"01640"</f>
        <v>01640</v>
      </c>
      <c r="E451" s="14" t="s">
        <v>20</v>
      </c>
      <c r="F451" s="14" t="s">
        <v>143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69</v>
      </c>
      <c r="L451" s="14" t="s">
        <v>70</v>
      </c>
      <c r="M451" s="14" t="s">
        <v>71</v>
      </c>
      <c r="P451" s="14" t="s">
        <v>31</v>
      </c>
      <c r="Q451" s="14" t="s">
        <v>25</v>
      </c>
      <c r="R451" s="14" t="s">
        <v>72</v>
      </c>
    </row>
    <row r="452" spans="1:18" s="14" customFormat="1" x14ac:dyDescent="0.25">
      <c r="A452" s="14" t="str">
        <f>"10001"</f>
        <v>10001</v>
      </c>
      <c r="B452" s="14" t="str">
        <f>"01645"</f>
        <v>01645</v>
      </c>
      <c r="C452" s="14" t="str">
        <f>"1100"</f>
        <v>1100</v>
      </c>
      <c r="D452" s="14" t="str">
        <f>"01645"</f>
        <v>01645</v>
      </c>
      <c r="E452" s="14" t="s">
        <v>20</v>
      </c>
      <c r="F452" s="14" t="s">
        <v>144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69</v>
      </c>
      <c r="L452" s="14" t="s">
        <v>70</v>
      </c>
      <c r="M452" s="14" t="s">
        <v>71</v>
      </c>
      <c r="P452" s="14" t="s">
        <v>31</v>
      </c>
      <c r="Q452" s="14" t="s">
        <v>25</v>
      </c>
      <c r="R452" s="14" t="s">
        <v>72</v>
      </c>
    </row>
    <row r="453" spans="1:18" s="14" customFormat="1" x14ac:dyDescent="0.25">
      <c r="A453" s="14" t="str">
        <f>"11001"</f>
        <v>11001</v>
      </c>
      <c r="B453" s="14" t="str">
        <f>"01400"</f>
        <v>01400</v>
      </c>
      <c r="C453" s="14" t="str">
        <f>"1300"</f>
        <v>1300</v>
      </c>
      <c r="D453" s="14" t="str">
        <f>""</f>
        <v/>
      </c>
      <c r="E453" s="14" t="s">
        <v>435</v>
      </c>
      <c r="F453" s="14" t="s">
        <v>117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69</v>
      </c>
      <c r="L453" s="14" t="s">
        <v>70</v>
      </c>
      <c r="M453" s="14" t="s">
        <v>71</v>
      </c>
      <c r="P453" s="14" t="s">
        <v>31</v>
      </c>
      <c r="Q453" s="14" t="s">
        <v>25</v>
      </c>
      <c r="R453" s="14" t="s">
        <v>72</v>
      </c>
    </row>
    <row r="454" spans="1:18" s="14" customFormat="1" x14ac:dyDescent="0.25">
      <c r="A454" s="14" t="str">
        <f>"11006"</f>
        <v>11006</v>
      </c>
      <c r="B454" s="14" t="str">
        <f>"01480"</f>
        <v>01480</v>
      </c>
      <c r="C454" s="14" t="str">
        <f>"1300"</f>
        <v>1300</v>
      </c>
      <c r="D454" s="14" t="str">
        <f>""</f>
        <v/>
      </c>
      <c r="E454" s="14" t="s">
        <v>440</v>
      </c>
      <c r="F454" s="14" t="s">
        <v>128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69</v>
      </c>
      <c r="L454" s="14" t="s">
        <v>70</v>
      </c>
      <c r="M454" s="14" t="s">
        <v>71</v>
      </c>
      <c r="P454" s="14" t="s">
        <v>31</v>
      </c>
      <c r="Q454" s="14" t="s">
        <v>25</v>
      </c>
      <c r="R454" s="14" t="s">
        <v>72</v>
      </c>
    </row>
    <row r="455" spans="1:18" s="14" customFormat="1" x14ac:dyDescent="0.25">
      <c r="A455" s="14" t="str">
        <f>"11007"</f>
        <v>11007</v>
      </c>
      <c r="B455" s="14" t="str">
        <f>"01410"</f>
        <v>01410</v>
      </c>
      <c r="C455" s="14" t="str">
        <f>"1300"</f>
        <v>1300</v>
      </c>
      <c r="D455" s="14" t="str">
        <f>""</f>
        <v/>
      </c>
      <c r="E455" s="14" t="s">
        <v>441</v>
      </c>
      <c r="F455" s="14" t="s">
        <v>120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69</v>
      </c>
      <c r="L455" s="14" t="s">
        <v>70</v>
      </c>
      <c r="M455" s="14" t="s">
        <v>71</v>
      </c>
      <c r="P455" s="14" t="s">
        <v>31</v>
      </c>
      <c r="Q455" s="14" t="s">
        <v>25</v>
      </c>
      <c r="R455" s="14" t="s">
        <v>72</v>
      </c>
    </row>
    <row r="456" spans="1:18" s="14" customFormat="1" x14ac:dyDescent="0.25">
      <c r="A456" s="14" t="str">
        <f>"11009"</f>
        <v>11009</v>
      </c>
      <c r="B456" s="14" t="str">
        <f>"01450"</f>
        <v>01450</v>
      </c>
      <c r="C456" s="14" t="str">
        <f>"1300"</f>
        <v>1300</v>
      </c>
      <c r="D456" s="14" t="str">
        <f>""</f>
        <v/>
      </c>
      <c r="E456" s="14" t="s">
        <v>443</v>
      </c>
      <c r="F456" s="14" t="s">
        <v>126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69</v>
      </c>
      <c r="L456" s="14" t="s">
        <v>70</v>
      </c>
      <c r="M456" s="14" t="s">
        <v>71</v>
      </c>
      <c r="P456" s="14" t="s">
        <v>31</v>
      </c>
      <c r="Q456" s="14" t="s">
        <v>25</v>
      </c>
      <c r="R456" s="14" t="s">
        <v>72</v>
      </c>
    </row>
    <row r="457" spans="1:18" s="14" customFormat="1" x14ac:dyDescent="0.25">
      <c r="A457" s="14" t="str">
        <f>"11010"</f>
        <v>11010</v>
      </c>
      <c r="B457" s="14" t="str">
        <f>"01530"</f>
        <v>01530</v>
      </c>
      <c r="C457" s="14" t="str">
        <f>"1100"</f>
        <v>1100</v>
      </c>
      <c r="D457" s="14" t="str">
        <f>""</f>
        <v/>
      </c>
      <c r="E457" s="14" t="s">
        <v>444</v>
      </c>
      <c r="F457" s="14" t="s">
        <v>445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69</v>
      </c>
      <c r="L457" s="14" t="s">
        <v>70</v>
      </c>
      <c r="M457" s="14" t="s">
        <v>71</v>
      </c>
      <c r="P457" s="14" t="s">
        <v>31</v>
      </c>
      <c r="Q457" s="14" t="s">
        <v>25</v>
      </c>
      <c r="R457" s="14" t="s">
        <v>72</v>
      </c>
    </row>
    <row r="458" spans="1:18" s="14" customFormat="1" x14ac:dyDescent="0.25">
      <c r="A458" s="14" t="str">
        <f>"11033"</f>
        <v>11033</v>
      </c>
      <c r="B458" s="14" t="str">
        <f>"01400"</f>
        <v>01400</v>
      </c>
      <c r="C458" s="14" t="str">
        <f>"1300"</f>
        <v>1300</v>
      </c>
      <c r="D458" s="14" t="str">
        <f>""</f>
        <v/>
      </c>
      <c r="E458" s="14" t="s">
        <v>466</v>
      </c>
      <c r="F458" s="14" t="s">
        <v>117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69</v>
      </c>
      <c r="L458" s="14" t="s">
        <v>70</v>
      </c>
      <c r="M458" s="14" t="s">
        <v>71</v>
      </c>
      <c r="P458" s="14" t="s">
        <v>31</v>
      </c>
      <c r="Q458" s="14" t="s">
        <v>25</v>
      </c>
      <c r="R458" s="14" t="s">
        <v>467</v>
      </c>
    </row>
    <row r="459" spans="1:18" s="14" customFormat="1" x14ac:dyDescent="0.25">
      <c r="A459" s="14" t="str">
        <f>"18013"</f>
        <v>18013</v>
      </c>
      <c r="B459" s="14" t="str">
        <f>"01400"</f>
        <v>01400</v>
      </c>
      <c r="C459" s="14" t="str">
        <f>"1600"</f>
        <v>1600</v>
      </c>
      <c r="D459" s="14" t="str">
        <f>"18013"</f>
        <v>18013</v>
      </c>
      <c r="E459" s="14" t="s">
        <v>596</v>
      </c>
      <c r="F459" s="14" t="s">
        <v>117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69</v>
      </c>
      <c r="L459" s="14" t="s">
        <v>70</v>
      </c>
      <c r="M459" s="14" t="s">
        <v>71</v>
      </c>
      <c r="P459" s="14" t="s">
        <v>31</v>
      </c>
      <c r="Q459" s="14" t="s">
        <v>25</v>
      </c>
      <c r="R459" s="14" t="s">
        <v>72</v>
      </c>
    </row>
    <row r="460" spans="1:18" s="14" customFormat="1" x14ac:dyDescent="0.25">
      <c r="A460" s="14" t="str">
        <f>"18018"</f>
        <v>18018</v>
      </c>
      <c r="B460" s="14" t="str">
        <f>"01400"</f>
        <v>01400</v>
      </c>
      <c r="C460" s="14" t="str">
        <f>"1300"</f>
        <v>1300</v>
      </c>
      <c r="D460" s="14" t="str">
        <f>"18018"</f>
        <v>18018</v>
      </c>
      <c r="E460" s="14" t="s">
        <v>602</v>
      </c>
      <c r="F460" s="14" t="s">
        <v>117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69</v>
      </c>
      <c r="L460" s="14" t="s">
        <v>70</v>
      </c>
      <c r="M460" s="14" t="s">
        <v>71</v>
      </c>
      <c r="P460" s="14" t="s">
        <v>31</v>
      </c>
      <c r="Q460" s="14" t="s">
        <v>25</v>
      </c>
      <c r="R460" s="14" t="s">
        <v>72</v>
      </c>
    </row>
    <row r="461" spans="1:18" s="14" customFormat="1" x14ac:dyDescent="0.25">
      <c r="A461" s="14" t="str">
        <f>"18032"</f>
        <v>18032</v>
      </c>
      <c r="B461" s="14" t="str">
        <f>"01400"</f>
        <v>01400</v>
      </c>
      <c r="C461" s="14" t="str">
        <f>"1300"</f>
        <v>1300</v>
      </c>
      <c r="D461" s="14" t="str">
        <f>"18032"</f>
        <v>18032</v>
      </c>
      <c r="E461" s="14" t="s">
        <v>607</v>
      </c>
      <c r="F461" s="14" t="s">
        <v>117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69</v>
      </c>
      <c r="L461" s="14" t="s">
        <v>70</v>
      </c>
      <c r="M461" s="14" t="s">
        <v>71</v>
      </c>
      <c r="P461" s="14" t="s">
        <v>31</v>
      </c>
      <c r="Q461" s="14" t="s">
        <v>25</v>
      </c>
      <c r="R461" s="14" t="s">
        <v>72</v>
      </c>
    </row>
    <row r="462" spans="1:18" s="14" customFormat="1" x14ac:dyDescent="0.25">
      <c r="A462" s="14" t="str">
        <f>"18061"</f>
        <v>18061</v>
      </c>
      <c r="B462" s="14" t="str">
        <f>"01200"</f>
        <v>01200</v>
      </c>
      <c r="C462" s="14" t="str">
        <f>"1800"</f>
        <v>1800</v>
      </c>
      <c r="D462" s="14" t="str">
        <f>"18061"</f>
        <v>18061</v>
      </c>
      <c r="E462" s="14" t="s">
        <v>649</v>
      </c>
      <c r="F462" s="14" t="s">
        <v>68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69</v>
      </c>
      <c r="L462" s="14" t="s">
        <v>650</v>
      </c>
      <c r="M462" s="14" t="s">
        <v>70</v>
      </c>
      <c r="N462" s="14" t="s">
        <v>71</v>
      </c>
      <c r="P462" s="14" t="s">
        <v>31</v>
      </c>
      <c r="Q462" s="14" t="s">
        <v>25</v>
      </c>
      <c r="R462" s="14" t="s">
        <v>650</v>
      </c>
    </row>
    <row r="463" spans="1:18" s="14" customFormat="1" x14ac:dyDescent="0.25">
      <c r="A463" s="14" t="str">
        <f>"18063"</f>
        <v>18063</v>
      </c>
      <c r="B463" s="14" t="str">
        <f>"01370"</f>
        <v>01370</v>
      </c>
      <c r="C463" s="14" t="str">
        <f>"1300"</f>
        <v>1300</v>
      </c>
      <c r="D463" s="14" t="str">
        <f>"18063"</f>
        <v>18063</v>
      </c>
      <c r="E463" s="14" t="s">
        <v>651</v>
      </c>
      <c r="F463" s="14" t="s">
        <v>108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69</v>
      </c>
      <c r="L463" s="14" t="s">
        <v>109</v>
      </c>
      <c r="M463" s="14" t="s">
        <v>70</v>
      </c>
      <c r="N463" s="14" t="s">
        <v>71</v>
      </c>
      <c r="P463" s="14" t="s">
        <v>31</v>
      </c>
      <c r="Q463" s="14" t="s">
        <v>25</v>
      </c>
      <c r="R463" s="14" t="s">
        <v>109</v>
      </c>
    </row>
    <row r="464" spans="1:18" s="14" customFormat="1" x14ac:dyDescent="0.25">
      <c r="A464" s="14" t="str">
        <f>"18065"</f>
        <v>18065</v>
      </c>
      <c r="B464" s="14" t="str">
        <f>"01400"</f>
        <v>01400</v>
      </c>
      <c r="C464" s="14" t="str">
        <f>"1300"</f>
        <v>1300</v>
      </c>
      <c r="D464" s="14" t="str">
        <f>"18065"</f>
        <v>18065</v>
      </c>
      <c r="E464" s="14" t="s">
        <v>653</v>
      </c>
      <c r="F464" s="14" t="s">
        <v>117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69</v>
      </c>
      <c r="L464" s="14" t="s">
        <v>70</v>
      </c>
      <c r="M464" s="14" t="s">
        <v>71</v>
      </c>
      <c r="P464" s="14" t="s">
        <v>31</v>
      </c>
      <c r="Q464" s="14" t="s">
        <v>25</v>
      </c>
      <c r="R464" s="14" t="s">
        <v>72</v>
      </c>
    </row>
    <row r="465" spans="1:18" s="14" customFormat="1" x14ac:dyDescent="0.25">
      <c r="A465" s="14" t="str">
        <f>"18095"</f>
        <v>18095</v>
      </c>
      <c r="B465" s="14" t="str">
        <f>"01400"</f>
        <v>01400</v>
      </c>
      <c r="C465" s="14" t="str">
        <f>"1600"</f>
        <v>1600</v>
      </c>
      <c r="D465" s="14" t="str">
        <f>"18095"</f>
        <v>18095</v>
      </c>
      <c r="E465" s="14" t="s">
        <v>668</v>
      </c>
      <c r="F465" s="14" t="s">
        <v>117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69</v>
      </c>
      <c r="L465" s="14" t="s">
        <v>70</v>
      </c>
      <c r="M465" s="14" t="s">
        <v>71</v>
      </c>
      <c r="P465" s="14" t="s">
        <v>31</v>
      </c>
      <c r="Q465" s="14" t="s">
        <v>25</v>
      </c>
      <c r="R465" s="14" t="s">
        <v>72</v>
      </c>
    </row>
    <row r="466" spans="1:18" s="14" customFormat="1" x14ac:dyDescent="0.25">
      <c r="A466" s="14" t="str">
        <f>"18125"</f>
        <v>18125</v>
      </c>
      <c r="B466" s="14" t="str">
        <f>"01620"</f>
        <v>01620</v>
      </c>
      <c r="C466" s="14" t="str">
        <f>"1600"</f>
        <v>1600</v>
      </c>
      <c r="D466" s="14" t="str">
        <f>"18125"</f>
        <v>18125</v>
      </c>
      <c r="E466" s="14" t="s">
        <v>690</v>
      </c>
      <c r="F466" s="14" t="s">
        <v>140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69</v>
      </c>
      <c r="L466" s="14" t="s">
        <v>70</v>
      </c>
      <c r="M466" s="14" t="s">
        <v>71</v>
      </c>
      <c r="N466" s="14" t="s">
        <v>141</v>
      </c>
      <c r="P466" s="14" t="s">
        <v>31</v>
      </c>
      <c r="Q466" s="14" t="s">
        <v>25</v>
      </c>
      <c r="R466" s="14" t="s">
        <v>72</v>
      </c>
    </row>
    <row r="467" spans="1:18" s="14" customFormat="1" x14ac:dyDescent="0.25">
      <c r="A467" s="14" t="str">
        <f>"18127"</f>
        <v>18127</v>
      </c>
      <c r="B467" s="14" t="str">
        <f>"01580"</f>
        <v>01580</v>
      </c>
      <c r="C467" s="14" t="str">
        <f>"1300"</f>
        <v>1300</v>
      </c>
      <c r="D467" s="14" t="str">
        <f>"18127"</f>
        <v>18127</v>
      </c>
      <c r="E467" s="14" t="s">
        <v>692</v>
      </c>
      <c r="F467" s="14" t="s">
        <v>137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69</v>
      </c>
      <c r="L467" s="14" t="s">
        <v>70</v>
      </c>
      <c r="M467" s="14" t="s">
        <v>71</v>
      </c>
      <c r="P467" s="14" t="s">
        <v>31</v>
      </c>
      <c r="Q467" s="14" t="s">
        <v>25</v>
      </c>
      <c r="R467" s="14" t="s">
        <v>72</v>
      </c>
    </row>
    <row r="468" spans="1:18" s="14" customFormat="1" x14ac:dyDescent="0.25">
      <c r="A468" s="14" t="str">
        <f>"18131"</f>
        <v>18131</v>
      </c>
      <c r="B468" s="14" t="str">
        <f>"01400"</f>
        <v>01400</v>
      </c>
      <c r="C468" s="14" t="str">
        <f>"1600"</f>
        <v>1600</v>
      </c>
      <c r="D468" s="14" t="str">
        <f>"18131"</f>
        <v>18131</v>
      </c>
      <c r="E468" s="14" t="s">
        <v>697</v>
      </c>
      <c r="F468" s="14" t="s">
        <v>117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69</v>
      </c>
      <c r="L468" s="14" t="s">
        <v>70</v>
      </c>
      <c r="M468" s="14" t="s">
        <v>71</v>
      </c>
      <c r="P468" s="14" t="s">
        <v>31</v>
      </c>
      <c r="Q468" s="14" t="s">
        <v>25</v>
      </c>
      <c r="R468" s="14" t="s">
        <v>72</v>
      </c>
    </row>
    <row r="469" spans="1:18" s="14" customFormat="1" x14ac:dyDescent="0.25">
      <c r="A469" s="14" t="str">
        <f>"18132"</f>
        <v>18132</v>
      </c>
      <c r="B469" s="14" t="str">
        <f>"01545"</f>
        <v>01545</v>
      </c>
      <c r="C469" s="14" t="str">
        <f>"1600"</f>
        <v>1600</v>
      </c>
      <c r="D469" s="14" t="str">
        <f>"18132"</f>
        <v>18132</v>
      </c>
      <c r="E469" s="14" t="s">
        <v>698</v>
      </c>
      <c r="F469" s="14" t="s">
        <v>133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69</v>
      </c>
      <c r="L469" s="14" t="s">
        <v>70</v>
      </c>
      <c r="M469" s="14" t="s">
        <v>71</v>
      </c>
      <c r="P469" s="14" t="s">
        <v>31</v>
      </c>
      <c r="Q469" s="14" t="s">
        <v>25</v>
      </c>
      <c r="R469" s="14" t="s">
        <v>72</v>
      </c>
    </row>
    <row r="470" spans="1:18" s="14" customFormat="1" x14ac:dyDescent="0.25">
      <c r="A470" s="14" t="str">
        <f>"18133"</f>
        <v>18133</v>
      </c>
      <c r="B470" s="14" t="str">
        <f>"01400"</f>
        <v>01400</v>
      </c>
      <c r="C470" s="14" t="str">
        <f>"1300"</f>
        <v>1300</v>
      </c>
      <c r="D470" s="14" t="str">
        <f>"18133"</f>
        <v>18133</v>
      </c>
      <c r="E470" s="14" t="s">
        <v>699</v>
      </c>
      <c r="F470" s="14" t="s">
        <v>117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69</v>
      </c>
      <c r="L470" s="14" t="s">
        <v>70</v>
      </c>
      <c r="M470" s="14" t="s">
        <v>71</v>
      </c>
      <c r="P470" s="14" t="s">
        <v>31</v>
      </c>
      <c r="Q470" s="14" t="s">
        <v>25</v>
      </c>
      <c r="R470" s="14" t="s">
        <v>72</v>
      </c>
    </row>
    <row r="471" spans="1:18" s="14" customFormat="1" x14ac:dyDescent="0.25">
      <c r="A471" s="14" t="str">
        <f>"18501"</f>
        <v>18501</v>
      </c>
      <c r="B471" s="14" t="str">
        <f>"01400"</f>
        <v>01400</v>
      </c>
      <c r="C471" s="14" t="str">
        <f>"1300"</f>
        <v>1300</v>
      </c>
      <c r="D471" s="14" t="str">
        <f>""</f>
        <v/>
      </c>
      <c r="E471" s="14" t="s">
        <v>700</v>
      </c>
      <c r="F471" s="14" t="s">
        <v>117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69</v>
      </c>
      <c r="L471" s="14" t="s">
        <v>70</v>
      </c>
      <c r="M471" s="14" t="s">
        <v>70</v>
      </c>
      <c r="N471" s="14" t="s">
        <v>71</v>
      </c>
      <c r="P471" s="14" t="s">
        <v>701</v>
      </c>
      <c r="Q471" s="14" t="s">
        <v>25</v>
      </c>
      <c r="R471" s="14" t="s">
        <v>72</v>
      </c>
    </row>
    <row r="472" spans="1:18" s="14" customFormat="1" x14ac:dyDescent="0.25">
      <c r="A472" s="14" t="str">
        <f>"18506"</f>
        <v>18506</v>
      </c>
      <c r="B472" s="14" t="str">
        <f>"01370"</f>
        <v>01370</v>
      </c>
      <c r="C472" s="14" t="str">
        <f>"1300"</f>
        <v>1300</v>
      </c>
      <c r="D472" s="14" t="str">
        <f>""</f>
        <v/>
      </c>
      <c r="E472" s="14" t="s">
        <v>705</v>
      </c>
      <c r="F472" s="14" t="s">
        <v>108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69</v>
      </c>
      <c r="L472" s="14" t="s">
        <v>109</v>
      </c>
      <c r="M472" s="14" t="s">
        <v>70</v>
      </c>
      <c r="N472" s="14" t="s">
        <v>71</v>
      </c>
      <c r="P472" s="14" t="s">
        <v>701</v>
      </c>
      <c r="Q472" s="14" t="s">
        <v>25</v>
      </c>
      <c r="R472" s="14" t="s">
        <v>109</v>
      </c>
    </row>
    <row r="473" spans="1:18" s="14" customFormat="1" x14ac:dyDescent="0.25">
      <c r="A473" s="14" t="str">
        <f>"18521"</f>
        <v>18521</v>
      </c>
      <c r="B473" s="14" t="str">
        <f>"01640"</f>
        <v>01640</v>
      </c>
      <c r="C473" s="14" t="str">
        <f>"1100"</f>
        <v>1100</v>
      </c>
      <c r="D473" s="14" t="str">
        <f>""</f>
        <v/>
      </c>
      <c r="E473" s="14" t="s">
        <v>718</v>
      </c>
      <c r="F473" s="14" t="s">
        <v>143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69</v>
      </c>
      <c r="L473" s="14" t="s">
        <v>70</v>
      </c>
      <c r="M473" s="14" t="s">
        <v>70</v>
      </c>
      <c r="N473" s="14" t="s">
        <v>71</v>
      </c>
      <c r="P473" s="14" t="s">
        <v>701</v>
      </c>
      <c r="Q473" s="14" t="s">
        <v>25</v>
      </c>
      <c r="R473" s="14" t="s">
        <v>72</v>
      </c>
    </row>
    <row r="474" spans="1:18" s="14" customFormat="1" x14ac:dyDescent="0.25">
      <c r="A474" s="14" t="str">
        <f>"18523"</f>
        <v>18523</v>
      </c>
      <c r="B474" s="14" t="str">
        <f>"01560"</f>
        <v>01560</v>
      </c>
      <c r="C474" s="14" t="str">
        <f>"1300"</f>
        <v>1300</v>
      </c>
      <c r="D474" s="14" t="str">
        <f>""</f>
        <v/>
      </c>
      <c r="E474" s="14" t="s">
        <v>720</v>
      </c>
      <c r="F474" s="14" t="s">
        <v>135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69</v>
      </c>
      <c r="L474" s="14" t="s">
        <v>70</v>
      </c>
      <c r="M474" s="14" t="s">
        <v>70</v>
      </c>
      <c r="N474" s="14" t="s">
        <v>71</v>
      </c>
      <c r="P474" s="14" t="s">
        <v>701</v>
      </c>
      <c r="Q474" s="14" t="s">
        <v>25</v>
      </c>
      <c r="R474" s="14" t="s">
        <v>72</v>
      </c>
    </row>
    <row r="475" spans="1:18" s="14" customFormat="1" x14ac:dyDescent="0.25">
      <c r="A475" s="14" t="str">
        <f>"18526"</f>
        <v>18526</v>
      </c>
      <c r="B475" s="14" t="str">
        <f>"01550"</f>
        <v>01550</v>
      </c>
      <c r="C475" s="14" t="str">
        <f>"1300"</f>
        <v>1300</v>
      </c>
      <c r="D475" s="14" t="str">
        <f>""</f>
        <v/>
      </c>
      <c r="E475" s="14" t="s">
        <v>723</v>
      </c>
      <c r="F475" s="14" t="s">
        <v>134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69</v>
      </c>
      <c r="L475" s="14" t="s">
        <v>70</v>
      </c>
      <c r="M475" s="14" t="s">
        <v>70</v>
      </c>
      <c r="N475" s="14" t="s">
        <v>71</v>
      </c>
      <c r="P475" s="14" t="s">
        <v>701</v>
      </c>
      <c r="Q475" s="14" t="s">
        <v>25</v>
      </c>
      <c r="R475" s="14" t="s">
        <v>72</v>
      </c>
    </row>
    <row r="476" spans="1:18" s="14" customFormat="1" x14ac:dyDescent="0.25">
      <c r="A476" s="14" t="str">
        <f>"18531"</f>
        <v>18531</v>
      </c>
      <c r="B476" s="14" t="str">
        <f>"01630"</f>
        <v>01630</v>
      </c>
      <c r="C476" s="14" t="str">
        <f>"1300"</f>
        <v>1300</v>
      </c>
      <c r="D476" s="14" t="str">
        <f>""</f>
        <v/>
      </c>
      <c r="E476" s="14" t="s">
        <v>731</v>
      </c>
      <c r="F476" s="14" t="s">
        <v>142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69</v>
      </c>
      <c r="L476" s="14" t="s">
        <v>70</v>
      </c>
      <c r="M476" s="14" t="s">
        <v>70</v>
      </c>
      <c r="N476" s="14" t="s">
        <v>71</v>
      </c>
      <c r="P476" s="14" t="s">
        <v>701</v>
      </c>
      <c r="Q476" s="14" t="s">
        <v>25</v>
      </c>
      <c r="R476" s="14" t="s">
        <v>72</v>
      </c>
    </row>
    <row r="477" spans="1:18" s="14" customFormat="1" x14ac:dyDescent="0.25">
      <c r="A477" s="14" t="str">
        <f>"18534"</f>
        <v>18534</v>
      </c>
      <c r="B477" s="14" t="str">
        <f>"01620"</f>
        <v>01620</v>
      </c>
      <c r="C477" s="14" t="str">
        <f>"1300"</f>
        <v>1300</v>
      </c>
      <c r="D477" s="14" t="str">
        <f>""</f>
        <v/>
      </c>
      <c r="E477" s="14" t="s">
        <v>734</v>
      </c>
      <c r="F477" s="14" t="s">
        <v>140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69</v>
      </c>
      <c r="L477" s="14" t="s">
        <v>70</v>
      </c>
      <c r="M477" s="14" t="s">
        <v>71</v>
      </c>
      <c r="P477" s="14" t="s">
        <v>701</v>
      </c>
      <c r="Q477" s="14" t="s">
        <v>25</v>
      </c>
      <c r="R477" s="14" t="s">
        <v>141</v>
      </c>
    </row>
    <row r="478" spans="1:18" s="14" customFormat="1" x14ac:dyDescent="0.25">
      <c r="A478" s="14" t="str">
        <f>"18602"</f>
        <v>18602</v>
      </c>
      <c r="B478" s="14" t="str">
        <f>"01545"</f>
        <v>01545</v>
      </c>
      <c r="C478" s="14" t="str">
        <f>"1800"</f>
        <v>1800</v>
      </c>
      <c r="D478" s="14" t="str">
        <f>""</f>
        <v/>
      </c>
      <c r="E478" s="14" t="s">
        <v>737</v>
      </c>
      <c r="F478" s="14" t="s">
        <v>133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69</v>
      </c>
      <c r="L478" s="14" t="s">
        <v>70</v>
      </c>
      <c r="M478" s="14" t="s">
        <v>71</v>
      </c>
      <c r="P478" s="14" t="s">
        <v>31</v>
      </c>
      <c r="Q478" s="14" t="s">
        <v>25</v>
      </c>
      <c r="R478" s="14" t="s">
        <v>72</v>
      </c>
    </row>
    <row r="479" spans="1:18" s="14" customFormat="1" x14ac:dyDescent="0.25">
      <c r="A479" s="14" t="str">
        <f>"18614"</f>
        <v>18614</v>
      </c>
      <c r="B479" s="14" t="str">
        <f>"01400"</f>
        <v>01400</v>
      </c>
      <c r="C479" s="14" t="str">
        <f>"1800"</f>
        <v>1800</v>
      </c>
      <c r="D479" s="14" t="str">
        <f>""</f>
        <v/>
      </c>
      <c r="E479" s="14" t="s">
        <v>1922</v>
      </c>
      <c r="F479" s="14" t="s">
        <v>117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69</v>
      </c>
      <c r="L479" s="14" t="s">
        <v>70</v>
      </c>
      <c r="M479" s="14" t="s">
        <v>71</v>
      </c>
      <c r="P479" s="14" t="s">
        <v>31</v>
      </c>
      <c r="Q479" s="14" t="s">
        <v>25</v>
      </c>
      <c r="R479" s="14" t="s">
        <v>72</v>
      </c>
    </row>
    <row r="480" spans="1:18" s="14" customFormat="1" x14ac:dyDescent="0.25">
      <c r="A480" s="14" t="str">
        <f>"19109"</f>
        <v>19109</v>
      </c>
      <c r="B480" s="14" t="str">
        <f>"01630"</f>
        <v>01630</v>
      </c>
      <c r="C480" s="14" t="str">
        <f>"1300"</f>
        <v>1300</v>
      </c>
      <c r="D480" s="14" t="str">
        <f>"19109"</f>
        <v>19109</v>
      </c>
      <c r="E480" s="14" t="s">
        <v>750</v>
      </c>
      <c r="F480" s="14" t="s">
        <v>142</v>
      </c>
      <c r="G480" s="14" t="str">
        <f>"GR0019109"</f>
        <v>GR0019109</v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69</v>
      </c>
      <c r="L480" s="14" t="s">
        <v>70</v>
      </c>
      <c r="M480" s="14" t="s">
        <v>71</v>
      </c>
      <c r="O480" s="14" t="s">
        <v>751</v>
      </c>
      <c r="P480" s="14" t="s">
        <v>31</v>
      </c>
      <c r="Q480" s="14" t="s">
        <v>31</v>
      </c>
      <c r="R480" s="14" t="s">
        <v>72</v>
      </c>
    </row>
    <row r="481" spans="1:18" s="14" customFormat="1" x14ac:dyDescent="0.25">
      <c r="A481" s="14" t="str">
        <f>"19144"</f>
        <v>19144</v>
      </c>
      <c r="B481" s="14" t="str">
        <f>"01630"</f>
        <v>01630</v>
      </c>
      <c r="C481" s="14" t="str">
        <f>"1300"</f>
        <v>1300</v>
      </c>
      <c r="D481" s="14" t="str">
        <f>"19144"</f>
        <v>19144</v>
      </c>
      <c r="E481" s="14" t="s">
        <v>754</v>
      </c>
      <c r="F481" s="14" t="s">
        <v>142</v>
      </c>
      <c r="G481" s="14" t="str">
        <f>"GR0019144"</f>
        <v>GR0019144</v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69</v>
      </c>
      <c r="L481" s="14" t="s">
        <v>70</v>
      </c>
      <c r="M481" s="14" t="s">
        <v>71</v>
      </c>
      <c r="O481" s="14" t="s">
        <v>755</v>
      </c>
      <c r="P481" s="14" t="s">
        <v>31</v>
      </c>
      <c r="Q481" s="14" t="s">
        <v>31</v>
      </c>
      <c r="R481" s="14" t="s">
        <v>72</v>
      </c>
    </row>
    <row r="482" spans="1:18" s="14" customFormat="1" x14ac:dyDescent="0.25">
      <c r="A482" s="14" t="str">
        <f>"19234"</f>
        <v>19234</v>
      </c>
      <c r="B482" s="14" t="str">
        <f>"01630"</f>
        <v>01630</v>
      </c>
      <c r="C482" s="14" t="str">
        <f>"1300"</f>
        <v>1300</v>
      </c>
      <c r="D482" s="14" t="str">
        <f>"19234"</f>
        <v>19234</v>
      </c>
      <c r="E482" s="14" t="s">
        <v>760</v>
      </c>
      <c r="F482" s="14" t="s">
        <v>142</v>
      </c>
      <c r="G482" s="14" t="str">
        <f>"GR0019234"</f>
        <v>GR0019234</v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69</v>
      </c>
      <c r="L482" s="14" t="s">
        <v>70</v>
      </c>
      <c r="M482" s="14" t="s">
        <v>71</v>
      </c>
      <c r="P482" s="14" t="s">
        <v>31</v>
      </c>
      <c r="Q482" s="14" t="s">
        <v>31</v>
      </c>
      <c r="R482" s="14" t="s">
        <v>72</v>
      </c>
    </row>
    <row r="483" spans="1:18" s="14" customFormat="1" x14ac:dyDescent="0.25">
      <c r="A483" s="14" t="str">
        <f>"19267"</f>
        <v>19267</v>
      </c>
      <c r="B483" s="14" t="str">
        <f>"01550"</f>
        <v>01550</v>
      </c>
      <c r="C483" s="14" t="str">
        <f>"1200"</f>
        <v>1200</v>
      </c>
      <c r="D483" s="14" t="str">
        <f>"19267"</f>
        <v>19267</v>
      </c>
      <c r="E483" s="14" t="s">
        <v>778</v>
      </c>
      <c r="F483" s="14" t="s">
        <v>134</v>
      </c>
      <c r="G483" s="14" t="str">
        <f>"GR0019267"</f>
        <v>GR0019267</v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69</v>
      </c>
      <c r="L483" s="14" t="s">
        <v>70</v>
      </c>
      <c r="M483" s="14" t="s">
        <v>71</v>
      </c>
      <c r="O483" s="14" t="s">
        <v>779</v>
      </c>
      <c r="P483" s="14" t="s">
        <v>31</v>
      </c>
      <c r="Q483" s="14" t="s">
        <v>31</v>
      </c>
      <c r="R483" s="14" t="s">
        <v>72</v>
      </c>
    </row>
    <row r="484" spans="1:18" s="14" customFormat="1" x14ac:dyDescent="0.25">
      <c r="A484" s="14" t="str">
        <f>"19274"</f>
        <v>19274</v>
      </c>
      <c r="B484" s="14" t="str">
        <f>"01550"</f>
        <v>01550</v>
      </c>
      <c r="C484" s="14" t="str">
        <f>"1300"</f>
        <v>1300</v>
      </c>
      <c r="D484" s="14" t="str">
        <f>"19274"</f>
        <v>19274</v>
      </c>
      <c r="E484" s="14" t="s">
        <v>783</v>
      </c>
      <c r="F484" s="14" t="s">
        <v>134</v>
      </c>
      <c r="G484" s="14" t="str">
        <f>"GR0019274"</f>
        <v>GR0019274</v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69</v>
      </c>
      <c r="L484" s="14" t="s">
        <v>70</v>
      </c>
      <c r="M484" s="14" t="s">
        <v>71</v>
      </c>
      <c r="O484" s="14" t="s">
        <v>779</v>
      </c>
      <c r="P484" s="14" t="s">
        <v>31</v>
      </c>
      <c r="Q484" s="14" t="s">
        <v>31</v>
      </c>
      <c r="R484" s="14" t="s">
        <v>72</v>
      </c>
    </row>
    <row r="485" spans="1:18" s="14" customFormat="1" x14ac:dyDescent="0.25">
      <c r="A485" s="14" t="str">
        <f>"19275"</f>
        <v>19275</v>
      </c>
      <c r="B485" s="14" t="str">
        <f>"01500"</f>
        <v>01500</v>
      </c>
      <c r="C485" s="14" t="str">
        <f>"1300"</f>
        <v>1300</v>
      </c>
      <c r="D485" s="14" t="str">
        <f>"19275"</f>
        <v>19275</v>
      </c>
      <c r="E485" s="14" t="s">
        <v>784</v>
      </c>
      <c r="F485" s="14" t="s">
        <v>130</v>
      </c>
      <c r="G485" s="14" t="str">
        <f>"GR0019275"</f>
        <v>GR0019275</v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69</v>
      </c>
      <c r="L485" s="14" t="s">
        <v>70</v>
      </c>
      <c r="M485" s="14" t="s">
        <v>71</v>
      </c>
      <c r="O485" s="14" t="s">
        <v>785</v>
      </c>
      <c r="P485" s="14" t="s">
        <v>31</v>
      </c>
      <c r="Q485" s="14" t="s">
        <v>31</v>
      </c>
      <c r="R485" s="14" t="s">
        <v>72</v>
      </c>
    </row>
    <row r="486" spans="1:18" s="14" customFormat="1" x14ac:dyDescent="0.25">
      <c r="A486" s="14" t="str">
        <f>"19281"</f>
        <v>19281</v>
      </c>
      <c r="B486" s="14" t="str">
        <f>"01645"</f>
        <v>01645</v>
      </c>
      <c r="C486" s="14" t="str">
        <f>"1300"</f>
        <v>1300</v>
      </c>
      <c r="D486" s="14" t="str">
        <f>"19281"</f>
        <v>19281</v>
      </c>
      <c r="E486" s="14" t="s">
        <v>795</v>
      </c>
      <c r="F486" s="14" t="s">
        <v>144</v>
      </c>
      <c r="G486" s="14" t="str">
        <f>"GR0019281"</f>
        <v>GR0019281</v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69</v>
      </c>
      <c r="L486" s="14" t="s">
        <v>70</v>
      </c>
      <c r="M486" s="14" t="s">
        <v>796</v>
      </c>
      <c r="O486" s="14" t="s">
        <v>797</v>
      </c>
      <c r="P486" s="14" t="s">
        <v>31</v>
      </c>
      <c r="Q486" s="14" t="s">
        <v>31</v>
      </c>
      <c r="R486" s="14" t="s">
        <v>72</v>
      </c>
    </row>
    <row r="487" spans="1:18" s="14" customFormat="1" x14ac:dyDescent="0.25">
      <c r="A487" s="14" t="str">
        <f>"19282"</f>
        <v>19282</v>
      </c>
      <c r="B487" s="14" t="str">
        <f>"01645"</f>
        <v>01645</v>
      </c>
      <c r="C487" s="14" t="str">
        <f>"1300"</f>
        <v>1300</v>
      </c>
      <c r="D487" s="14" t="str">
        <f>"19282"</f>
        <v>19282</v>
      </c>
      <c r="E487" s="14" t="s">
        <v>798</v>
      </c>
      <c r="F487" s="14" t="s">
        <v>144</v>
      </c>
      <c r="G487" s="14" t="str">
        <f>"GR0019282"</f>
        <v>GR0019282</v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69</v>
      </c>
      <c r="L487" s="14" t="s">
        <v>70</v>
      </c>
      <c r="M487" s="14" t="s">
        <v>71</v>
      </c>
      <c r="O487" s="14" t="s">
        <v>799</v>
      </c>
      <c r="P487" s="14" t="s">
        <v>31</v>
      </c>
      <c r="Q487" s="14" t="s">
        <v>31</v>
      </c>
      <c r="R487" s="14" t="s">
        <v>72</v>
      </c>
    </row>
    <row r="488" spans="1:18" s="14" customFormat="1" x14ac:dyDescent="0.25">
      <c r="A488" s="14" t="str">
        <f>"19283"</f>
        <v>19283</v>
      </c>
      <c r="B488" s="14" t="str">
        <f>"01550"</f>
        <v>01550</v>
      </c>
      <c r="C488" s="14" t="str">
        <f>"1300"</f>
        <v>1300</v>
      </c>
      <c r="D488" s="14" t="str">
        <f>"19283"</f>
        <v>19283</v>
      </c>
      <c r="E488" s="14" t="s">
        <v>800</v>
      </c>
      <c r="F488" s="14" t="s">
        <v>134</v>
      </c>
      <c r="G488" s="14" t="str">
        <f>"GR0019283"</f>
        <v>GR0019283</v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69</v>
      </c>
      <c r="L488" s="14" t="s">
        <v>70</v>
      </c>
      <c r="M488" s="14" t="s">
        <v>71</v>
      </c>
      <c r="O488" s="14" t="s">
        <v>801</v>
      </c>
      <c r="P488" s="14" t="s">
        <v>31</v>
      </c>
      <c r="Q488" s="14" t="s">
        <v>31</v>
      </c>
      <c r="R488" s="14" t="s">
        <v>72</v>
      </c>
    </row>
    <row r="489" spans="1:18" s="14" customFormat="1" x14ac:dyDescent="0.25">
      <c r="A489" s="14" t="str">
        <f>"19285"</f>
        <v>19285</v>
      </c>
      <c r="B489" s="14" t="str">
        <f>"01560"</f>
        <v>01560</v>
      </c>
      <c r="C489" s="14" t="str">
        <f>"1300"</f>
        <v>1300</v>
      </c>
      <c r="D489" s="14" t="str">
        <f>"19285"</f>
        <v>19285</v>
      </c>
      <c r="E489" s="14" t="s">
        <v>802</v>
      </c>
      <c r="F489" s="14" t="s">
        <v>135</v>
      </c>
      <c r="G489" s="14" t="str">
        <f>"GR0019285"</f>
        <v>GR0019285</v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69</v>
      </c>
      <c r="L489" s="14" t="s">
        <v>70</v>
      </c>
      <c r="M489" s="14" t="s">
        <v>71</v>
      </c>
      <c r="O489" s="14" t="s">
        <v>803</v>
      </c>
      <c r="P489" s="14" t="s">
        <v>31</v>
      </c>
      <c r="Q489" s="14" t="s">
        <v>31</v>
      </c>
      <c r="R489" s="14" t="s">
        <v>72</v>
      </c>
    </row>
    <row r="490" spans="1:18" s="14" customFormat="1" x14ac:dyDescent="0.25">
      <c r="A490" s="14" t="str">
        <f>"19286"</f>
        <v>19286</v>
      </c>
      <c r="B490" s="14" t="str">
        <f>"01500"</f>
        <v>01500</v>
      </c>
      <c r="C490" s="14" t="str">
        <f>"1300"</f>
        <v>1300</v>
      </c>
      <c r="D490" s="14" t="str">
        <f>"19286"</f>
        <v>19286</v>
      </c>
      <c r="E490" s="14" t="s">
        <v>804</v>
      </c>
      <c r="F490" s="14" t="s">
        <v>130</v>
      </c>
      <c r="G490" s="14" t="str">
        <f>"GR0019286"</f>
        <v>GR0019286</v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69</v>
      </c>
      <c r="L490" s="14" t="s">
        <v>70</v>
      </c>
      <c r="M490" s="14" t="s">
        <v>71</v>
      </c>
      <c r="O490" s="14" t="s">
        <v>805</v>
      </c>
      <c r="P490" s="14" t="s">
        <v>31</v>
      </c>
      <c r="Q490" s="14" t="s">
        <v>31</v>
      </c>
      <c r="R490" s="14" t="s">
        <v>72</v>
      </c>
    </row>
    <row r="491" spans="1:18" s="14" customFormat="1" x14ac:dyDescent="0.25">
      <c r="A491" s="14" t="str">
        <f>"19296"</f>
        <v>19296</v>
      </c>
      <c r="B491" s="14" t="str">
        <f>"01580"</f>
        <v>01580</v>
      </c>
      <c r="C491" s="14" t="str">
        <f>"1300"</f>
        <v>1300</v>
      </c>
      <c r="D491" s="14" t="str">
        <f>"19296"</f>
        <v>19296</v>
      </c>
      <c r="E491" s="14" t="s">
        <v>821</v>
      </c>
      <c r="F491" s="14" t="s">
        <v>137</v>
      </c>
      <c r="G491" s="14" t="str">
        <f>"GR0019296"</f>
        <v>GR0019296</v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69</v>
      </c>
      <c r="L491" s="14" t="s">
        <v>70</v>
      </c>
      <c r="M491" s="14" t="s">
        <v>71</v>
      </c>
      <c r="O491" s="14" t="s">
        <v>822</v>
      </c>
      <c r="P491" s="14" t="s">
        <v>31</v>
      </c>
      <c r="Q491" s="14" t="s">
        <v>31</v>
      </c>
      <c r="R491" s="14" t="s">
        <v>72</v>
      </c>
    </row>
    <row r="492" spans="1:18" s="14" customFormat="1" x14ac:dyDescent="0.25">
      <c r="A492" s="14" t="str">
        <f>"19297"</f>
        <v>19297</v>
      </c>
      <c r="B492" s="14" t="str">
        <f>"01500"</f>
        <v>01500</v>
      </c>
      <c r="C492" s="14" t="str">
        <f>"1300"</f>
        <v>1300</v>
      </c>
      <c r="D492" s="14" t="str">
        <f>"19297"</f>
        <v>19297</v>
      </c>
      <c r="E492" s="14" t="s">
        <v>823</v>
      </c>
      <c r="F492" s="14" t="s">
        <v>130</v>
      </c>
      <c r="G492" s="14" t="str">
        <f>"GR0019297"</f>
        <v>GR0019297</v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69</v>
      </c>
      <c r="L492" s="14" t="s">
        <v>70</v>
      </c>
      <c r="M492" s="14" t="s">
        <v>71</v>
      </c>
      <c r="O492" s="14" t="s">
        <v>824</v>
      </c>
      <c r="P492" s="14" t="s">
        <v>31</v>
      </c>
      <c r="Q492" s="14" t="s">
        <v>31</v>
      </c>
      <c r="R492" s="14" t="s">
        <v>72</v>
      </c>
    </row>
    <row r="493" spans="1:18" s="14" customFormat="1" x14ac:dyDescent="0.25">
      <c r="A493" s="14" t="str">
        <f>"19298"</f>
        <v>19298</v>
      </c>
      <c r="B493" s="14" t="str">
        <f>"01560"</f>
        <v>01560</v>
      </c>
      <c r="C493" s="14" t="str">
        <f>"1300"</f>
        <v>1300</v>
      </c>
      <c r="D493" s="14" t="str">
        <f>"19298"</f>
        <v>19298</v>
      </c>
      <c r="E493" s="14" t="s">
        <v>825</v>
      </c>
      <c r="F493" s="14" t="s">
        <v>135</v>
      </c>
      <c r="G493" s="14" t="str">
        <f>"GR0019298"</f>
        <v>GR0019298</v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69</v>
      </c>
      <c r="L493" s="14" t="s">
        <v>70</v>
      </c>
      <c r="M493" s="14" t="s">
        <v>71</v>
      </c>
      <c r="O493" s="14" t="s">
        <v>826</v>
      </c>
      <c r="P493" s="14" t="s">
        <v>31</v>
      </c>
      <c r="Q493" s="14" t="s">
        <v>31</v>
      </c>
      <c r="R493" s="14" t="s">
        <v>72</v>
      </c>
    </row>
    <row r="494" spans="1:18" s="14" customFormat="1" x14ac:dyDescent="0.25">
      <c r="A494" s="14" t="str">
        <f>"19299"</f>
        <v>19299</v>
      </c>
      <c r="B494" s="14" t="str">
        <f>"01560"</f>
        <v>01560</v>
      </c>
      <c r="C494" s="14" t="str">
        <f>"1300"</f>
        <v>1300</v>
      </c>
      <c r="D494" s="14" t="str">
        <f>"19299"</f>
        <v>19299</v>
      </c>
      <c r="E494" s="14" t="s">
        <v>827</v>
      </c>
      <c r="F494" s="14" t="s">
        <v>135</v>
      </c>
      <c r="G494" s="14" t="str">
        <f>"GR0019299"</f>
        <v>GR0019299</v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69</v>
      </c>
      <c r="L494" s="14" t="s">
        <v>70</v>
      </c>
      <c r="M494" s="14" t="s">
        <v>71</v>
      </c>
      <c r="O494" s="14" t="s">
        <v>828</v>
      </c>
      <c r="P494" s="14" t="s">
        <v>31</v>
      </c>
      <c r="Q494" s="14" t="s">
        <v>31</v>
      </c>
      <c r="R494" s="14" t="s">
        <v>72</v>
      </c>
    </row>
    <row r="495" spans="1:18" s="14" customFormat="1" x14ac:dyDescent="0.25">
      <c r="A495" s="14" t="str">
        <f>"19300"</f>
        <v>19300</v>
      </c>
      <c r="B495" s="14" t="str">
        <f>"01600"</f>
        <v>01600</v>
      </c>
      <c r="C495" s="14" t="str">
        <f>"1300"</f>
        <v>1300</v>
      </c>
      <c r="D495" s="14" t="str">
        <f>"19300"</f>
        <v>19300</v>
      </c>
      <c r="E495" s="14" t="s">
        <v>829</v>
      </c>
      <c r="F495" s="14" t="s">
        <v>138</v>
      </c>
      <c r="G495" s="14" t="str">
        <f>"GR0019300"</f>
        <v>GR0019300</v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69</v>
      </c>
      <c r="L495" s="14" t="s">
        <v>70</v>
      </c>
      <c r="M495" s="14" t="s">
        <v>71</v>
      </c>
      <c r="O495" s="14" t="s">
        <v>830</v>
      </c>
      <c r="P495" s="14" t="s">
        <v>31</v>
      </c>
      <c r="Q495" s="14" t="s">
        <v>31</v>
      </c>
      <c r="R495" s="14" t="s">
        <v>72</v>
      </c>
    </row>
    <row r="496" spans="1:18" s="14" customFormat="1" x14ac:dyDescent="0.25">
      <c r="A496" s="14" t="str">
        <f>"19302"</f>
        <v>19302</v>
      </c>
      <c r="B496" s="14" t="str">
        <f>"01630"</f>
        <v>01630</v>
      </c>
      <c r="C496" s="14" t="str">
        <f>"1200"</f>
        <v>1200</v>
      </c>
      <c r="D496" s="14" t="str">
        <f>"19302"</f>
        <v>19302</v>
      </c>
      <c r="E496" s="14" t="s">
        <v>832</v>
      </c>
      <c r="F496" s="14" t="s">
        <v>142</v>
      </c>
      <c r="G496" s="14" t="str">
        <f>"GR0019302"</f>
        <v>GR0019302</v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69</v>
      </c>
      <c r="L496" s="14" t="s">
        <v>70</v>
      </c>
      <c r="M496" s="14" t="s">
        <v>71</v>
      </c>
      <c r="O496" s="14" t="s">
        <v>755</v>
      </c>
      <c r="P496" s="14" t="s">
        <v>31</v>
      </c>
      <c r="Q496" s="14" t="s">
        <v>31</v>
      </c>
      <c r="R496" s="14" t="s">
        <v>72</v>
      </c>
    </row>
    <row r="497" spans="1:18" s="14" customFormat="1" x14ac:dyDescent="0.25">
      <c r="A497" s="14" t="str">
        <f>"19303"</f>
        <v>19303</v>
      </c>
      <c r="B497" s="14" t="str">
        <f>"01630"</f>
        <v>01630</v>
      </c>
      <c r="C497" s="14" t="str">
        <f>"1200"</f>
        <v>1200</v>
      </c>
      <c r="D497" s="14" t="str">
        <f>"19303"</f>
        <v>19303</v>
      </c>
      <c r="E497" s="14" t="s">
        <v>833</v>
      </c>
      <c r="F497" s="14" t="s">
        <v>142</v>
      </c>
      <c r="G497" s="14" t="str">
        <f>"GR0019303"</f>
        <v>GR0019303</v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69</v>
      </c>
      <c r="L497" s="14" t="s">
        <v>70</v>
      </c>
      <c r="M497" s="14" t="s">
        <v>71</v>
      </c>
      <c r="O497" s="14" t="s">
        <v>755</v>
      </c>
      <c r="P497" s="14" t="s">
        <v>31</v>
      </c>
      <c r="Q497" s="14" t="s">
        <v>31</v>
      </c>
      <c r="R497" s="14" t="s">
        <v>72</v>
      </c>
    </row>
    <row r="498" spans="1:18" s="14" customFormat="1" x14ac:dyDescent="0.25">
      <c r="A498" s="14" t="str">
        <f>"19304"</f>
        <v>19304</v>
      </c>
      <c r="B498" s="14" t="str">
        <f>"01630"</f>
        <v>01630</v>
      </c>
      <c r="C498" s="14" t="str">
        <f>"1200"</f>
        <v>1200</v>
      </c>
      <c r="D498" s="14" t="str">
        <f>"19304"</f>
        <v>19304</v>
      </c>
      <c r="E498" s="14" t="s">
        <v>834</v>
      </c>
      <c r="F498" s="14" t="s">
        <v>142</v>
      </c>
      <c r="G498" s="14" t="str">
        <f>"GR0019304"</f>
        <v>GR0019304</v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69</v>
      </c>
      <c r="L498" s="14" t="s">
        <v>70</v>
      </c>
      <c r="M498" s="14" t="s">
        <v>71</v>
      </c>
      <c r="O498" s="14" t="s">
        <v>755</v>
      </c>
      <c r="P498" s="14" t="s">
        <v>31</v>
      </c>
      <c r="Q498" s="14" t="s">
        <v>31</v>
      </c>
      <c r="R498" s="14" t="s">
        <v>72</v>
      </c>
    </row>
    <row r="499" spans="1:18" s="14" customFormat="1" x14ac:dyDescent="0.25">
      <c r="A499" s="14" t="str">
        <f>"19305"</f>
        <v>19305</v>
      </c>
      <c r="B499" s="14" t="str">
        <f>"01500"</f>
        <v>01500</v>
      </c>
      <c r="C499" s="14" t="str">
        <f>"1200"</f>
        <v>1200</v>
      </c>
      <c r="D499" s="14" t="str">
        <f>"19305"</f>
        <v>19305</v>
      </c>
      <c r="E499" s="14" t="s">
        <v>835</v>
      </c>
      <c r="F499" s="14" t="s">
        <v>130</v>
      </c>
      <c r="G499" s="14" t="str">
        <f>"GR0019305"</f>
        <v>GR0019305</v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69</v>
      </c>
      <c r="L499" s="14" t="s">
        <v>70</v>
      </c>
      <c r="M499" s="14" t="s">
        <v>71</v>
      </c>
      <c r="O499" s="14" t="s">
        <v>836</v>
      </c>
      <c r="P499" s="14" t="s">
        <v>31</v>
      </c>
      <c r="Q499" s="14" t="s">
        <v>31</v>
      </c>
      <c r="R499" s="14" t="s">
        <v>72</v>
      </c>
    </row>
    <row r="500" spans="1:18" s="14" customFormat="1" x14ac:dyDescent="0.25">
      <c r="A500" s="14" t="str">
        <f>"19306"</f>
        <v>19306</v>
      </c>
      <c r="B500" s="14" t="str">
        <f>"01620"</f>
        <v>01620</v>
      </c>
      <c r="C500" s="14" t="str">
        <f>"1200"</f>
        <v>1200</v>
      </c>
      <c r="D500" s="14" t="str">
        <f>""</f>
        <v/>
      </c>
      <c r="E500" s="14" t="s">
        <v>1923</v>
      </c>
      <c r="F500" s="14" t="s">
        <v>140</v>
      </c>
      <c r="G500" s="14" t="str">
        <f>"GR0019306"</f>
        <v>GR0019306</v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69</v>
      </c>
      <c r="L500" s="14" t="s">
        <v>70</v>
      </c>
      <c r="M500" s="14" t="s">
        <v>71</v>
      </c>
      <c r="O500" s="14" t="s">
        <v>1924</v>
      </c>
      <c r="P500" s="14" t="s">
        <v>31</v>
      </c>
      <c r="Q500" s="14" t="s">
        <v>31</v>
      </c>
      <c r="R500" s="14" t="s">
        <v>72</v>
      </c>
    </row>
    <row r="501" spans="1:18" s="14" customFormat="1" x14ac:dyDescent="0.25">
      <c r="A501" s="14" t="str">
        <f>"19307"</f>
        <v>19307</v>
      </c>
      <c r="B501" s="14" t="str">
        <f>"01370"</f>
        <v>01370</v>
      </c>
      <c r="C501" s="14" t="str">
        <f>"1200"</f>
        <v>1200</v>
      </c>
      <c r="D501" s="14" t="str">
        <f>""</f>
        <v/>
      </c>
      <c r="E501" s="14" t="s">
        <v>1925</v>
      </c>
      <c r="F501" s="14" t="s">
        <v>108</v>
      </c>
      <c r="G501" s="14" t="str">
        <f>"GR0019307"</f>
        <v>GR0019307</v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69</v>
      </c>
      <c r="L501" s="14" t="s">
        <v>70</v>
      </c>
      <c r="M501" s="14" t="s">
        <v>71</v>
      </c>
      <c r="O501" s="14" t="s">
        <v>1926</v>
      </c>
      <c r="P501" s="14" t="s">
        <v>31</v>
      </c>
      <c r="Q501" s="14" t="s">
        <v>31</v>
      </c>
      <c r="R501" s="14" t="s">
        <v>72</v>
      </c>
    </row>
    <row r="502" spans="1:18" s="14" customFormat="1" x14ac:dyDescent="0.25">
      <c r="A502" s="14" t="str">
        <f>"21214"</f>
        <v>21214</v>
      </c>
      <c r="B502" s="14" t="str">
        <f>"01620"</f>
        <v>01620</v>
      </c>
      <c r="C502" s="14" t="str">
        <f>"1200"</f>
        <v>1200</v>
      </c>
      <c r="D502" s="14" t="str">
        <f>"21214"</f>
        <v>21214</v>
      </c>
      <c r="E502" s="14" t="s">
        <v>861</v>
      </c>
      <c r="F502" s="14" t="s">
        <v>140</v>
      </c>
      <c r="G502" s="14" t="str">
        <f>"GR0021214"</f>
        <v>GR0021214</v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69</v>
      </c>
      <c r="L502" s="14" t="s">
        <v>70</v>
      </c>
      <c r="M502" s="14" t="s">
        <v>71</v>
      </c>
      <c r="O502" s="14" t="s">
        <v>862</v>
      </c>
      <c r="P502" s="14" t="s">
        <v>701</v>
      </c>
      <c r="Q502" s="14" t="s">
        <v>701</v>
      </c>
      <c r="R502" s="14" t="s">
        <v>141</v>
      </c>
    </row>
    <row r="503" spans="1:18" s="14" customFormat="1" x14ac:dyDescent="0.25">
      <c r="A503" s="14" t="str">
        <f>"24269"</f>
        <v>24269</v>
      </c>
      <c r="B503" s="14" t="str">
        <f>"01370"</f>
        <v>01370</v>
      </c>
      <c r="C503" s="14" t="str">
        <f>"1600"</f>
        <v>1600</v>
      </c>
      <c r="D503" s="14" t="str">
        <f>""</f>
        <v/>
      </c>
      <c r="E503" s="14" t="s">
        <v>889</v>
      </c>
      <c r="F503" s="14" t="s">
        <v>108</v>
      </c>
      <c r="G503" s="14" t="str">
        <f>"GR0024269"</f>
        <v>GR0024269</v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69</v>
      </c>
      <c r="L503" s="14" t="s">
        <v>109</v>
      </c>
      <c r="M503" s="14" t="s">
        <v>70</v>
      </c>
      <c r="N503" s="14" t="s">
        <v>890</v>
      </c>
      <c r="O503" s="14" t="s">
        <v>890</v>
      </c>
      <c r="P503" s="14" t="s">
        <v>701</v>
      </c>
      <c r="Q503" s="14" t="s">
        <v>701</v>
      </c>
      <c r="R503" s="14" t="s">
        <v>109</v>
      </c>
    </row>
    <row r="504" spans="1:18" s="14" customFormat="1" x14ac:dyDescent="0.25">
      <c r="A504" s="14" t="str">
        <f>"24270"</f>
        <v>24270</v>
      </c>
      <c r="B504" s="14" t="str">
        <f>"01370"</f>
        <v>01370</v>
      </c>
      <c r="C504" s="14" t="str">
        <f>"1600"</f>
        <v>1600</v>
      </c>
      <c r="D504" s="14" t="str">
        <f>""</f>
        <v/>
      </c>
      <c r="E504" s="14" t="s">
        <v>891</v>
      </c>
      <c r="F504" s="14" t="s">
        <v>108</v>
      </c>
      <c r="G504" s="14" t="str">
        <f>"GR0024270"</f>
        <v>GR0024270</v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69</v>
      </c>
      <c r="L504" s="14" t="s">
        <v>109</v>
      </c>
      <c r="M504" s="14" t="s">
        <v>70</v>
      </c>
      <c r="N504" s="14" t="s">
        <v>890</v>
      </c>
      <c r="O504" s="14" t="s">
        <v>890</v>
      </c>
      <c r="P504" s="14" t="s">
        <v>701</v>
      </c>
      <c r="Q504" s="14" t="s">
        <v>701</v>
      </c>
      <c r="R504" s="14" t="s">
        <v>109</v>
      </c>
    </row>
    <row r="505" spans="1:18" s="14" customFormat="1" x14ac:dyDescent="0.25">
      <c r="A505" s="14" t="str">
        <f>"24276"</f>
        <v>24276</v>
      </c>
      <c r="B505" s="14" t="str">
        <f>"01370"</f>
        <v>01370</v>
      </c>
      <c r="C505" s="14" t="str">
        <f>"1100"</f>
        <v>1100</v>
      </c>
      <c r="D505" s="14" t="str">
        <f>"24276"</f>
        <v>24276</v>
      </c>
      <c r="E505" s="14" t="s">
        <v>896</v>
      </c>
      <c r="F505" s="14" t="s">
        <v>108</v>
      </c>
      <c r="G505" s="14" t="str">
        <f>"GR0024268"</f>
        <v>GR0024268</v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69</v>
      </c>
      <c r="L505" s="14" t="s">
        <v>70</v>
      </c>
      <c r="M505" s="14" t="s">
        <v>71</v>
      </c>
      <c r="O505" s="14" t="s">
        <v>897</v>
      </c>
      <c r="P505" s="14" t="s">
        <v>701</v>
      </c>
      <c r="Q505" s="14" t="s">
        <v>701</v>
      </c>
      <c r="R505" s="14" t="s">
        <v>898</v>
      </c>
    </row>
    <row r="506" spans="1:18" s="14" customFormat="1" x14ac:dyDescent="0.25">
      <c r="A506" s="14" t="str">
        <f>"25004"</f>
        <v>25004</v>
      </c>
      <c r="B506" s="14" t="str">
        <f>"01400"</f>
        <v>01400</v>
      </c>
      <c r="C506" s="14" t="str">
        <f>"1200"</f>
        <v>1200</v>
      </c>
      <c r="D506" s="14" t="str">
        <f>"25004"</f>
        <v>25004</v>
      </c>
      <c r="E506" s="14" t="s">
        <v>913</v>
      </c>
      <c r="F506" s="14" t="s">
        <v>117</v>
      </c>
      <c r="G506" s="14" t="str">
        <f>"GR0025004"</f>
        <v>GR0025004</v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69</v>
      </c>
      <c r="L506" s="14" t="s">
        <v>70</v>
      </c>
      <c r="M506" s="14" t="s">
        <v>71</v>
      </c>
      <c r="O506" s="14" t="s">
        <v>914</v>
      </c>
      <c r="P506" s="14" t="s">
        <v>701</v>
      </c>
      <c r="Q506" s="14" t="s">
        <v>701</v>
      </c>
      <c r="R506" s="14" t="s">
        <v>72</v>
      </c>
    </row>
    <row r="507" spans="1:18" s="14" customFormat="1" x14ac:dyDescent="0.25">
      <c r="A507" s="14" t="str">
        <f>"25097"</f>
        <v>25097</v>
      </c>
      <c r="B507" s="14" t="str">
        <f>"01500"</f>
        <v>01500</v>
      </c>
      <c r="C507" s="14" t="str">
        <f>"1600"</f>
        <v>1600</v>
      </c>
      <c r="D507" s="14" t="str">
        <f>"25097"</f>
        <v>25097</v>
      </c>
      <c r="E507" s="14" t="s">
        <v>915</v>
      </c>
      <c r="F507" s="14" t="s">
        <v>130</v>
      </c>
      <c r="G507" s="14" t="str">
        <f>"GR0025097"</f>
        <v>GR0025097</v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69</v>
      </c>
      <c r="L507" s="14" t="s">
        <v>70</v>
      </c>
      <c r="M507" s="14" t="s">
        <v>71</v>
      </c>
      <c r="O507" s="14" t="s">
        <v>916</v>
      </c>
      <c r="P507" s="14" t="s">
        <v>701</v>
      </c>
      <c r="Q507" s="14" t="s">
        <v>701</v>
      </c>
      <c r="R507" s="14" t="s">
        <v>72</v>
      </c>
    </row>
    <row r="508" spans="1:18" s="14" customFormat="1" x14ac:dyDescent="0.25">
      <c r="A508" s="14" t="str">
        <f>"25122"</f>
        <v>25122</v>
      </c>
      <c r="B508" s="14" t="str">
        <f>"01630"</f>
        <v>01630</v>
      </c>
      <c r="C508" s="14" t="str">
        <f>"1300"</f>
        <v>1300</v>
      </c>
      <c r="D508" s="14" t="str">
        <f>"25122"</f>
        <v>25122</v>
      </c>
      <c r="E508" s="14" t="s">
        <v>918</v>
      </c>
      <c r="F508" s="14" t="s">
        <v>142</v>
      </c>
      <c r="G508" s="14" t="str">
        <f>"GR0025122"</f>
        <v>GR0025122</v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69</v>
      </c>
      <c r="L508" s="14" t="s">
        <v>70</v>
      </c>
      <c r="M508" s="14" t="s">
        <v>71</v>
      </c>
      <c r="O508" s="14" t="s">
        <v>919</v>
      </c>
      <c r="P508" s="14" t="s">
        <v>701</v>
      </c>
      <c r="Q508" s="14" t="s">
        <v>701</v>
      </c>
      <c r="R508" s="14" t="s">
        <v>72</v>
      </c>
    </row>
    <row r="509" spans="1:18" s="14" customFormat="1" x14ac:dyDescent="0.25">
      <c r="A509" s="14" t="str">
        <f>"25143"</f>
        <v>25143</v>
      </c>
      <c r="B509" s="14" t="str">
        <f>"01630"</f>
        <v>01630</v>
      </c>
      <c r="C509" s="14" t="str">
        <f>"1200"</f>
        <v>1200</v>
      </c>
      <c r="D509" s="14" t="str">
        <f>"25143"</f>
        <v>25143</v>
      </c>
      <c r="E509" s="14" t="s">
        <v>923</v>
      </c>
      <c r="F509" s="14" t="s">
        <v>142</v>
      </c>
      <c r="G509" s="14" t="str">
        <f>"GR0025143"</f>
        <v>GR0025143</v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69</v>
      </c>
      <c r="L509" s="14" t="s">
        <v>70</v>
      </c>
      <c r="M509" s="14" t="s">
        <v>71</v>
      </c>
      <c r="O509" s="14" t="s">
        <v>755</v>
      </c>
      <c r="P509" s="14" t="s">
        <v>701</v>
      </c>
      <c r="Q509" s="14" t="s">
        <v>701</v>
      </c>
      <c r="R509" s="14" t="s">
        <v>72</v>
      </c>
    </row>
    <row r="510" spans="1:18" s="14" customFormat="1" x14ac:dyDescent="0.25">
      <c r="A510" s="14" t="str">
        <f>"25154"</f>
        <v>25154</v>
      </c>
      <c r="B510" s="14" t="str">
        <f>"01580"</f>
        <v>01580</v>
      </c>
      <c r="C510" s="14" t="str">
        <f>"1700"</f>
        <v>1700</v>
      </c>
      <c r="D510" s="14" t="str">
        <f>"25154"</f>
        <v>25154</v>
      </c>
      <c r="E510" s="14" t="s">
        <v>932</v>
      </c>
      <c r="F510" s="14" t="s">
        <v>137</v>
      </c>
      <c r="G510" s="14" t="str">
        <f>"GR0025154"</f>
        <v>GR0025154</v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69</v>
      </c>
      <c r="L510" s="14" t="s">
        <v>70</v>
      </c>
      <c r="M510" s="14" t="s">
        <v>71</v>
      </c>
      <c r="O510" s="14" t="s">
        <v>933</v>
      </c>
      <c r="P510" s="14" t="s">
        <v>701</v>
      </c>
      <c r="Q510" s="14" t="s">
        <v>701</v>
      </c>
      <c r="R510" s="14" t="s">
        <v>72</v>
      </c>
    </row>
    <row r="511" spans="1:18" s="14" customFormat="1" x14ac:dyDescent="0.25">
      <c r="A511" s="14" t="str">
        <f>"34001"</f>
        <v>34001</v>
      </c>
      <c r="B511" s="14" t="str">
        <f>"01450"</f>
        <v>01450</v>
      </c>
      <c r="C511" s="14" t="str">
        <f>"1300"</f>
        <v>1300</v>
      </c>
      <c r="D511" s="14" t="str">
        <f>"34001"</f>
        <v>34001</v>
      </c>
      <c r="E511" s="14" t="s">
        <v>981</v>
      </c>
      <c r="F511" s="14" t="s">
        <v>126</v>
      </c>
      <c r="G511" s="14" t="str">
        <f>""</f>
        <v/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69</v>
      </c>
      <c r="L511" s="14" t="s">
        <v>70</v>
      </c>
      <c r="M511" s="14" t="s">
        <v>71</v>
      </c>
      <c r="P511" s="14" t="s">
        <v>31</v>
      </c>
      <c r="Q511" s="14" t="s">
        <v>25</v>
      </c>
      <c r="R511" s="14" t="s">
        <v>72</v>
      </c>
    </row>
    <row r="512" spans="1:18" s="14" customFormat="1" x14ac:dyDescent="0.25">
      <c r="A512" s="14" t="str">
        <f>"34205"</f>
        <v>34205</v>
      </c>
      <c r="B512" s="14" t="str">
        <f>"01450"</f>
        <v>01450</v>
      </c>
      <c r="C512" s="14" t="str">
        <f>"1300"</f>
        <v>1300</v>
      </c>
      <c r="D512" s="14" t="str">
        <f>"34205"</f>
        <v>34205</v>
      </c>
      <c r="E512" s="14" t="s">
        <v>982</v>
      </c>
      <c r="F512" s="14" t="s">
        <v>126</v>
      </c>
      <c r="G512" s="14" t="str">
        <f>""</f>
        <v/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69</v>
      </c>
      <c r="L512" s="14" t="s">
        <v>70</v>
      </c>
      <c r="M512" s="14" t="s">
        <v>71</v>
      </c>
      <c r="P512" s="14" t="s">
        <v>31</v>
      </c>
      <c r="Q512" s="14" t="s">
        <v>25</v>
      </c>
      <c r="R512" s="14" t="s">
        <v>72</v>
      </c>
    </row>
    <row r="513" spans="1:18" s="14" customFormat="1" x14ac:dyDescent="0.25">
      <c r="A513" s="14" t="str">
        <f>"84048"</f>
        <v>84048</v>
      </c>
      <c r="B513" s="14" t="str">
        <f>"07020"</f>
        <v>07020</v>
      </c>
      <c r="C513" s="14" t="str">
        <f>"1700"</f>
        <v>1700</v>
      </c>
      <c r="D513" s="14" t="str">
        <f>"84048"</f>
        <v>84048</v>
      </c>
      <c r="E513" s="14" t="s">
        <v>1589</v>
      </c>
      <c r="F513" s="14" t="s">
        <v>1532</v>
      </c>
      <c r="G513" s="14" t="str">
        <f>""</f>
        <v/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69</v>
      </c>
      <c r="L513" s="14" t="s">
        <v>71</v>
      </c>
      <c r="M513" s="14" t="s">
        <v>70</v>
      </c>
      <c r="N513" s="14" t="s">
        <v>72</v>
      </c>
      <c r="P513" s="14" t="s">
        <v>31</v>
      </c>
      <c r="Q513" s="14" t="s">
        <v>31</v>
      </c>
      <c r="R513" s="14" t="s">
        <v>69</v>
      </c>
    </row>
    <row r="514" spans="1:18" s="14" customFormat="1" x14ac:dyDescent="0.25">
      <c r="A514" s="14" t="str">
        <f>"84113"</f>
        <v>84113</v>
      </c>
      <c r="B514" s="14" t="str">
        <f>"07020"</f>
        <v>07020</v>
      </c>
      <c r="C514" s="14" t="str">
        <f>"1700"</f>
        <v>1700</v>
      </c>
      <c r="D514" s="14" t="str">
        <f>"84113"</f>
        <v>84113</v>
      </c>
      <c r="E514" s="14" t="s">
        <v>1651</v>
      </c>
      <c r="F514" s="14" t="s">
        <v>1532</v>
      </c>
      <c r="G514" s="14" t="str">
        <f>""</f>
        <v/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69</v>
      </c>
      <c r="L514" s="14" t="s">
        <v>1652</v>
      </c>
      <c r="M514" s="14" t="s">
        <v>70</v>
      </c>
      <c r="N514" s="14" t="s">
        <v>71</v>
      </c>
      <c r="P514" s="14" t="s">
        <v>31</v>
      </c>
      <c r="Q514" s="14" t="s">
        <v>31</v>
      </c>
      <c r="R514" s="14" t="s">
        <v>72</v>
      </c>
    </row>
    <row r="515" spans="1:18" s="14" customFormat="1" x14ac:dyDescent="0.25">
      <c r="A515" s="14" t="str">
        <f>"85079"</f>
        <v>85079</v>
      </c>
      <c r="B515" s="14" t="str">
        <f>"01400"</f>
        <v>01400</v>
      </c>
      <c r="C515" s="14" t="str">
        <f>"1600"</f>
        <v>1600</v>
      </c>
      <c r="D515" s="14" t="str">
        <f>"85079"</f>
        <v>85079</v>
      </c>
      <c r="E515" s="14" t="s">
        <v>1786</v>
      </c>
      <c r="F515" s="14" t="s">
        <v>117</v>
      </c>
      <c r="G515" s="14" t="str">
        <f>""</f>
        <v/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69</v>
      </c>
      <c r="L515" s="14" t="s">
        <v>70</v>
      </c>
      <c r="M515" s="14" t="s">
        <v>1667</v>
      </c>
      <c r="P515" s="14" t="s">
        <v>31</v>
      </c>
      <c r="Q515" s="14" t="s">
        <v>31</v>
      </c>
      <c r="R515" s="14" t="s">
        <v>1787</v>
      </c>
    </row>
    <row r="516" spans="1:18" s="14" customFormat="1" x14ac:dyDescent="0.25">
      <c r="A516" s="14" t="str">
        <f>"85115"</f>
        <v>85115</v>
      </c>
      <c r="B516" s="14" t="str">
        <f>"01400"</f>
        <v>01400</v>
      </c>
      <c r="C516" s="14" t="str">
        <f>"1600"</f>
        <v>1600</v>
      </c>
      <c r="D516" s="14" t="str">
        <f>"85115"</f>
        <v>85115</v>
      </c>
      <c r="E516" s="14" t="s">
        <v>1788</v>
      </c>
      <c r="F516" s="14" t="s">
        <v>117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69</v>
      </c>
      <c r="L516" s="14" t="s">
        <v>70</v>
      </c>
      <c r="M516" s="14" t="s">
        <v>71</v>
      </c>
      <c r="P516" s="14" t="s">
        <v>31</v>
      </c>
      <c r="Q516" s="14" t="s">
        <v>31</v>
      </c>
      <c r="R516" s="14" t="s">
        <v>69</v>
      </c>
    </row>
    <row r="517" spans="1:18" s="14" customFormat="1" x14ac:dyDescent="0.25">
      <c r="A517" s="14" t="str">
        <f>"10001"</f>
        <v>10001</v>
      </c>
      <c r="B517" s="14" t="str">
        <f>"01661"</f>
        <v>01661</v>
      </c>
      <c r="C517" s="14" t="str">
        <f>"1300"</f>
        <v>1300</v>
      </c>
      <c r="D517" s="14" t="str">
        <f>"01661"</f>
        <v>01661</v>
      </c>
      <c r="E517" s="14" t="s">
        <v>20</v>
      </c>
      <c r="F517" s="14" t="s">
        <v>149</v>
      </c>
      <c r="G517" s="14" t="str">
        <f>""</f>
        <v/>
      </c>
      <c r="H517" s="14" t="str">
        <f>" 10"</f>
        <v xml:space="preserve"> 10</v>
      </c>
      <c r="I517" s="14">
        <v>0.01</v>
      </c>
      <c r="J517" s="14">
        <v>500</v>
      </c>
      <c r="K517" s="14" t="s">
        <v>150</v>
      </c>
      <c r="P517" s="14" t="s">
        <v>31</v>
      </c>
      <c r="Q517" s="14" t="s">
        <v>25</v>
      </c>
      <c r="R517" s="14" t="s">
        <v>150</v>
      </c>
    </row>
    <row r="518" spans="1:18" s="14" customFormat="1" x14ac:dyDescent="0.25">
      <c r="A518" s="14" t="str">
        <f>"10001"</f>
        <v>10001</v>
      </c>
      <c r="B518" s="14" t="str">
        <f>"01695"</f>
        <v>01695</v>
      </c>
      <c r="C518" s="14" t="str">
        <f>"1100"</f>
        <v>1100</v>
      </c>
      <c r="D518" s="14" t="str">
        <f>"01695"</f>
        <v>01695</v>
      </c>
      <c r="E518" s="14" t="s">
        <v>20</v>
      </c>
      <c r="F518" s="14" t="s">
        <v>155</v>
      </c>
      <c r="G518" s="14" t="str">
        <f>""</f>
        <v/>
      </c>
      <c r="H518" s="14" t="str">
        <f>" 20"</f>
        <v xml:space="preserve"> 20</v>
      </c>
      <c r="I518" s="14">
        <v>500.01</v>
      </c>
      <c r="J518" s="14">
        <v>9999999.9900000002</v>
      </c>
      <c r="K518" s="14" t="s">
        <v>156</v>
      </c>
      <c r="L518" s="14" t="s">
        <v>147</v>
      </c>
      <c r="M518" s="14" t="s">
        <v>154</v>
      </c>
      <c r="P518" s="14" t="s">
        <v>39</v>
      </c>
      <c r="Q518" s="14" t="s">
        <v>25</v>
      </c>
      <c r="R518" s="14" t="s">
        <v>146</v>
      </c>
    </row>
    <row r="519" spans="1:18" s="14" customFormat="1" x14ac:dyDescent="0.25">
      <c r="A519" s="14" t="str">
        <f>"18123"</f>
        <v>18123</v>
      </c>
      <c r="B519" s="14" t="str">
        <f>"01695"</f>
        <v>01695</v>
      </c>
      <c r="C519" s="14" t="str">
        <f>"1600"</f>
        <v>1600</v>
      </c>
      <c r="D519" s="14" t="str">
        <f>"18123"</f>
        <v>18123</v>
      </c>
      <c r="E519" s="14" t="s">
        <v>688</v>
      </c>
      <c r="F519" s="14" t="s">
        <v>155</v>
      </c>
      <c r="G519" s="14" t="str">
        <f>""</f>
        <v/>
      </c>
      <c r="H519" s="14" t="str">
        <f>" 20"</f>
        <v xml:space="preserve"> 20</v>
      </c>
      <c r="I519" s="14">
        <v>500.01</v>
      </c>
      <c r="J519" s="14">
        <v>9999999.9900000002</v>
      </c>
      <c r="K519" s="14" t="s">
        <v>156</v>
      </c>
      <c r="L519" s="14" t="s">
        <v>147</v>
      </c>
      <c r="P519" s="14" t="s">
        <v>39</v>
      </c>
      <c r="Q519" s="14" t="s">
        <v>25</v>
      </c>
      <c r="R519" s="14" t="s">
        <v>146</v>
      </c>
    </row>
    <row r="520" spans="1:18" s="14" customFormat="1" x14ac:dyDescent="0.25">
      <c r="A520" s="14" t="str">
        <f>"18512"</f>
        <v>18512</v>
      </c>
      <c r="B520" s="14" t="str">
        <f>"01695"</f>
        <v>01695</v>
      </c>
      <c r="C520" s="14" t="str">
        <f>"1300"</f>
        <v>1300</v>
      </c>
      <c r="D520" s="14" t="str">
        <f>""</f>
        <v/>
      </c>
      <c r="E520" s="14" t="s">
        <v>710</v>
      </c>
      <c r="F520" s="14" t="s">
        <v>155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156</v>
      </c>
      <c r="L520" s="14" t="s">
        <v>147</v>
      </c>
      <c r="P520" s="14" t="s">
        <v>701</v>
      </c>
      <c r="Q520" s="14" t="s">
        <v>25</v>
      </c>
      <c r="R520" s="14" t="s">
        <v>146</v>
      </c>
    </row>
    <row r="521" spans="1:18" s="14" customFormat="1" x14ac:dyDescent="0.25">
      <c r="A521" s="14" t="str">
        <f>"25139"</f>
        <v>25139</v>
      </c>
      <c r="B521" s="14" t="str">
        <f>"01695"</f>
        <v>01695</v>
      </c>
      <c r="C521" s="14" t="str">
        <f>"1200"</f>
        <v>1200</v>
      </c>
      <c r="D521" s="14" t="str">
        <f>"25139"</f>
        <v>25139</v>
      </c>
      <c r="E521" s="14" t="s">
        <v>922</v>
      </c>
      <c r="F521" s="14" t="s">
        <v>155</v>
      </c>
      <c r="G521" s="14" t="str">
        <f>"GR0025139"</f>
        <v>GR0025139</v>
      </c>
      <c r="H521" s="14" t="str">
        <f>" 20"</f>
        <v xml:space="preserve"> 20</v>
      </c>
      <c r="I521" s="14">
        <v>500.01</v>
      </c>
      <c r="J521" s="14">
        <v>9999999.9900000002</v>
      </c>
      <c r="K521" s="14" t="s">
        <v>156</v>
      </c>
      <c r="L521" s="14" t="s">
        <v>147</v>
      </c>
      <c r="O521" s="14" t="s">
        <v>156</v>
      </c>
      <c r="P521" s="14" t="s">
        <v>701</v>
      </c>
      <c r="Q521" s="14" t="s">
        <v>701</v>
      </c>
      <c r="R521" s="14" t="s">
        <v>146</v>
      </c>
    </row>
    <row r="522" spans="1:18" s="14" customFormat="1" x14ac:dyDescent="0.25">
      <c r="A522" s="14" t="str">
        <f>"25159"</f>
        <v>25159</v>
      </c>
      <c r="B522" s="14" t="str">
        <f>"01695"</f>
        <v>01695</v>
      </c>
      <c r="C522" s="14" t="str">
        <f>"1600"</f>
        <v>1600</v>
      </c>
      <c r="D522" s="14" t="str">
        <f>"25159"</f>
        <v>25159</v>
      </c>
      <c r="E522" s="14" t="s">
        <v>938</v>
      </c>
      <c r="F522" s="14" t="s">
        <v>155</v>
      </c>
      <c r="G522" s="14" t="str">
        <f>"GR0025159"</f>
        <v>GR0025159</v>
      </c>
      <c r="H522" s="14" t="str">
        <f>" 20"</f>
        <v xml:space="preserve"> 20</v>
      </c>
      <c r="I522" s="14">
        <v>500.01</v>
      </c>
      <c r="J522" s="14">
        <v>9999999.9900000002</v>
      </c>
      <c r="K522" s="14" t="s">
        <v>156</v>
      </c>
      <c r="L522" s="14" t="s">
        <v>147</v>
      </c>
      <c r="O522" s="14" t="s">
        <v>156</v>
      </c>
      <c r="P522" s="14" t="s">
        <v>701</v>
      </c>
      <c r="Q522" s="14" t="s">
        <v>701</v>
      </c>
      <c r="R522" s="14" t="s">
        <v>146</v>
      </c>
    </row>
    <row r="523" spans="1:18" s="14" customFormat="1" x14ac:dyDescent="0.25">
      <c r="A523" s="14" t="str">
        <f>"84102"</f>
        <v>84102</v>
      </c>
      <c r="B523" s="14" t="str">
        <f>"07020"</f>
        <v>07020</v>
      </c>
      <c r="C523" s="14" t="str">
        <f>"1700"</f>
        <v>1700</v>
      </c>
      <c r="D523" s="14" t="str">
        <f>"84102"</f>
        <v>84102</v>
      </c>
      <c r="E523" s="14" t="s">
        <v>1643</v>
      </c>
      <c r="F523" s="14" t="s">
        <v>1532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156</v>
      </c>
      <c r="P523" s="14" t="s">
        <v>31</v>
      </c>
      <c r="Q523" s="14" t="s">
        <v>31</v>
      </c>
      <c r="R523" s="14" t="s">
        <v>156</v>
      </c>
    </row>
    <row r="524" spans="1:18" s="14" customFormat="1" x14ac:dyDescent="0.25">
      <c r="A524" s="14" t="str">
        <f>"84242"</f>
        <v>84242</v>
      </c>
      <c r="B524" s="14" t="str">
        <f>"07020"</f>
        <v>07020</v>
      </c>
      <c r="C524" s="14" t="str">
        <f>"1700"</f>
        <v>1700</v>
      </c>
      <c r="D524" s="14" t="str">
        <f>"84242"</f>
        <v>84242</v>
      </c>
      <c r="E524" s="14" t="s">
        <v>1759</v>
      </c>
      <c r="F524" s="14" t="s">
        <v>1532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1760</v>
      </c>
      <c r="P524" s="14" t="s">
        <v>31</v>
      </c>
      <c r="Q524" s="14" t="s">
        <v>31</v>
      </c>
      <c r="R524" s="14" t="s">
        <v>1760</v>
      </c>
    </row>
    <row r="525" spans="1:18" s="14" customFormat="1" x14ac:dyDescent="0.25">
      <c r="A525" s="14" t="str">
        <f>"10001"</f>
        <v>10001</v>
      </c>
      <c r="B525" s="14" t="str">
        <f>"01390"</f>
        <v>01390</v>
      </c>
      <c r="C525" s="14" t="str">
        <f>"1100"</f>
        <v>1100</v>
      </c>
      <c r="D525" s="14" t="str">
        <f>"01390"</f>
        <v>01390</v>
      </c>
      <c r="E525" s="14" t="s">
        <v>20</v>
      </c>
      <c r="F525" s="14" t="s">
        <v>116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112</v>
      </c>
      <c r="L525" s="14" t="s">
        <v>113</v>
      </c>
      <c r="M525" s="14" t="s">
        <v>114</v>
      </c>
      <c r="P525" s="14" t="s">
        <v>31</v>
      </c>
      <c r="Q525" s="14" t="s">
        <v>25</v>
      </c>
      <c r="R525" s="14" t="s">
        <v>115</v>
      </c>
    </row>
    <row r="526" spans="1:18" s="14" customFormat="1" x14ac:dyDescent="0.25">
      <c r="A526" s="14" t="str">
        <f>"10001"</f>
        <v>10001</v>
      </c>
      <c r="B526" s="14" t="str">
        <f>"01780"</f>
        <v>01780</v>
      </c>
      <c r="C526" s="14" t="str">
        <f>"1300"</f>
        <v>1300</v>
      </c>
      <c r="D526" s="14" t="str">
        <f>"01780"</f>
        <v>01780</v>
      </c>
      <c r="E526" s="14" t="s">
        <v>20</v>
      </c>
      <c r="F526" s="14" t="s">
        <v>175</v>
      </c>
      <c r="G526" s="14" t="str">
        <f>""</f>
        <v/>
      </c>
      <c r="H526" s="14" t="str">
        <f>" 00"</f>
        <v xml:space="preserve"> 00</v>
      </c>
      <c r="I526" s="14">
        <v>0.01</v>
      </c>
      <c r="J526" s="14">
        <v>9999999.9900000002</v>
      </c>
      <c r="K526" s="14" t="s">
        <v>112</v>
      </c>
      <c r="L526" s="14" t="s">
        <v>113</v>
      </c>
      <c r="M526" s="14" t="s">
        <v>114</v>
      </c>
      <c r="P526" s="14" t="s">
        <v>31</v>
      </c>
      <c r="Q526" s="14" t="s">
        <v>25</v>
      </c>
      <c r="R526" s="14" t="s">
        <v>115</v>
      </c>
    </row>
    <row r="527" spans="1:18" s="14" customFormat="1" x14ac:dyDescent="0.25">
      <c r="A527" s="14" t="str">
        <f>"11024"</f>
        <v>11024</v>
      </c>
      <c r="B527" s="14" t="str">
        <f>"01780"</f>
        <v>01780</v>
      </c>
      <c r="C527" s="14" t="str">
        <f>"1300"</f>
        <v>1300</v>
      </c>
      <c r="D527" s="14" t="str">
        <f>""</f>
        <v/>
      </c>
      <c r="E527" s="14" t="s">
        <v>458</v>
      </c>
      <c r="F527" s="14" t="s">
        <v>175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112</v>
      </c>
      <c r="L527" s="14" t="s">
        <v>113</v>
      </c>
      <c r="M527" s="14" t="s">
        <v>114</v>
      </c>
      <c r="P527" s="14" t="s">
        <v>25</v>
      </c>
      <c r="Q527" s="14" t="s">
        <v>25</v>
      </c>
      <c r="R527" s="14" t="s">
        <v>115</v>
      </c>
    </row>
    <row r="528" spans="1:18" s="14" customFormat="1" x14ac:dyDescent="0.25">
      <c r="A528" s="14" t="str">
        <f>"11035"</f>
        <v>11035</v>
      </c>
      <c r="B528" s="14" t="str">
        <f>"01780"</f>
        <v>01780</v>
      </c>
      <c r="C528" s="14" t="str">
        <f>"1300"</f>
        <v>1300</v>
      </c>
      <c r="D528" s="14" t="str">
        <f>""</f>
        <v/>
      </c>
      <c r="E528" s="14" t="s">
        <v>469</v>
      </c>
      <c r="F528" s="14" t="s">
        <v>175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112</v>
      </c>
      <c r="L528" s="14" t="s">
        <v>113</v>
      </c>
      <c r="M528" s="14" t="s">
        <v>114</v>
      </c>
      <c r="P528" s="14" t="s">
        <v>25</v>
      </c>
      <c r="Q528" s="14" t="s">
        <v>25</v>
      </c>
      <c r="R528" s="14" t="s">
        <v>115</v>
      </c>
    </row>
    <row r="529" spans="1:18" s="14" customFormat="1" x14ac:dyDescent="0.25">
      <c r="A529" s="14" t="str">
        <f>"11043"</f>
        <v>11043</v>
      </c>
      <c r="B529" s="14" t="str">
        <f>"01390"</f>
        <v>01390</v>
      </c>
      <c r="C529" s="14" t="str">
        <f>"1100"</f>
        <v>1100</v>
      </c>
      <c r="D529" s="14" t="str">
        <f>""</f>
        <v/>
      </c>
      <c r="E529" s="14" t="s">
        <v>477</v>
      </c>
      <c r="F529" s="14" t="s">
        <v>116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112</v>
      </c>
      <c r="L529" s="14" t="s">
        <v>113</v>
      </c>
      <c r="M529" s="14" t="s">
        <v>114</v>
      </c>
      <c r="P529" s="14" t="s">
        <v>25</v>
      </c>
      <c r="Q529" s="14" t="s">
        <v>25</v>
      </c>
      <c r="R529" s="14" t="s">
        <v>115</v>
      </c>
    </row>
    <row r="530" spans="1:18" s="14" customFormat="1" x14ac:dyDescent="0.25">
      <c r="A530" s="14" t="str">
        <f>"11044"</f>
        <v>11044</v>
      </c>
      <c r="B530" s="14" t="str">
        <f>"01780"</f>
        <v>01780</v>
      </c>
      <c r="C530" s="14" t="str">
        <f>"1300"</f>
        <v>1300</v>
      </c>
      <c r="D530" s="14" t="str">
        <f>""</f>
        <v/>
      </c>
      <c r="E530" s="14" t="s">
        <v>478</v>
      </c>
      <c r="F530" s="14" t="s">
        <v>175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112</v>
      </c>
      <c r="L530" s="14" t="s">
        <v>113</v>
      </c>
      <c r="M530" s="14" t="s">
        <v>114</v>
      </c>
      <c r="P530" s="14" t="s">
        <v>25</v>
      </c>
      <c r="Q530" s="14" t="s">
        <v>25</v>
      </c>
      <c r="R530" s="14" t="s">
        <v>115</v>
      </c>
    </row>
    <row r="531" spans="1:18" s="14" customFormat="1" x14ac:dyDescent="0.25">
      <c r="A531" s="14" t="str">
        <f>"11046"</f>
        <v>11046</v>
      </c>
      <c r="B531" s="14" t="str">
        <f>"01780"</f>
        <v>01780</v>
      </c>
      <c r="C531" s="14" t="str">
        <f>"1300"</f>
        <v>1300</v>
      </c>
      <c r="D531" s="14" t="str">
        <f>""</f>
        <v/>
      </c>
      <c r="E531" s="14" t="s">
        <v>480</v>
      </c>
      <c r="F531" s="14" t="s">
        <v>175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112</v>
      </c>
      <c r="L531" s="14" t="s">
        <v>113</v>
      </c>
      <c r="M531" s="14" t="s">
        <v>114</v>
      </c>
      <c r="P531" s="14" t="s">
        <v>25</v>
      </c>
      <c r="Q531" s="14" t="s">
        <v>25</v>
      </c>
      <c r="R531" s="14" t="s">
        <v>115</v>
      </c>
    </row>
    <row r="532" spans="1:18" s="14" customFormat="1" x14ac:dyDescent="0.25">
      <c r="A532" s="14" t="str">
        <f>"18019"</f>
        <v>18019</v>
      </c>
      <c r="B532" s="14" t="str">
        <f>"01780"</f>
        <v>01780</v>
      </c>
      <c r="C532" s="14" t="str">
        <f>"1300"</f>
        <v>1300</v>
      </c>
      <c r="D532" s="14" t="str">
        <f>"18019"</f>
        <v>18019</v>
      </c>
      <c r="E532" s="14" t="s">
        <v>603</v>
      </c>
      <c r="F532" s="14" t="s">
        <v>175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112</v>
      </c>
      <c r="L532" s="14" t="s">
        <v>113</v>
      </c>
      <c r="M532" s="14" t="s">
        <v>114</v>
      </c>
      <c r="P532" s="14" t="s">
        <v>31</v>
      </c>
      <c r="Q532" s="14" t="s">
        <v>25</v>
      </c>
      <c r="R532" s="14" t="s">
        <v>115</v>
      </c>
    </row>
    <row r="533" spans="1:18" s="14" customFormat="1" x14ac:dyDescent="0.25">
      <c r="A533" s="14" t="str">
        <f>"18129"</f>
        <v>18129</v>
      </c>
      <c r="B533" s="14" t="str">
        <f>"01780"</f>
        <v>01780</v>
      </c>
      <c r="C533" s="14" t="str">
        <f>"1600"</f>
        <v>1600</v>
      </c>
      <c r="D533" s="14" t="str">
        <f>"18129"</f>
        <v>18129</v>
      </c>
      <c r="E533" s="14" t="s">
        <v>694</v>
      </c>
      <c r="F533" s="14" t="s">
        <v>175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112</v>
      </c>
      <c r="L533" s="14" t="s">
        <v>113</v>
      </c>
      <c r="P533" s="14" t="s">
        <v>31</v>
      </c>
      <c r="Q533" s="14" t="s">
        <v>25</v>
      </c>
      <c r="R533" s="14" t="s">
        <v>115</v>
      </c>
    </row>
    <row r="534" spans="1:18" s="14" customFormat="1" x14ac:dyDescent="0.25">
      <c r="A534" s="14" t="str">
        <f>"18502"</f>
        <v>18502</v>
      </c>
      <c r="B534" s="14" t="str">
        <f>"01780"</f>
        <v>01780</v>
      </c>
      <c r="C534" s="14" t="str">
        <f>"1300"</f>
        <v>1300</v>
      </c>
      <c r="D534" s="14" t="str">
        <f>""</f>
        <v/>
      </c>
      <c r="E534" s="14" t="s">
        <v>702</v>
      </c>
      <c r="F534" s="14" t="s">
        <v>175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112</v>
      </c>
      <c r="L534" s="14" t="s">
        <v>113</v>
      </c>
      <c r="M534" s="14" t="s">
        <v>114</v>
      </c>
      <c r="P534" s="14" t="s">
        <v>701</v>
      </c>
      <c r="Q534" s="14" t="s">
        <v>25</v>
      </c>
      <c r="R534" s="14" t="s">
        <v>115</v>
      </c>
    </row>
    <row r="535" spans="1:18" s="14" customFormat="1" x14ac:dyDescent="0.25">
      <c r="A535" s="14" t="str">
        <f>"18519"</f>
        <v>18519</v>
      </c>
      <c r="B535" s="14" t="str">
        <f>"01390"</f>
        <v>01390</v>
      </c>
      <c r="C535" s="14" t="str">
        <f>"1100"</f>
        <v>1100</v>
      </c>
      <c r="D535" s="14" t="str">
        <f>""</f>
        <v/>
      </c>
      <c r="E535" s="14" t="s">
        <v>716</v>
      </c>
      <c r="F535" s="14" t="s">
        <v>116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112</v>
      </c>
      <c r="L535" s="14" t="s">
        <v>113</v>
      </c>
      <c r="M535" s="14" t="s">
        <v>114</v>
      </c>
      <c r="P535" s="14" t="s">
        <v>701</v>
      </c>
      <c r="Q535" s="14" t="s">
        <v>25</v>
      </c>
      <c r="R535" s="14" t="s">
        <v>115</v>
      </c>
    </row>
    <row r="536" spans="1:18" s="14" customFormat="1" x14ac:dyDescent="0.25">
      <c r="A536" s="14" t="str">
        <f>"18522"</f>
        <v>18522</v>
      </c>
      <c r="B536" s="14" t="str">
        <f>"01830"</f>
        <v>01830</v>
      </c>
      <c r="C536" s="14" t="str">
        <f>"1300"</f>
        <v>1300</v>
      </c>
      <c r="D536" s="14" t="str">
        <f>""</f>
        <v/>
      </c>
      <c r="E536" s="14" t="s">
        <v>719</v>
      </c>
      <c r="F536" s="14" t="s">
        <v>187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112</v>
      </c>
      <c r="L536" s="14" t="s">
        <v>113</v>
      </c>
      <c r="M536" s="14" t="s">
        <v>114</v>
      </c>
      <c r="P536" s="14" t="s">
        <v>701</v>
      </c>
      <c r="Q536" s="14" t="s">
        <v>25</v>
      </c>
      <c r="R536" s="14" t="s">
        <v>115</v>
      </c>
    </row>
    <row r="537" spans="1:18" s="14" customFormat="1" x14ac:dyDescent="0.25">
      <c r="A537" s="14" t="str">
        <f>"18525"</f>
        <v>18525</v>
      </c>
      <c r="B537" s="14" t="str">
        <f>"01800"</f>
        <v>01800</v>
      </c>
      <c r="C537" s="14" t="str">
        <f>"1300"</f>
        <v>1300</v>
      </c>
      <c r="D537" s="14" t="str">
        <f>""</f>
        <v/>
      </c>
      <c r="E537" s="14" t="s">
        <v>722</v>
      </c>
      <c r="F537" s="14" t="s">
        <v>180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112</v>
      </c>
      <c r="L537" s="14" t="s">
        <v>113</v>
      </c>
      <c r="M537" s="14" t="s">
        <v>114</v>
      </c>
      <c r="P537" s="14" t="s">
        <v>701</v>
      </c>
      <c r="Q537" s="14" t="s">
        <v>25</v>
      </c>
      <c r="R537" s="14" t="s">
        <v>115</v>
      </c>
    </row>
    <row r="538" spans="1:18" s="14" customFormat="1" x14ac:dyDescent="0.25">
      <c r="A538" s="14" t="str">
        <f>"19005"</f>
        <v>19005</v>
      </c>
      <c r="B538" s="14" t="str">
        <f>"01820"</f>
        <v>01820</v>
      </c>
      <c r="C538" s="14" t="str">
        <f>"1200"</f>
        <v>1200</v>
      </c>
      <c r="D538" s="14" t="str">
        <f>"19005"</f>
        <v>19005</v>
      </c>
      <c r="E538" s="14" t="s">
        <v>747</v>
      </c>
      <c r="F538" s="14" t="s">
        <v>185</v>
      </c>
      <c r="G538" s="14" t="str">
        <f>"GR0019005"</f>
        <v>GR0019005</v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112</v>
      </c>
      <c r="L538" s="14" t="s">
        <v>113</v>
      </c>
      <c r="M538" s="14" t="s">
        <v>114</v>
      </c>
      <c r="O538" s="14" t="s">
        <v>748</v>
      </c>
      <c r="P538" s="14" t="s">
        <v>31</v>
      </c>
      <c r="Q538" s="14" t="s">
        <v>31</v>
      </c>
      <c r="R538" s="14" t="s">
        <v>115</v>
      </c>
    </row>
    <row r="539" spans="1:18" s="14" customFormat="1" x14ac:dyDescent="0.25">
      <c r="A539" s="14" t="str">
        <f>"19236"</f>
        <v>19236</v>
      </c>
      <c r="B539" s="14" t="str">
        <f>"01790"</f>
        <v>01790</v>
      </c>
      <c r="C539" s="14" t="str">
        <f>"1300"</f>
        <v>1300</v>
      </c>
      <c r="D539" s="14" t="str">
        <f>"19236"</f>
        <v>19236</v>
      </c>
      <c r="E539" s="14" t="s">
        <v>761</v>
      </c>
      <c r="F539" s="14" t="s">
        <v>178</v>
      </c>
      <c r="G539" s="14" t="str">
        <f>"GR0019236"</f>
        <v>GR0019236</v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112</v>
      </c>
      <c r="L539" s="14" t="s">
        <v>179</v>
      </c>
      <c r="M539" s="14" t="s">
        <v>113</v>
      </c>
      <c r="N539" s="14" t="s">
        <v>114</v>
      </c>
      <c r="O539" s="14" t="s">
        <v>762</v>
      </c>
      <c r="P539" s="14" t="s">
        <v>31</v>
      </c>
      <c r="Q539" s="14" t="s">
        <v>31</v>
      </c>
      <c r="R539" s="14" t="s">
        <v>115</v>
      </c>
    </row>
    <row r="540" spans="1:18" s="14" customFormat="1" x14ac:dyDescent="0.25">
      <c r="A540" s="14" t="str">
        <f>"19237"</f>
        <v>19237</v>
      </c>
      <c r="B540" s="14" t="str">
        <f>"01780"</f>
        <v>01780</v>
      </c>
      <c r="C540" s="14" t="str">
        <f>"1300"</f>
        <v>1300</v>
      </c>
      <c r="D540" s="14" t="str">
        <f>"19237"</f>
        <v>19237</v>
      </c>
      <c r="E540" s="14" t="s">
        <v>763</v>
      </c>
      <c r="F540" s="14" t="s">
        <v>175</v>
      </c>
      <c r="G540" s="14" t="str">
        <f>"GR0019237"</f>
        <v>GR0019237</v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112</v>
      </c>
      <c r="L540" s="14" t="s">
        <v>113</v>
      </c>
      <c r="M540" s="14" t="s">
        <v>114</v>
      </c>
      <c r="O540" s="14" t="s">
        <v>764</v>
      </c>
      <c r="P540" s="14" t="s">
        <v>31</v>
      </c>
      <c r="Q540" s="14" t="s">
        <v>31</v>
      </c>
      <c r="R540" s="14" t="s">
        <v>115</v>
      </c>
    </row>
    <row r="541" spans="1:18" s="14" customFormat="1" x14ac:dyDescent="0.25">
      <c r="A541" s="14" t="str">
        <f>"19239"</f>
        <v>19239</v>
      </c>
      <c r="B541" s="14" t="str">
        <f>"01790"</f>
        <v>01790</v>
      </c>
      <c r="C541" s="14" t="str">
        <f>"1300"</f>
        <v>1300</v>
      </c>
      <c r="D541" s="14" t="str">
        <f>"19239"</f>
        <v>19239</v>
      </c>
      <c r="E541" s="14" t="s">
        <v>765</v>
      </c>
      <c r="F541" s="14" t="s">
        <v>178</v>
      </c>
      <c r="G541" s="14" t="str">
        <f>"GR0019239"</f>
        <v>GR0019239</v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112</v>
      </c>
      <c r="L541" s="14" t="s">
        <v>179</v>
      </c>
      <c r="M541" s="14" t="s">
        <v>113</v>
      </c>
      <c r="N541" s="14" t="s">
        <v>114</v>
      </c>
      <c r="O541" s="14" t="s">
        <v>766</v>
      </c>
      <c r="P541" s="14" t="s">
        <v>31</v>
      </c>
      <c r="Q541" s="14" t="s">
        <v>31</v>
      </c>
      <c r="R541" s="14" t="s">
        <v>115</v>
      </c>
    </row>
    <row r="542" spans="1:18" s="14" customFormat="1" x14ac:dyDescent="0.25">
      <c r="A542" s="14" t="str">
        <f>"19240"</f>
        <v>19240</v>
      </c>
      <c r="B542" s="14" t="str">
        <f>"01820"</f>
        <v>01820</v>
      </c>
      <c r="C542" s="14" t="str">
        <f>"1200"</f>
        <v>1200</v>
      </c>
      <c r="D542" s="14" t="str">
        <f>"19240"</f>
        <v>19240</v>
      </c>
      <c r="E542" s="14" t="s">
        <v>767</v>
      </c>
      <c r="F542" s="14" t="s">
        <v>185</v>
      </c>
      <c r="G542" s="14" t="str">
        <f>"GR0019240"</f>
        <v>GR0019240</v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112</v>
      </c>
      <c r="L542" s="14" t="s">
        <v>186</v>
      </c>
      <c r="M542" s="14" t="s">
        <v>113</v>
      </c>
      <c r="N542" s="14" t="s">
        <v>114</v>
      </c>
      <c r="O542" s="14" t="s">
        <v>186</v>
      </c>
      <c r="P542" s="14" t="s">
        <v>31</v>
      </c>
      <c r="Q542" s="14" t="s">
        <v>31</v>
      </c>
      <c r="R542" s="14" t="s">
        <v>115</v>
      </c>
    </row>
    <row r="543" spans="1:18" s="14" customFormat="1" x14ac:dyDescent="0.25">
      <c r="A543" s="14" t="str">
        <f>"19254"</f>
        <v>19254</v>
      </c>
      <c r="B543" s="14" t="str">
        <f>"01790"</f>
        <v>01790</v>
      </c>
      <c r="C543" s="14" t="str">
        <f>"1200"</f>
        <v>1200</v>
      </c>
      <c r="D543" s="14" t="str">
        <f>"19254"</f>
        <v>19254</v>
      </c>
      <c r="E543" s="14" t="s">
        <v>769</v>
      </c>
      <c r="F543" s="14" t="s">
        <v>178</v>
      </c>
      <c r="G543" s="14" t="str">
        <f>"GR0019254"</f>
        <v>GR0019254</v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112</v>
      </c>
      <c r="L543" s="14" t="s">
        <v>179</v>
      </c>
      <c r="M543" s="14" t="s">
        <v>114</v>
      </c>
      <c r="N543" s="14" t="s">
        <v>113</v>
      </c>
      <c r="O543" s="14" t="s">
        <v>762</v>
      </c>
      <c r="P543" s="14" t="s">
        <v>31</v>
      </c>
      <c r="Q543" s="14" t="s">
        <v>31</v>
      </c>
      <c r="R543" s="14" t="s">
        <v>115</v>
      </c>
    </row>
    <row r="544" spans="1:18" s="14" customFormat="1" x14ac:dyDescent="0.25">
      <c r="A544" s="14" t="str">
        <f>"19256"</f>
        <v>19256</v>
      </c>
      <c r="B544" s="14" t="str">
        <f>"01780"</f>
        <v>01780</v>
      </c>
      <c r="C544" s="14" t="str">
        <f>"1600"</f>
        <v>1600</v>
      </c>
      <c r="D544" s="14" t="str">
        <f>"19256"</f>
        <v>19256</v>
      </c>
      <c r="E544" s="14" t="s">
        <v>770</v>
      </c>
      <c r="F544" s="14" t="s">
        <v>175</v>
      </c>
      <c r="G544" s="14" t="str">
        <f>"GR0019256"</f>
        <v>GR0019256</v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112</v>
      </c>
      <c r="L544" s="14" t="s">
        <v>114</v>
      </c>
      <c r="M544" s="14" t="s">
        <v>113</v>
      </c>
      <c r="O544" s="14" t="s">
        <v>647</v>
      </c>
      <c r="P544" s="14" t="s">
        <v>31</v>
      </c>
      <c r="Q544" s="14" t="s">
        <v>31</v>
      </c>
      <c r="R544" s="14" t="s">
        <v>115</v>
      </c>
    </row>
    <row r="545" spans="1:18" s="14" customFormat="1" x14ac:dyDescent="0.25">
      <c r="A545" s="14" t="str">
        <f>"19259"</f>
        <v>19259</v>
      </c>
      <c r="B545" s="14" t="str">
        <f>"01820"</f>
        <v>01820</v>
      </c>
      <c r="C545" s="14" t="str">
        <f>"1200"</f>
        <v>1200</v>
      </c>
      <c r="D545" s="14" t="str">
        <f>"19259"</f>
        <v>19259</v>
      </c>
      <c r="E545" s="14" t="s">
        <v>771</v>
      </c>
      <c r="F545" s="14" t="s">
        <v>185</v>
      </c>
      <c r="G545" s="14" t="str">
        <f>"GR0019259"</f>
        <v>GR0019259</v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112</v>
      </c>
      <c r="L545" s="14" t="s">
        <v>186</v>
      </c>
      <c r="M545" s="14" t="s">
        <v>114</v>
      </c>
      <c r="N545" s="14" t="s">
        <v>113</v>
      </c>
      <c r="O545" s="14" t="s">
        <v>772</v>
      </c>
      <c r="P545" s="14" t="s">
        <v>31</v>
      </c>
      <c r="Q545" s="14" t="s">
        <v>31</v>
      </c>
      <c r="R545" s="14" t="s">
        <v>115</v>
      </c>
    </row>
    <row r="546" spans="1:18" s="14" customFormat="1" x14ac:dyDescent="0.25">
      <c r="A546" s="14" t="str">
        <f>"19278"</f>
        <v>19278</v>
      </c>
      <c r="B546" s="14" t="str">
        <f>"01390"</f>
        <v>01390</v>
      </c>
      <c r="C546" s="14" t="str">
        <f>"1300"</f>
        <v>1300</v>
      </c>
      <c r="D546" s="14" t="str">
        <f>"19278"</f>
        <v>19278</v>
      </c>
      <c r="E546" s="14" t="s">
        <v>790</v>
      </c>
      <c r="F546" s="14" t="s">
        <v>116</v>
      </c>
      <c r="G546" s="14" t="str">
        <f>"GR0019278"</f>
        <v>GR0019278</v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112</v>
      </c>
      <c r="L546" s="14" t="s">
        <v>113</v>
      </c>
      <c r="M546" s="14" t="s">
        <v>114</v>
      </c>
      <c r="O546" s="14" t="s">
        <v>791</v>
      </c>
      <c r="P546" s="14" t="s">
        <v>31</v>
      </c>
      <c r="Q546" s="14" t="s">
        <v>31</v>
      </c>
      <c r="R546" s="14" t="s">
        <v>115</v>
      </c>
    </row>
    <row r="547" spans="1:18" s="14" customFormat="1" x14ac:dyDescent="0.25">
      <c r="A547" s="14" t="str">
        <f>"19279"</f>
        <v>19279</v>
      </c>
      <c r="B547" s="14" t="str">
        <f>"01820"</f>
        <v>01820</v>
      </c>
      <c r="C547" s="14" t="str">
        <f>"1300"</f>
        <v>1300</v>
      </c>
      <c r="D547" s="14" t="str">
        <f>"19279"</f>
        <v>19279</v>
      </c>
      <c r="E547" s="14" t="s">
        <v>792</v>
      </c>
      <c r="F547" s="14" t="s">
        <v>185</v>
      </c>
      <c r="G547" s="14" t="str">
        <f>"GR0019279"</f>
        <v>GR0019279</v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112</v>
      </c>
      <c r="L547" s="14" t="s">
        <v>113</v>
      </c>
      <c r="M547" s="14" t="s">
        <v>114</v>
      </c>
      <c r="O547" s="14" t="s">
        <v>186</v>
      </c>
      <c r="P547" s="14" t="s">
        <v>31</v>
      </c>
      <c r="Q547" s="14" t="s">
        <v>31</v>
      </c>
      <c r="R547" s="14" t="s">
        <v>115</v>
      </c>
    </row>
    <row r="548" spans="1:18" s="14" customFormat="1" x14ac:dyDescent="0.25">
      <c r="A548" s="14" t="str">
        <f>"19280"</f>
        <v>19280</v>
      </c>
      <c r="B548" s="14" t="str">
        <f>"01780"</f>
        <v>01780</v>
      </c>
      <c r="C548" s="14" t="str">
        <f>"1300"</f>
        <v>1300</v>
      </c>
      <c r="D548" s="14" t="str">
        <f>"19280"</f>
        <v>19280</v>
      </c>
      <c r="E548" s="14" t="s">
        <v>793</v>
      </c>
      <c r="F548" s="14" t="s">
        <v>175</v>
      </c>
      <c r="G548" s="14" t="str">
        <f>"GR0019280"</f>
        <v>GR0019280</v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112</v>
      </c>
      <c r="L548" s="14" t="s">
        <v>113</v>
      </c>
      <c r="M548" s="14" t="s">
        <v>114</v>
      </c>
      <c r="O548" s="14" t="s">
        <v>794</v>
      </c>
      <c r="P548" s="14" t="s">
        <v>31</v>
      </c>
      <c r="Q548" s="14" t="s">
        <v>31</v>
      </c>
      <c r="R548" s="14" t="s">
        <v>115</v>
      </c>
    </row>
    <row r="549" spans="1:18" s="14" customFormat="1" x14ac:dyDescent="0.25">
      <c r="A549" s="14" t="str">
        <f>"19290"</f>
        <v>19290</v>
      </c>
      <c r="B549" s="14" t="str">
        <f>"01780"</f>
        <v>01780</v>
      </c>
      <c r="C549" s="14" t="str">
        <f>"1700"</f>
        <v>1700</v>
      </c>
      <c r="D549" s="14" t="str">
        <f>"19290"</f>
        <v>19290</v>
      </c>
      <c r="E549" s="14" t="s">
        <v>811</v>
      </c>
      <c r="F549" s="14" t="s">
        <v>175</v>
      </c>
      <c r="G549" s="14" t="str">
        <f>"GR0019290"</f>
        <v>GR0019290</v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112</v>
      </c>
      <c r="L549" s="14" t="s">
        <v>113</v>
      </c>
      <c r="M549" s="14" t="s">
        <v>114</v>
      </c>
      <c r="O549" s="14" t="s">
        <v>812</v>
      </c>
      <c r="P549" s="14" t="s">
        <v>31</v>
      </c>
      <c r="Q549" s="14" t="s">
        <v>31</v>
      </c>
      <c r="R549" s="14" t="s">
        <v>115</v>
      </c>
    </row>
    <row r="550" spans="1:18" s="14" customFormat="1" x14ac:dyDescent="0.25">
      <c r="A550" s="14" t="str">
        <f>"21186"</f>
        <v>21186</v>
      </c>
      <c r="B550" s="14" t="str">
        <f>"01830"</f>
        <v>01830</v>
      </c>
      <c r="C550" s="14" t="str">
        <f>"1200"</f>
        <v>1200</v>
      </c>
      <c r="D550" s="14" t="str">
        <f>"21186"</f>
        <v>21186</v>
      </c>
      <c r="E550" s="14" t="s">
        <v>852</v>
      </c>
      <c r="F550" s="14" t="s">
        <v>187</v>
      </c>
      <c r="G550" s="14" t="str">
        <f>"GR0021186"</f>
        <v>GR0021186</v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112</v>
      </c>
      <c r="L550" s="14" t="s">
        <v>113</v>
      </c>
      <c r="O550" s="14" t="s">
        <v>853</v>
      </c>
      <c r="P550" s="14" t="s">
        <v>701</v>
      </c>
      <c r="Q550" s="14" t="s">
        <v>701</v>
      </c>
      <c r="R550" s="14" t="s">
        <v>115</v>
      </c>
    </row>
    <row r="551" spans="1:18" s="14" customFormat="1" x14ac:dyDescent="0.25">
      <c r="A551" s="14" t="str">
        <f>"21187"</f>
        <v>21187</v>
      </c>
      <c r="B551" s="14" t="str">
        <f>"01830"</f>
        <v>01830</v>
      </c>
      <c r="C551" s="14" t="str">
        <f>"1200"</f>
        <v>1200</v>
      </c>
      <c r="D551" s="14" t="str">
        <f>"21187"</f>
        <v>21187</v>
      </c>
      <c r="E551" s="14" t="s">
        <v>854</v>
      </c>
      <c r="F551" s="14" t="s">
        <v>187</v>
      </c>
      <c r="G551" s="14" t="str">
        <f>"GR0021186"</f>
        <v>GR0021186</v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112</v>
      </c>
      <c r="L551" s="14" t="s">
        <v>113</v>
      </c>
      <c r="O551" s="14" t="s">
        <v>853</v>
      </c>
      <c r="P551" s="14" t="s">
        <v>701</v>
      </c>
      <c r="Q551" s="14" t="s">
        <v>701</v>
      </c>
      <c r="R551" s="14" t="s">
        <v>115</v>
      </c>
    </row>
    <row r="552" spans="1:18" s="14" customFormat="1" x14ac:dyDescent="0.25">
      <c r="A552" s="14" t="str">
        <f>"24282"</f>
        <v>24282</v>
      </c>
      <c r="B552" s="14" t="str">
        <f>"01390"</f>
        <v>01390</v>
      </c>
      <c r="C552" s="14" t="str">
        <f>"1100"</f>
        <v>1100</v>
      </c>
      <c r="D552" s="14" t="str">
        <f>"24282"</f>
        <v>24282</v>
      </c>
      <c r="E552" s="14" t="s">
        <v>1928</v>
      </c>
      <c r="F552" s="14" t="s">
        <v>116</v>
      </c>
      <c r="G552" s="14" t="str">
        <f>"GR0024282"</f>
        <v>GR0024282</v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112</v>
      </c>
      <c r="L552" s="14" t="s">
        <v>113</v>
      </c>
      <c r="M552" s="14" t="s">
        <v>114</v>
      </c>
      <c r="O552" s="14" t="s">
        <v>1929</v>
      </c>
      <c r="P552" s="14" t="s">
        <v>701</v>
      </c>
      <c r="Q552" s="14" t="s">
        <v>701</v>
      </c>
      <c r="R552" s="14" t="s">
        <v>115</v>
      </c>
    </row>
    <row r="553" spans="1:18" s="14" customFormat="1" x14ac:dyDescent="0.25">
      <c r="A553" s="14" t="str">
        <f>"24660"</f>
        <v>24660</v>
      </c>
      <c r="B553" s="14" t="str">
        <f>"01390"</f>
        <v>01390</v>
      </c>
      <c r="C553" s="14" t="str">
        <f>"1600"</f>
        <v>1600</v>
      </c>
      <c r="D553" s="14" t="str">
        <f>"24660"</f>
        <v>24660</v>
      </c>
      <c r="E553" s="14" t="s">
        <v>910</v>
      </c>
      <c r="F553" s="14" t="s">
        <v>116</v>
      </c>
      <c r="G553" s="14" t="str">
        <f>"GR0024660"</f>
        <v>GR0024660</v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112</v>
      </c>
      <c r="L553" s="14" t="s">
        <v>113</v>
      </c>
      <c r="M553" s="14" t="s">
        <v>114</v>
      </c>
      <c r="O553" s="14" t="s">
        <v>911</v>
      </c>
      <c r="P553" s="14" t="s">
        <v>701</v>
      </c>
      <c r="Q553" s="14" t="s">
        <v>701</v>
      </c>
      <c r="R553" s="14" t="s">
        <v>115</v>
      </c>
    </row>
    <row r="554" spans="1:18" s="14" customFormat="1" x14ac:dyDescent="0.25">
      <c r="A554" s="14" t="str">
        <f>"24661"</f>
        <v>24661</v>
      </c>
      <c r="B554" s="14" t="str">
        <f>"01390"</f>
        <v>01390</v>
      </c>
      <c r="C554" s="14" t="str">
        <f>"1600"</f>
        <v>1600</v>
      </c>
      <c r="D554" s="14" t="str">
        <f>"24661"</f>
        <v>24661</v>
      </c>
      <c r="E554" s="14" t="s">
        <v>912</v>
      </c>
      <c r="F554" s="14" t="s">
        <v>116</v>
      </c>
      <c r="G554" s="14" t="str">
        <f>"GR0024660"</f>
        <v>GR0024660</v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112</v>
      </c>
      <c r="L554" s="14" t="s">
        <v>113</v>
      </c>
      <c r="M554" s="14" t="s">
        <v>114</v>
      </c>
      <c r="O554" s="14" t="s">
        <v>911</v>
      </c>
      <c r="P554" s="14" t="s">
        <v>701</v>
      </c>
      <c r="Q554" s="14" t="s">
        <v>701</v>
      </c>
      <c r="R554" s="14" t="s">
        <v>115</v>
      </c>
    </row>
    <row r="555" spans="1:18" s="14" customFormat="1" x14ac:dyDescent="0.25">
      <c r="A555" s="14" t="str">
        <f>"35234"</f>
        <v>35234</v>
      </c>
      <c r="B555" s="14" t="str">
        <f>"01900"</f>
        <v>01900</v>
      </c>
      <c r="C555" s="14" t="str">
        <f>"1930"</f>
        <v>1930</v>
      </c>
      <c r="D555" s="14" t="str">
        <f>"35234"</f>
        <v>35234</v>
      </c>
      <c r="E555" s="14" t="s">
        <v>991</v>
      </c>
      <c r="F555" s="14" t="s">
        <v>992</v>
      </c>
      <c r="G555" s="14" t="str">
        <f>"GN0035234"</f>
        <v>GN0035234</v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112</v>
      </c>
      <c r="L555" s="14" t="s">
        <v>113</v>
      </c>
      <c r="M555" s="14" t="s">
        <v>114</v>
      </c>
      <c r="N555" s="14" t="s">
        <v>993</v>
      </c>
      <c r="O555" s="14" t="s">
        <v>112</v>
      </c>
      <c r="P555" s="14" t="s">
        <v>31</v>
      </c>
      <c r="Q555" s="14" t="s">
        <v>25</v>
      </c>
      <c r="R555" s="14" t="s">
        <v>115</v>
      </c>
    </row>
    <row r="556" spans="1:18" s="14" customFormat="1" x14ac:dyDescent="0.25">
      <c r="A556" s="14" t="str">
        <f>"84016"</f>
        <v>84016</v>
      </c>
      <c r="B556" s="14" t="str">
        <f>"07020"</f>
        <v>07020</v>
      </c>
      <c r="C556" s="14" t="str">
        <f>"1700"</f>
        <v>1700</v>
      </c>
      <c r="D556" s="14" t="str">
        <f>"84016"</f>
        <v>84016</v>
      </c>
      <c r="E556" s="14" t="s">
        <v>1552</v>
      </c>
      <c r="F556" s="14" t="s">
        <v>1532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1553</v>
      </c>
      <c r="L556" s="14" t="s">
        <v>755</v>
      </c>
      <c r="M556" s="14" t="s">
        <v>72</v>
      </c>
      <c r="P556" s="14" t="s">
        <v>31</v>
      </c>
      <c r="Q556" s="14" t="s">
        <v>31</v>
      </c>
      <c r="R556" s="14" t="s">
        <v>1553</v>
      </c>
    </row>
    <row r="557" spans="1:18" s="14" customFormat="1" x14ac:dyDescent="0.25">
      <c r="A557" s="14" t="str">
        <f>"10001"</f>
        <v>10001</v>
      </c>
      <c r="B557" s="14" t="str">
        <f>"02050"</f>
        <v>02050</v>
      </c>
      <c r="C557" s="14" t="str">
        <f>"1400"</f>
        <v>1400</v>
      </c>
      <c r="D557" s="14" t="str">
        <f>"02050"</f>
        <v>02050</v>
      </c>
      <c r="E557" s="14" t="s">
        <v>20</v>
      </c>
      <c r="F557" s="14" t="s">
        <v>197</v>
      </c>
      <c r="G557" s="14" t="str">
        <f>""</f>
        <v/>
      </c>
      <c r="H557" s="14" t="str">
        <f>" 10"</f>
        <v xml:space="preserve"> 10</v>
      </c>
      <c r="I557" s="14">
        <v>0.01</v>
      </c>
      <c r="J557" s="14">
        <v>500</v>
      </c>
      <c r="K557" s="14" t="s">
        <v>198</v>
      </c>
      <c r="L557" s="14" t="s">
        <v>199</v>
      </c>
      <c r="P557" s="14" t="s">
        <v>31</v>
      </c>
      <c r="Q557" s="14" t="s">
        <v>25</v>
      </c>
      <c r="R557" s="14" t="s">
        <v>32</v>
      </c>
    </row>
    <row r="558" spans="1:18" s="14" customFormat="1" x14ac:dyDescent="0.25">
      <c r="A558" s="14" t="str">
        <f>"10001"</f>
        <v>10001</v>
      </c>
      <c r="B558" s="14" t="str">
        <f>"02050"</f>
        <v>02050</v>
      </c>
      <c r="C558" s="14" t="str">
        <f>"1400"</f>
        <v>1400</v>
      </c>
      <c r="D558" s="14" t="str">
        <f>"02050"</f>
        <v>02050</v>
      </c>
      <c r="E558" s="14" t="s">
        <v>20</v>
      </c>
      <c r="F558" s="14" t="s">
        <v>197</v>
      </c>
      <c r="G558" s="14" t="str">
        <f>""</f>
        <v/>
      </c>
      <c r="H558" s="14" t="str">
        <f>" 20"</f>
        <v xml:space="preserve"> 20</v>
      </c>
      <c r="I558" s="14">
        <v>500.01</v>
      </c>
      <c r="J558" s="14">
        <v>9999999.9900000002</v>
      </c>
      <c r="K558" s="14" t="s">
        <v>198</v>
      </c>
      <c r="L558" s="14" t="s">
        <v>200</v>
      </c>
      <c r="P558" s="14" t="s">
        <v>31</v>
      </c>
      <c r="Q558" s="14" t="s">
        <v>25</v>
      </c>
      <c r="R558" s="14" t="s">
        <v>32</v>
      </c>
    </row>
    <row r="559" spans="1:18" s="14" customFormat="1" x14ac:dyDescent="0.25">
      <c r="A559" s="14" t="str">
        <f>"10001"</f>
        <v>10001</v>
      </c>
      <c r="B559" s="14" t="str">
        <f>"01380"</f>
        <v>01380</v>
      </c>
      <c r="C559" s="14" t="str">
        <f>"1100"</f>
        <v>1100</v>
      </c>
      <c r="D559" s="14" t="str">
        <f>"01380"</f>
        <v>01380</v>
      </c>
      <c r="E559" s="14" t="s">
        <v>20</v>
      </c>
      <c r="F559" s="14" t="s">
        <v>110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111</v>
      </c>
      <c r="L559" s="14" t="s">
        <v>112</v>
      </c>
      <c r="M559" s="14" t="s">
        <v>113</v>
      </c>
      <c r="N559" s="14" t="s">
        <v>114</v>
      </c>
      <c r="P559" s="14" t="s">
        <v>31</v>
      </c>
      <c r="Q559" s="14" t="s">
        <v>25</v>
      </c>
      <c r="R559" s="14" t="s">
        <v>115</v>
      </c>
    </row>
    <row r="560" spans="1:18" s="14" customFormat="1" x14ac:dyDescent="0.25">
      <c r="A560" s="14" t="str">
        <f>"19287"</f>
        <v>19287</v>
      </c>
      <c r="B560" s="14" t="str">
        <f>"01380"</f>
        <v>01380</v>
      </c>
      <c r="C560" s="14" t="str">
        <f>"1200"</f>
        <v>1200</v>
      </c>
      <c r="D560" s="14" t="str">
        <f>"19287"</f>
        <v>19287</v>
      </c>
      <c r="E560" s="14" t="s">
        <v>806</v>
      </c>
      <c r="F560" s="14" t="s">
        <v>110</v>
      </c>
      <c r="G560" s="14" t="str">
        <f>"GR0019287"</f>
        <v>GR0019287</v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111</v>
      </c>
      <c r="L560" s="14" t="s">
        <v>112</v>
      </c>
      <c r="M560" s="14" t="s">
        <v>113</v>
      </c>
      <c r="N560" s="14" t="s">
        <v>114</v>
      </c>
      <c r="O560" s="14" t="s">
        <v>807</v>
      </c>
      <c r="P560" s="14" t="s">
        <v>31</v>
      </c>
      <c r="Q560" s="14" t="s">
        <v>31</v>
      </c>
      <c r="R560" s="14" t="s">
        <v>115</v>
      </c>
    </row>
    <row r="561" spans="1:18" s="14" customFormat="1" x14ac:dyDescent="0.25">
      <c r="A561" s="14" t="str">
        <f>"84012"</f>
        <v>84012</v>
      </c>
      <c r="B561" s="14" t="str">
        <f>"07020"</f>
        <v>07020</v>
      </c>
      <c r="C561" s="14" t="str">
        <f>"1700"</f>
        <v>1700</v>
      </c>
      <c r="D561" s="14" t="str">
        <f>"84012"</f>
        <v>84012</v>
      </c>
      <c r="E561" s="14" t="s">
        <v>1543</v>
      </c>
      <c r="F561" s="14" t="s">
        <v>1532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1544</v>
      </c>
      <c r="P561" s="14" t="s">
        <v>31</v>
      </c>
      <c r="Q561" s="14" t="s">
        <v>31</v>
      </c>
      <c r="R561" s="14" t="s">
        <v>1545</v>
      </c>
    </row>
    <row r="562" spans="1:18" s="14" customFormat="1" x14ac:dyDescent="0.25">
      <c r="A562" s="14" t="str">
        <f>"84065"</f>
        <v>84065</v>
      </c>
      <c r="B562" s="14" t="str">
        <f>"07020"</f>
        <v>07020</v>
      </c>
      <c r="C562" s="14" t="str">
        <f>"1700"</f>
        <v>1700</v>
      </c>
      <c r="D562" s="14" t="str">
        <f>"84065"</f>
        <v>84065</v>
      </c>
      <c r="E562" s="14" t="s">
        <v>1606</v>
      </c>
      <c r="F562" s="14" t="s">
        <v>1532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1544</v>
      </c>
      <c r="L562" s="14" t="s">
        <v>1607</v>
      </c>
      <c r="P562" s="14" t="s">
        <v>31</v>
      </c>
      <c r="Q562" s="14" t="s">
        <v>31</v>
      </c>
      <c r="R562" s="14" t="s">
        <v>1544</v>
      </c>
    </row>
    <row r="563" spans="1:18" s="14" customFormat="1" x14ac:dyDescent="0.25">
      <c r="A563" s="14" t="str">
        <f>"84252"</f>
        <v>84252</v>
      </c>
      <c r="B563" s="14" t="str">
        <f>"07020"</f>
        <v>07020</v>
      </c>
      <c r="C563" s="14" t="str">
        <f>"1700"</f>
        <v>1700</v>
      </c>
      <c r="D563" s="14" t="str">
        <f>"84252"</f>
        <v>84252</v>
      </c>
      <c r="E563" s="14" t="s">
        <v>1770</v>
      </c>
      <c r="F563" s="14" t="s">
        <v>1532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1544</v>
      </c>
      <c r="L563" s="14" t="s">
        <v>392</v>
      </c>
      <c r="P563" s="14" t="s">
        <v>31</v>
      </c>
      <c r="Q563" s="14" t="s">
        <v>31</v>
      </c>
      <c r="R563" s="14" t="s">
        <v>1544</v>
      </c>
    </row>
    <row r="564" spans="1:18" s="14" customFormat="1" x14ac:dyDescent="0.25">
      <c r="A564" s="14" t="str">
        <f>"84131"</f>
        <v>84131</v>
      </c>
      <c r="B564" s="14" t="str">
        <f>"07020"</f>
        <v>07020</v>
      </c>
      <c r="C564" s="14" t="str">
        <f>"1700"</f>
        <v>1700</v>
      </c>
      <c r="D564" s="14" t="str">
        <f>"84131"</f>
        <v>84131</v>
      </c>
      <c r="E564" s="14" t="s">
        <v>1660</v>
      </c>
      <c r="F564" s="14" t="s">
        <v>1532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1661</v>
      </c>
      <c r="L564" s="14" t="s">
        <v>181</v>
      </c>
      <c r="M564" s="14" t="s">
        <v>37</v>
      </c>
      <c r="P564" s="14" t="s">
        <v>31</v>
      </c>
      <c r="Q564" s="14" t="s">
        <v>31</v>
      </c>
      <c r="R564" s="14" t="s">
        <v>1661</v>
      </c>
    </row>
    <row r="565" spans="1:18" s="14" customFormat="1" x14ac:dyDescent="0.25">
      <c r="A565" s="14" t="str">
        <f>"84081"</f>
        <v>84081</v>
      </c>
      <c r="B565" s="14" t="str">
        <f>"07020"</f>
        <v>07020</v>
      </c>
      <c r="C565" s="14" t="str">
        <f>"1700"</f>
        <v>1700</v>
      </c>
      <c r="D565" s="14" t="str">
        <f>"84081"</f>
        <v>84081</v>
      </c>
      <c r="E565" s="14" t="s">
        <v>1620</v>
      </c>
      <c r="F565" s="14" t="s">
        <v>1532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401</v>
      </c>
      <c r="L565" s="14" t="s">
        <v>392</v>
      </c>
      <c r="P565" s="14" t="s">
        <v>31</v>
      </c>
      <c r="Q565" s="14" t="s">
        <v>31</v>
      </c>
      <c r="R565" s="14" t="s">
        <v>401</v>
      </c>
    </row>
    <row r="566" spans="1:18" s="14" customFormat="1" x14ac:dyDescent="0.25">
      <c r="A566" s="14" t="str">
        <f>"10001"</f>
        <v>10001</v>
      </c>
      <c r="B566" s="14" t="str">
        <f>"01260"</f>
        <v>01260</v>
      </c>
      <c r="C566" s="14" t="str">
        <f>"1100"</f>
        <v>1100</v>
      </c>
      <c r="D566" s="14" t="str">
        <f>"01260"</f>
        <v>01260</v>
      </c>
      <c r="E566" s="14" t="s">
        <v>20</v>
      </c>
      <c r="F566" s="14" t="s">
        <v>87</v>
      </c>
      <c r="G566" s="14" t="str">
        <f>""</f>
        <v/>
      </c>
      <c r="H566" s="14" t="str">
        <f>" 10"</f>
        <v xml:space="preserve"> 10</v>
      </c>
      <c r="I566" s="14">
        <v>0.01</v>
      </c>
      <c r="J566" s="14">
        <v>500</v>
      </c>
      <c r="K566" s="14" t="s">
        <v>88</v>
      </c>
      <c r="P566" s="14" t="s">
        <v>31</v>
      </c>
      <c r="Q566" s="14" t="s">
        <v>25</v>
      </c>
      <c r="R566" s="14" t="s">
        <v>89</v>
      </c>
    </row>
    <row r="567" spans="1:18" s="14" customFormat="1" x14ac:dyDescent="0.25">
      <c r="A567" s="14" t="str">
        <f>"10001"</f>
        <v>10001</v>
      </c>
      <c r="B567" s="14" t="str">
        <f>"01270"</f>
        <v>01270</v>
      </c>
      <c r="C567" s="14" t="str">
        <f>"1100"</f>
        <v>1100</v>
      </c>
      <c r="D567" s="14" t="str">
        <f>"01270"</f>
        <v>01270</v>
      </c>
      <c r="E567" s="14" t="s">
        <v>20</v>
      </c>
      <c r="F567" s="14" t="s">
        <v>91</v>
      </c>
      <c r="G567" s="14" t="str">
        <f>""</f>
        <v/>
      </c>
      <c r="H567" s="14" t="str">
        <f>" 10"</f>
        <v xml:space="preserve"> 10</v>
      </c>
      <c r="I567" s="14">
        <v>0.01</v>
      </c>
      <c r="J567" s="14">
        <v>500</v>
      </c>
      <c r="K567" s="14" t="s">
        <v>88</v>
      </c>
      <c r="P567" s="14" t="s">
        <v>31</v>
      </c>
      <c r="Q567" s="14" t="s">
        <v>25</v>
      </c>
      <c r="R567" s="14" t="s">
        <v>89</v>
      </c>
    </row>
    <row r="568" spans="1:18" s="14" customFormat="1" x14ac:dyDescent="0.25">
      <c r="A568" s="14" t="str">
        <f>"10001"</f>
        <v>10001</v>
      </c>
      <c r="B568" s="14" t="str">
        <f>"05010"</f>
        <v>05010</v>
      </c>
      <c r="C568" s="14" t="str">
        <f>"1700"</f>
        <v>1700</v>
      </c>
      <c r="D568" s="14" t="str">
        <f>"05010"</f>
        <v>05010</v>
      </c>
      <c r="E568" s="14" t="s">
        <v>20</v>
      </c>
      <c r="F568" s="14" t="s">
        <v>371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372</v>
      </c>
      <c r="L568" s="14" t="s">
        <v>373</v>
      </c>
      <c r="P568" s="14" t="s">
        <v>31</v>
      </c>
      <c r="Q568" s="14" t="s">
        <v>25</v>
      </c>
      <c r="R568" s="14" t="s">
        <v>372</v>
      </c>
    </row>
    <row r="569" spans="1:18" s="14" customFormat="1" x14ac:dyDescent="0.25">
      <c r="A569" s="14" t="str">
        <f>"18517"</f>
        <v>18517</v>
      </c>
      <c r="B569" s="14" t="str">
        <f>"05010"</f>
        <v>05010</v>
      </c>
      <c r="C569" s="14" t="str">
        <f>"1700"</f>
        <v>1700</v>
      </c>
      <c r="D569" s="14" t="str">
        <f>""</f>
        <v/>
      </c>
      <c r="E569" s="14" t="s">
        <v>714</v>
      </c>
      <c r="F569" s="14" t="s">
        <v>371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372</v>
      </c>
      <c r="L569" s="14" t="s">
        <v>373</v>
      </c>
      <c r="P569" s="14" t="s">
        <v>701</v>
      </c>
      <c r="Q569" s="14" t="s">
        <v>25</v>
      </c>
      <c r="R569" s="14" t="s">
        <v>372</v>
      </c>
    </row>
    <row r="570" spans="1:18" s="14" customFormat="1" x14ac:dyDescent="0.25">
      <c r="A570" s="14" t="str">
        <f>"84156"</f>
        <v>84156</v>
      </c>
      <c r="B570" s="14" t="str">
        <f>"07020"</f>
        <v>07020</v>
      </c>
      <c r="C570" s="14" t="str">
        <f>"1700"</f>
        <v>1700</v>
      </c>
      <c r="D570" s="14" t="str">
        <f>"84156"</f>
        <v>84156</v>
      </c>
      <c r="E570" s="14" t="s">
        <v>1674</v>
      </c>
      <c r="F570" s="14" t="s">
        <v>1532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661</v>
      </c>
      <c r="L570" s="14" t="s">
        <v>147</v>
      </c>
      <c r="P570" s="14" t="s">
        <v>31</v>
      </c>
      <c r="Q570" s="14" t="s">
        <v>31</v>
      </c>
      <c r="R570" s="14" t="s">
        <v>661</v>
      </c>
    </row>
    <row r="571" spans="1:18" s="14" customFormat="1" x14ac:dyDescent="0.25">
      <c r="A571" s="14" t="str">
        <f>"16002"</f>
        <v>16002</v>
      </c>
      <c r="B571" s="14" t="str">
        <f>"05110"</f>
        <v>05110</v>
      </c>
      <c r="C571" s="14" t="str">
        <f>"1700"</f>
        <v>1700</v>
      </c>
      <c r="D571" s="14" t="str">
        <f>"16002"</f>
        <v>16002</v>
      </c>
      <c r="E571" s="14" t="s">
        <v>521</v>
      </c>
      <c r="F571" s="14" t="s">
        <v>391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392</v>
      </c>
      <c r="L571" s="14" t="s">
        <v>522</v>
      </c>
      <c r="P571" s="14" t="s">
        <v>31</v>
      </c>
      <c r="Q571" s="14" t="s">
        <v>25</v>
      </c>
      <c r="R571" s="14" t="s">
        <v>392</v>
      </c>
    </row>
    <row r="572" spans="1:18" s="14" customFormat="1" x14ac:dyDescent="0.25">
      <c r="A572" s="14" t="str">
        <f>"16006"</f>
        <v>16006</v>
      </c>
      <c r="B572" s="14" t="str">
        <f>"05110"</f>
        <v>05110</v>
      </c>
      <c r="C572" s="14" t="str">
        <f>"1700"</f>
        <v>1700</v>
      </c>
      <c r="D572" s="14" t="str">
        <f>"16006"</f>
        <v>16006</v>
      </c>
      <c r="E572" s="14" t="s">
        <v>525</v>
      </c>
      <c r="F572" s="14" t="s">
        <v>391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392</v>
      </c>
      <c r="L572" s="14" t="s">
        <v>526</v>
      </c>
      <c r="M572" s="14" t="s">
        <v>522</v>
      </c>
      <c r="P572" s="14" t="s">
        <v>31</v>
      </c>
      <c r="Q572" s="14" t="s">
        <v>25</v>
      </c>
      <c r="R572" s="14" t="s">
        <v>392</v>
      </c>
    </row>
    <row r="573" spans="1:18" s="14" customFormat="1" x14ac:dyDescent="0.25">
      <c r="A573" s="14" t="str">
        <f>"16009"</f>
        <v>16009</v>
      </c>
      <c r="B573" s="14" t="str">
        <f>"05110"</f>
        <v>05110</v>
      </c>
      <c r="C573" s="14" t="str">
        <f>"1700"</f>
        <v>1700</v>
      </c>
      <c r="D573" s="14" t="str">
        <f>"16009"</f>
        <v>16009</v>
      </c>
      <c r="E573" s="14" t="s">
        <v>528</v>
      </c>
      <c r="F573" s="14" t="s">
        <v>391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392</v>
      </c>
      <c r="L573" s="14" t="s">
        <v>526</v>
      </c>
      <c r="M573" s="14" t="s">
        <v>522</v>
      </c>
      <c r="P573" s="14" t="s">
        <v>31</v>
      </c>
      <c r="Q573" s="14" t="s">
        <v>25</v>
      </c>
      <c r="R573" s="14" t="s">
        <v>392</v>
      </c>
    </row>
    <row r="574" spans="1:18" s="14" customFormat="1" x14ac:dyDescent="0.25">
      <c r="A574" s="14" t="str">
        <f>"16011"</f>
        <v>16011</v>
      </c>
      <c r="B574" s="14" t="str">
        <f>"05110"</f>
        <v>05110</v>
      </c>
      <c r="C574" s="14" t="str">
        <f>"1700"</f>
        <v>1700</v>
      </c>
      <c r="D574" s="14" t="str">
        <f>"16011"</f>
        <v>16011</v>
      </c>
      <c r="E574" s="14" t="s">
        <v>530</v>
      </c>
      <c r="F574" s="14" t="s">
        <v>391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392</v>
      </c>
      <c r="L574" s="14" t="s">
        <v>522</v>
      </c>
      <c r="P574" s="14" t="s">
        <v>31</v>
      </c>
      <c r="Q574" s="14" t="s">
        <v>25</v>
      </c>
      <c r="R574" s="14" t="s">
        <v>392</v>
      </c>
    </row>
    <row r="575" spans="1:18" s="14" customFormat="1" x14ac:dyDescent="0.25">
      <c r="A575" s="14" t="str">
        <f>"16058"</f>
        <v>16058</v>
      </c>
      <c r="B575" s="14" t="str">
        <f>"05110"</f>
        <v>05110</v>
      </c>
      <c r="C575" s="14" t="str">
        <f>"1700"</f>
        <v>1700</v>
      </c>
      <c r="D575" s="14" t="str">
        <f>"16058"</f>
        <v>16058</v>
      </c>
      <c r="E575" s="14" t="s">
        <v>572</v>
      </c>
      <c r="F575" s="14" t="s">
        <v>391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392</v>
      </c>
      <c r="L575" s="14" t="s">
        <v>522</v>
      </c>
      <c r="P575" s="14" t="s">
        <v>31</v>
      </c>
      <c r="Q575" s="14" t="s">
        <v>25</v>
      </c>
      <c r="R575" s="14" t="s">
        <v>392</v>
      </c>
    </row>
    <row r="576" spans="1:18" s="14" customFormat="1" x14ac:dyDescent="0.25">
      <c r="A576" s="14" t="str">
        <f>"84002"</f>
        <v>84002</v>
      </c>
      <c r="B576" s="14" t="str">
        <f>"07020"</f>
        <v>07020</v>
      </c>
      <c r="C576" s="14" t="str">
        <f>"1700"</f>
        <v>1700</v>
      </c>
      <c r="D576" s="14" t="str">
        <f>"84002"</f>
        <v>84002</v>
      </c>
      <c r="E576" s="14" t="s">
        <v>1531</v>
      </c>
      <c r="F576" s="14" t="s">
        <v>1532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392</v>
      </c>
      <c r="L576" s="14" t="s">
        <v>526</v>
      </c>
      <c r="P576" s="14" t="s">
        <v>31</v>
      </c>
      <c r="Q576" s="14" t="s">
        <v>31</v>
      </c>
      <c r="R576" s="14" t="s">
        <v>392</v>
      </c>
    </row>
    <row r="577" spans="1:18" s="14" customFormat="1" x14ac:dyDescent="0.25">
      <c r="A577" s="14" t="str">
        <f>"84006"</f>
        <v>84006</v>
      </c>
      <c r="B577" s="14" t="str">
        <f>"07020"</f>
        <v>07020</v>
      </c>
      <c r="C577" s="14" t="str">
        <f>"1700"</f>
        <v>1700</v>
      </c>
      <c r="D577" s="14" t="str">
        <f>"84006"</f>
        <v>84006</v>
      </c>
      <c r="E577" s="14" t="s">
        <v>1537</v>
      </c>
      <c r="F577" s="14" t="s">
        <v>1532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392</v>
      </c>
      <c r="L577" s="14" t="s">
        <v>526</v>
      </c>
      <c r="P577" s="14" t="s">
        <v>31</v>
      </c>
      <c r="Q577" s="14" t="s">
        <v>31</v>
      </c>
      <c r="R577" s="14" t="s">
        <v>392</v>
      </c>
    </row>
    <row r="578" spans="1:18" s="14" customFormat="1" x14ac:dyDescent="0.25">
      <c r="A578" s="14" t="str">
        <f>"84024"</f>
        <v>84024</v>
      </c>
      <c r="B578" s="14" t="str">
        <f>"07020"</f>
        <v>07020</v>
      </c>
      <c r="C578" s="14" t="str">
        <f>"1700"</f>
        <v>1700</v>
      </c>
      <c r="D578" s="14" t="str">
        <f>"84024"</f>
        <v>84024</v>
      </c>
      <c r="E578" s="14" t="s">
        <v>1563</v>
      </c>
      <c r="F578" s="14" t="s">
        <v>1532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392</v>
      </c>
      <c r="L578" s="14" t="s">
        <v>526</v>
      </c>
      <c r="P578" s="14" t="s">
        <v>31</v>
      </c>
      <c r="Q578" s="14" t="s">
        <v>31</v>
      </c>
      <c r="R578" s="14" t="s">
        <v>392</v>
      </c>
    </row>
    <row r="579" spans="1:18" s="14" customFormat="1" x14ac:dyDescent="0.25">
      <c r="A579" s="14" t="str">
        <f>"84030"</f>
        <v>84030</v>
      </c>
      <c r="B579" s="14" t="str">
        <f>"07020"</f>
        <v>07020</v>
      </c>
      <c r="C579" s="14" t="str">
        <f>"1700"</f>
        <v>1700</v>
      </c>
      <c r="D579" s="14" t="str">
        <f>"84030"</f>
        <v>84030</v>
      </c>
      <c r="E579" s="14" t="s">
        <v>1571</v>
      </c>
      <c r="F579" s="14" t="s">
        <v>1532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392</v>
      </c>
      <c r="L579" s="14" t="s">
        <v>526</v>
      </c>
      <c r="P579" s="14" t="s">
        <v>31</v>
      </c>
      <c r="Q579" s="14" t="s">
        <v>31</v>
      </c>
      <c r="R579" s="14" t="s">
        <v>392</v>
      </c>
    </row>
    <row r="580" spans="1:18" s="14" customFormat="1" x14ac:dyDescent="0.25">
      <c r="A580" s="14" t="str">
        <f>"84031"</f>
        <v>84031</v>
      </c>
      <c r="B580" s="14" t="str">
        <f>"07020"</f>
        <v>07020</v>
      </c>
      <c r="C580" s="14" t="str">
        <f>"1700"</f>
        <v>1700</v>
      </c>
      <c r="D580" s="14" t="str">
        <f>"84031"</f>
        <v>84031</v>
      </c>
      <c r="E580" s="14" t="s">
        <v>1572</v>
      </c>
      <c r="F580" s="14" t="s">
        <v>1532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392</v>
      </c>
      <c r="L580" s="14" t="s">
        <v>526</v>
      </c>
      <c r="P580" s="14" t="s">
        <v>31</v>
      </c>
      <c r="Q580" s="14" t="s">
        <v>31</v>
      </c>
      <c r="R580" s="14" t="s">
        <v>392</v>
      </c>
    </row>
    <row r="581" spans="1:18" s="14" customFormat="1" x14ac:dyDescent="0.25">
      <c r="A581" s="14" t="str">
        <f>"84037"</f>
        <v>84037</v>
      </c>
      <c r="B581" s="14" t="str">
        <f>"07020"</f>
        <v>07020</v>
      </c>
      <c r="C581" s="14" t="str">
        <f>"1700"</f>
        <v>1700</v>
      </c>
      <c r="D581" s="14" t="str">
        <f>"84037"</f>
        <v>84037</v>
      </c>
      <c r="E581" s="14" t="s">
        <v>1580</v>
      </c>
      <c r="F581" s="14" t="s">
        <v>1532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392</v>
      </c>
      <c r="L581" s="14" t="s">
        <v>526</v>
      </c>
      <c r="P581" s="14" t="s">
        <v>31</v>
      </c>
      <c r="Q581" s="14" t="s">
        <v>31</v>
      </c>
      <c r="R581" s="14" t="s">
        <v>392</v>
      </c>
    </row>
    <row r="582" spans="1:18" s="14" customFormat="1" x14ac:dyDescent="0.25">
      <c r="A582" s="14" t="str">
        <f>"84050"</f>
        <v>84050</v>
      </c>
      <c r="B582" s="14" t="str">
        <f>"07020"</f>
        <v>07020</v>
      </c>
      <c r="C582" s="14" t="str">
        <f>"1700"</f>
        <v>1700</v>
      </c>
      <c r="D582" s="14" t="str">
        <f>"84050"</f>
        <v>84050</v>
      </c>
      <c r="E582" s="14" t="s">
        <v>1590</v>
      </c>
      <c r="F582" s="14" t="s">
        <v>1532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392</v>
      </c>
      <c r="L582" s="14" t="s">
        <v>526</v>
      </c>
      <c r="P582" s="14" t="s">
        <v>31</v>
      </c>
      <c r="Q582" s="14" t="s">
        <v>31</v>
      </c>
      <c r="R582" s="14" t="s">
        <v>392</v>
      </c>
    </row>
    <row r="583" spans="1:18" s="14" customFormat="1" x14ac:dyDescent="0.25">
      <c r="A583" s="14" t="str">
        <f>"84051"</f>
        <v>84051</v>
      </c>
      <c r="B583" s="14" t="str">
        <f>"07020"</f>
        <v>07020</v>
      </c>
      <c r="C583" s="14" t="str">
        <f>"1700"</f>
        <v>1700</v>
      </c>
      <c r="D583" s="14" t="str">
        <f>"84051"</f>
        <v>84051</v>
      </c>
      <c r="E583" s="14" t="s">
        <v>1591</v>
      </c>
      <c r="F583" s="14" t="s">
        <v>1532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392</v>
      </c>
      <c r="L583" s="14" t="s">
        <v>526</v>
      </c>
      <c r="P583" s="14" t="s">
        <v>31</v>
      </c>
      <c r="Q583" s="14" t="s">
        <v>31</v>
      </c>
      <c r="R583" s="14" t="s">
        <v>392</v>
      </c>
    </row>
    <row r="584" spans="1:18" s="14" customFormat="1" x14ac:dyDescent="0.25">
      <c r="A584" s="14" t="str">
        <f>"84055"</f>
        <v>84055</v>
      </c>
      <c r="B584" s="14" t="str">
        <f>"07020"</f>
        <v>07020</v>
      </c>
      <c r="C584" s="14" t="str">
        <f>"1700"</f>
        <v>1700</v>
      </c>
      <c r="D584" s="14" t="str">
        <f>"84055"</f>
        <v>84055</v>
      </c>
      <c r="E584" s="14" t="s">
        <v>1594</v>
      </c>
      <c r="F584" s="14" t="s">
        <v>1532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392</v>
      </c>
      <c r="P584" s="14" t="s">
        <v>31</v>
      </c>
      <c r="Q584" s="14" t="s">
        <v>31</v>
      </c>
      <c r="R584" s="14" t="s">
        <v>392</v>
      </c>
    </row>
    <row r="585" spans="1:18" s="14" customFormat="1" x14ac:dyDescent="0.25">
      <c r="A585" s="14" t="str">
        <f>"84063"</f>
        <v>84063</v>
      </c>
      <c r="B585" s="14" t="str">
        <f>"07020"</f>
        <v>07020</v>
      </c>
      <c r="C585" s="14" t="str">
        <f>"1700"</f>
        <v>1700</v>
      </c>
      <c r="D585" s="14" t="str">
        <f>"84063"</f>
        <v>84063</v>
      </c>
      <c r="E585" s="14" t="s">
        <v>1604</v>
      </c>
      <c r="F585" s="14" t="s">
        <v>1532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392</v>
      </c>
      <c r="L585" s="14" t="s">
        <v>526</v>
      </c>
      <c r="P585" s="14" t="s">
        <v>31</v>
      </c>
      <c r="Q585" s="14" t="s">
        <v>31</v>
      </c>
      <c r="R585" s="14" t="s">
        <v>392</v>
      </c>
    </row>
    <row r="586" spans="1:18" s="14" customFormat="1" x14ac:dyDescent="0.25">
      <c r="A586" s="14" t="str">
        <f>"84074"</f>
        <v>84074</v>
      </c>
      <c r="B586" s="14" t="str">
        <f>"07020"</f>
        <v>07020</v>
      </c>
      <c r="C586" s="14" t="str">
        <f>"1700"</f>
        <v>1700</v>
      </c>
      <c r="D586" s="14" t="str">
        <f>"84074"</f>
        <v>84074</v>
      </c>
      <c r="E586" s="14" t="s">
        <v>1615</v>
      </c>
      <c r="F586" s="14" t="s">
        <v>1532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392</v>
      </c>
      <c r="L586" s="14" t="s">
        <v>526</v>
      </c>
      <c r="P586" s="14" t="s">
        <v>31</v>
      </c>
      <c r="Q586" s="14" t="s">
        <v>31</v>
      </c>
      <c r="R586" s="14" t="s">
        <v>392</v>
      </c>
    </row>
    <row r="587" spans="1:18" s="14" customFormat="1" x14ac:dyDescent="0.25">
      <c r="A587" s="14" t="str">
        <f>"84114"</f>
        <v>84114</v>
      </c>
      <c r="B587" s="14" t="str">
        <f>"07020"</f>
        <v>07020</v>
      </c>
      <c r="C587" s="14" t="str">
        <f>"1700"</f>
        <v>1700</v>
      </c>
      <c r="D587" s="14" t="str">
        <f>"84114"</f>
        <v>84114</v>
      </c>
      <c r="E587" s="14" t="s">
        <v>1653</v>
      </c>
      <c r="F587" s="14" t="s">
        <v>1532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392</v>
      </c>
      <c r="L587" s="14" t="s">
        <v>526</v>
      </c>
      <c r="P587" s="14" t="s">
        <v>31</v>
      </c>
      <c r="Q587" s="14" t="s">
        <v>31</v>
      </c>
      <c r="R587" s="14" t="s">
        <v>392</v>
      </c>
    </row>
    <row r="588" spans="1:18" s="14" customFormat="1" x14ac:dyDescent="0.25">
      <c r="A588" s="14" t="str">
        <f>"84142"</f>
        <v>84142</v>
      </c>
      <c r="B588" s="14" t="str">
        <f>"07020"</f>
        <v>07020</v>
      </c>
      <c r="C588" s="14" t="str">
        <f>"1700"</f>
        <v>1700</v>
      </c>
      <c r="D588" s="14" t="str">
        <f>"84142"</f>
        <v>84142</v>
      </c>
      <c r="E588" s="14" t="s">
        <v>1669</v>
      </c>
      <c r="F588" s="14" t="s">
        <v>1532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392</v>
      </c>
      <c r="L588" s="14" t="s">
        <v>526</v>
      </c>
      <c r="P588" s="14" t="s">
        <v>31</v>
      </c>
      <c r="Q588" s="14" t="s">
        <v>31</v>
      </c>
      <c r="R588" s="14" t="s">
        <v>392</v>
      </c>
    </row>
    <row r="589" spans="1:18" s="14" customFormat="1" x14ac:dyDescent="0.25">
      <c r="A589" s="14" t="str">
        <f>"84157"</f>
        <v>84157</v>
      </c>
      <c r="B589" s="14" t="str">
        <f>"07020"</f>
        <v>07020</v>
      </c>
      <c r="C589" s="14" t="str">
        <f>"1700"</f>
        <v>1700</v>
      </c>
      <c r="D589" s="14" t="str">
        <f>"84157"</f>
        <v>84157</v>
      </c>
      <c r="E589" s="14" t="s">
        <v>1675</v>
      </c>
      <c r="F589" s="14" t="s">
        <v>1532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392</v>
      </c>
      <c r="L589" s="14" t="s">
        <v>526</v>
      </c>
      <c r="P589" s="14" t="s">
        <v>31</v>
      </c>
      <c r="Q589" s="14" t="s">
        <v>31</v>
      </c>
      <c r="R589" s="14" t="s">
        <v>392</v>
      </c>
    </row>
    <row r="590" spans="1:18" s="14" customFormat="1" x14ac:dyDescent="0.25">
      <c r="A590" s="14" t="str">
        <f>"84181"</f>
        <v>84181</v>
      </c>
      <c r="B590" s="14" t="str">
        <f>"07020"</f>
        <v>07020</v>
      </c>
      <c r="C590" s="14" t="str">
        <f>"1700"</f>
        <v>1700</v>
      </c>
      <c r="D590" s="14" t="str">
        <f>"84181"</f>
        <v>84181</v>
      </c>
      <c r="E590" s="14" t="s">
        <v>1691</v>
      </c>
      <c r="F590" s="14" t="s">
        <v>1532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392</v>
      </c>
      <c r="L590" s="14" t="s">
        <v>71</v>
      </c>
      <c r="P590" s="14" t="s">
        <v>31</v>
      </c>
      <c r="Q590" s="14" t="s">
        <v>31</v>
      </c>
      <c r="R590" s="14" t="s">
        <v>72</v>
      </c>
    </row>
    <row r="591" spans="1:18" s="14" customFormat="1" x14ac:dyDescent="0.25">
      <c r="A591" s="14" t="str">
        <f>"84198"</f>
        <v>84198</v>
      </c>
      <c r="B591" s="14" t="str">
        <f>"07020"</f>
        <v>07020</v>
      </c>
      <c r="C591" s="14" t="str">
        <f>"1700"</f>
        <v>1700</v>
      </c>
      <c r="D591" s="14" t="str">
        <f>"84198"</f>
        <v>84198</v>
      </c>
      <c r="E591" s="14" t="s">
        <v>1703</v>
      </c>
      <c r="F591" s="14" t="s">
        <v>1532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392</v>
      </c>
      <c r="P591" s="14" t="s">
        <v>31</v>
      </c>
      <c r="Q591" s="14" t="s">
        <v>31</v>
      </c>
      <c r="R591" s="14" t="s">
        <v>392</v>
      </c>
    </row>
    <row r="592" spans="1:18" s="14" customFormat="1" x14ac:dyDescent="0.25">
      <c r="A592" s="14" t="str">
        <f>"84211"</f>
        <v>84211</v>
      </c>
      <c r="B592" s="14" t="str">
        <f>"07020"</f>
        <v>07020</v>
      </c>
      <c r="C592" s="14" t="str">
        <f>"1700"</f>
        <v>1700</v>
      </c>
      <c r="D592" s="14" t="str">
        <f>"84211"</f>
        <v>84211</v>
      </c>
      <c r="E592" s="14" t="s">
        <v>1717</v>
      </c>
      <c r="F592" s="14" t="s">
        <v>1532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392</v>
      </c>
      <c r="P592" s="14" t="s">
        <v>31</v>
      </c>
      <c r="Q592" s="14" t="s">
        <v>31</v>
      </c>
      <c r="R592" s="14" t="s">
        <v>392</v>
      </c>
    </row>
    <row r="593" spans="1:18" s="14" customFormat="1" x14ac:dyDescent="0.25">
      <c r="A593" s="14" t="str">
        <f>"84215"</f>
        <v>84215</v>
      </c>
      <c r="B593" s="14" t="str">
        <f>"07020"</f>
        <v>07020</v>
      </c>
      <c r="C593" s="14" t="str">
        <f>"1700"</f>
        <v>1700</v>
      </c>
      <c r="D593" s="14" t="str">
        <f>"84215"</f>
        <v>84215</v>
      </c>
      <c r="E593" s="14" t="s">
        <v>1723</v>
      </c>
      <c r="F593" s="14" t="s">
        <v>1532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392</v>
      </c>
      <c r="L593" s="14" t="s">
        <v>47</v>
      </c>
      <c r="P593" s="14" t="s">
        <v>31</v>
      </c>
      <c r="Q593" s="14" t="s">
        <v>31</v>
      </c>
      <c r="R593" s="14" t="s">
        <v>392</v>
      </c>
    </row>
    <row r="594" spans="1:18" s="14" customFormat="1" x14ac:dyDescent="0.25">
      <c r="A594" s="14" t="str">
        <f>"84237"</f>
        <v>84237</v>
      </c>
      <c r="B594" s="14" t="str">
        <f>"07020"</f>
        <v>07020</v>
      </c>
      <c r="C594" s="14" t="str">
        <f>"1700"</f>
        <v>1700</v>
      </c>
      <c r="D594" s="14" t="str">
        <f>"84237"</f>
        <v>84237</v>
      </c>
      <c r="E594" s="14" t="s">
        <v>1752</v>
      </c>
      <c r="F594" s="14" t="s">
        <v>1532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392</v>
      </c>
      <c r="L594" s="14" t="s">
        <v>1753</v>
      </c>
      <c r="M594" s="14" t="s">
        <v>72</v>
      </c>
      <c r="P594" s="14" t="s">
        <v>31</v>
      </c>
      <c r="Q594" s="14" t="s">
        <v>31</v>
      </c>
      <c r="R594" s="14" t="s">
        <v>392</v>
      </c>
    </row>
    <row r="595" spans="1:18" s="14" customFormat="1" x14ac:dyDescent="0.25">
      <c r="A595" s="14" t="str">
        <f>"10001"</f>
        <v>10001</v>
      </c>
      <c r="B595" s="14" t="str">
        <f>"04015"</f>
        <v>04015</v>
      </c>
      <c r="C595" s="14" t="str">
        <f>"1400"</f>
        <v>1400</v>
      </c>
      <c r="D595" s="14" t="str">
        <f>"04015"</f>
        <v>04015</v>
      </c>
      <c r="E595" s="14" t="s">
        <v>20</v>
      </c>
      <c r="F595" s="14" t="s">
        <v>362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363</v>
      </c>
      <c r="L595" s="14" t="s">
        <v>360</v>
      </c>
      <c r="P595" s="14" t="s">
        <v>31</v>
      </c>
      <c r="Q595" s="14" t="s">
        <v>25</v>
      </c>
      <c r="R595" s="14" t="s">
        <v>35</v>
      </c>
    </row>
    <row r="596" spans="1:18" s="14" customFormat="1" x14ac:dyDescent="0.25">
      <c r="A596" s="14" t="str">
        <f>"10001"</f>
        <v>10001</v>
      </c>
      <c r="B596" s="14" t="str">
        <f>"01160"</f>
        <v>01160</v>
      </c>
      <c r="C596" s="14" t="str">
        <f>"1600"</f>
        <v>1600</v>
      </c>
      <c r="D596" s="14" t="str">
        <f>"01160"</f>
        <v>01160</v>
      </c>
      <c r="E596" s="14" t="s">
        <v>20</v>
      </c>
      <c r="F596" s="14" t="s">
        <v>63</v>
      </c>
      <c r="G596" s="14" t="str">
        <f>""</f>
        <v/>
      </c>
      <c r="H596" s="14" t="str">
        <f>" 10"</f>
        <v xml:space="preserve"> 10</v>
      </c>
      <c r="I596" s="14">
        <v>0.01</v>
      </c>
      <c r="J596" s="14">
        <v>500</v>
      </c>
      <c r="K596" s="14" t="s">
        <v>64</v>
      </c>
      <c r="P596" s="14" t="s">
        <v>31</v>
      </c>
      <c r="Q596" s="14" t="s">
        <v>25</v>
      </c>
      <c r="R596" s="14" t="s">
        <v>55</v>
      </c>
    </row>
    <row r="597" spans="1:18" s="14" customFormat="1" x14ac:dyDescent="0.25">
      <c r="A597" s="14" t="str">
        <f>"17292"</f>
        <v>17292</v>
      </c>
      <c r="B597" s="14" t="str">
        <f>"01160"</f>
        <v>01160</v>
      </c>
      <c r="C597" s="14" t="str">
        <f>"1600"</f>
        <v>1600</v>
      </c>
      <c r="D597" s="14" t="str">
        <f>"17292"</f>
        <v>17292</v>
      </c>
      <c r="E597" s="14" t="s">
        <v>583</v>
      </c>
      <c r="F597" s="14" t="s">
        <v>63</v>
      </c>
      <c r="G597" s="14" t="str">
        <f>"GR0017292"</f>
        <v>GR0017292</v>
      </c>
      <c r="H597" s="14" t="str">
        <f>" 10"</f>
        <v xml:space="preserve"> 10</v>
      </c>
      <c r="I597" s="14">
        <v>0.01</v>
      </c>
      <c r="J597" s="14">
        <v>500</v>
      </c>
      <c r="K597" s="14" t="s">
        <v>64</v>
      </c>
      <c r="P597" s="14" t="s">
        <v>31</v>
      </c>
      <c r="Q597" s="14" t="s">
        <v>31</v>
      </c>
      <c r="R597" s="14" t="s">
        <v>55</v>
      </c>
    </row>
    <row r="598" spans="1:18" s="14" customFormat="1" x14ac:dyDescent="0.25">
      <c r="A598" s="14" t="str">
        <f>"18005"</f>
        <v>18005</v>
      </c>
      <c r="B598" s="14" t="str">
        <f>"01160"</f>
        <v>01160</v>
      </c>
      <c r="C598" s="14" t="str">
        <f>"1600"</f>
        <v>1600</v>
      </c>
      <c r="D598" s="14" t="str">
        <f>"18005"</f>
        <v>18005</v>
      </c>
      <c r="E598" s="14" t="s">
        <v>588</v>
      </c>
      <c r="F598" s="14" t="s">
        <v>63</v>
      </c>
      <c r="G598" s="14" t="str">
        <f>""</f>
        <v/>
      </c>
      <c r="H598" s="14" t="str">
        <f>" 10"</f>
        <v xml:space="preserve"> 10</v>
      </c>
      <c r="I598" s="14">
        <v>0.01</v>
      </c>
      <c r="J598" s="14">
        <v>500</v>
      </c>
      <c r="K598" s="14" t="s">
        <v>64</v>
      </c>
      <c r="P598" s="14" t="s">
        <v>31</v>
      </c>
      <c r="Q598" s="14" t="s">
        <v>25</v>
      </c>
      <c r="R598" s="14" t="s">
        <v>55</v>
      </c>
    </row>
    <row r="599" spans="1:18" s="14" customFormat="1" x14ac:dyDescent="0.25">
      <c r="A599" s="14" t="str">
        <f>"18064"</f>
        <v>18064</v>
      </c>
      <c r="B599" s="14" t="str">
        <f>"01160"</f>
        <v>01160</v>
      </c>
      <c r="C599" s="14" t="str">
        <f>"1100"</f>
        <v>1100</v>
      </c>
      <c r="D599" s="14" t="str">
        <f>"18064"</f>
        <v>18064</v>
      </c>
      <c r="E599" s="14" t="s">
        <v>652</v>
      </c>
      <c r="F599" s="14" t="s">
        <v>63</v>
      </c>
      <c r="G599" s="14" t="str">
        <f>""</f>
        <v/>
      </c>
      <c r="H599" s="14" t="str">
        <f>" 10"</f>
        <v xml:space="preserve"> 10</v>
      </c>
      <c r="I599" s="14">
        <v>0.01</v>
      </c>
      <c r="J599" s="14">
        <v>500</v>
      </c>
      <c r="K599" s="14" t="s">
        <v>64</v>
      </c>
      <c r="P599" s="14" t="s">
        <v>31</v>
      </c>
      <c r="Q599" s="14" t="s">
        <v>25</v>
      </c>
      <c r="R599" s="14" t="s">
        <v>55</v>
      </c>
    </row>
    <row r="600" spans="1:18" s="14" customFormat="1" x14ac:dyDescent="0.25">
      <c r="A600" s="14" t="str">
        <f>"10001"</f>
        <v>10001</v>
      </c>
      <c r="B600" s="14" t="str">
        <f>"06000"</f>
        <v>06000</v>
      </c>
      <c r="C600" s="14" t="str">
        <f>"1700"</f>
        <v>1700</v>
      </c>
      <c r="D600" s="14" t="str">
        <f>"06000A"</f>
        <v>06000A</v>
      </c>
      <c r="E600" s="14" t="s">
        <v>20</v>
      </c>
      <c r="F600" s="14" t="s">
        <v>409</v>
      </c>
      <c r="G600" s="14" t="str">
        <f>""</f>
        <v/>
      </c>
      <c r="H600" s="14" t="str">
        <f>" 10"</f>
        <v xml:space="preserve"> 10</v>
      </c>
      <c r="I600" s="14">
        <v>0.01</v>
      </c>
      <c r="J600" s="14">
        <v>500</v>
      </c>
      <c r="K600" s="14" t="s">
        <v>410</v>
      </c>
      <c r="L600" s="14" t="s">
        <v>411</v>
      </c>
      <c r="M600" s="14" t="s">
        <v>412</v>
      </c>
      <c r="N600" s="14" t="s">
        <v>413</v>
      </c>
      <c r="P600" s="14" t="s">
        <v>39</v>
      </c>
      <c r="Q600" s="14" t="s">
        <v>25</v>
      </c>
      <c r="R600" s="14" t="s">
        <v>410</v>
      </c>
    </row>
    <row r="601" spans="1:18" s="14" customFormat="1" x14ac:dyDescent="0.25">
      <c r="A601" s="14" t="str">
        <f>"10001"</f>
        <v>10001</v>
      </c>
      <c r="B601" s="14" t="str">
        <f>"06005"</f>
        <v>06005</v>
      </c>
      <c r="C601" s="14" t="str">
        <f>"1700"</f>
        <v>1700</v>
      </c>
      <c r="D601" s="14" t="str">
        <f>"06005"</f>
        <v>06005</v>
      </c>
      <c r="E601" s="14" t="s">
        <v>20</v>
      </c>
      <c r="F601" s="14" t="s">
        <v>415</v>
      </c>
      <c r="G601" s="14" t="str">
        <f>""</f>
        <v/>
      </c>
      <c r="H601" s="14" t="str">
        <f>" 10"</f>
        <v xml:space="preserve"> 10</v>
      </c>
      <c r="I601" s="14">
        <v>0.01</v>
      </c>
      <c r="J601" s="14">
        <v>500</v>
      </c>
      <c r="K601" s="14" t="s">
        <v>410</v>
      </c>
      <c r="L601" s="14" t="s">
        <v>411</v>
      </c>
      <c r="M601" s="14" t="s">
        <v>412</v>
      </c>
      <c r="N601" s="14" t="s">
        <v>413</v>
      </c>
      <c r="P601" s="14" t="s">
        <v>39</v>
      </c>
      <c r="Q601" s="14" t="s">
        <v>25</v>
      </c>
      <c r="R601" s="14" t="s">
        <v>410</v>
      </c>
    </row>
    <row r="602" spans="1:18" s="14" customFormat="1" x14ac:dyDescent="0.25">
      <c r="A602" s="14" t="str">
        <f>"10001"</f>
        <v>10001</v>
      </c>
      <c r="B602" s="14" t="str">
        <f>"06010"</f>
        <v>06010</v>
      </c>
      <c r="C602" s="14" t="str">
        <f>"1700"</f>
        <v>1700</v>
      </c>
      <c r="D602" s="14" t="str">
        <f>"06010C"</f>
        <v>06010C</v>
      </c>
      <c r="E602" s="14" t="s">
        <v>20</v>
      </c>
      <c r="F602" s="14" t="s">
        <v>416</v>
      </c>
      <c r="G602" s="14" t="str">
        <f>""</f>
        <v/>
      </c>
      <c r="H602" s="14" t="str">
        <f>" 10"</f>
        <v xml:space="preserve"> 10</v>
      </c>
      <c r="I602" s="14">
        <v>0.01</v>
      </c>
      <c r="J602" s="14">
        <v>500</v>
      </c>
      <c r="K602" s="14" t="s">
        <v>410</v>
      </c>
      <c r="L602" s="14" t="s">
        <v>411</v>
      </c>
      <c r="M602" s="14" t="s">
        <v>412</v>
      </c>
      <c r="N602" s="14" t="s">
        <v>413</v>
      </c>
      <c r="P602" s="14" t="s">
        <v>39</v>
      </c>
      <c r="Q602" s="14" t="s">
        <v>25</v>
      </c>
      <c r="R602" s="14" t="s">
        <v>410</v>
      </c>
    </row>
    <row r="603" spans="1:18" s="14" customFormat="1" x14ac:dyDescent="0.25">
      <c r="A603" s="14" t="str">
        <f>"10001"</f>
        <v>10001</v>
      </c>
      <c r="B603" s="14" t="str">
        <f>"06020"</f>
        <v>06020</v>
      </c>
      <c r="C603" s="14" t="str">
        <f>"1700"</f>
        <v>1700</v>
      </c>
      <c r="D603" s="14" t="str">
        <f>"06020"</f>
        <v>06020</v>
      </c>
      <c r="E603" s="14" t="s">
        <v>20</v>
      </c>
      <c r="F603" s="14" t="s">
        <v>417</v>
      </c>
      <c r="G603" s="14" t="str">
        <f>""</f>
        <v/>
      </c>
      <c r="H603" s="14" t="str">
        <f>" 10"</f>
        <v xml:space="preserve"> 10</v>
      </c>
      <c r="I603" s="14">
        <v>0.01</v>
      </c>
      <c r="J603" s="14">
        <v>500</v>
      </c>
      <c r="K603" s="14" t="s">
        <v>410</v>
      </c>
      <c r="L603" s="14" t="s">
        <v>411</v>
      </c>
      <c r="M603" s="14" t="s">
        <v>412</v>
      </c>
      <c r="N603" s="14" t="s">
        <v>413</v>
      </c>
      <c r="P603" s="14" t="s">
        <v>39</v>
      </c>
      <c r="Q603" s="14" t="s">
        <v>25</v>
      </c>
      <c r="R603" s="14" t="s">
        <v>410</v>
      </c>
    </row>
    <row r="604" spans="1:18" s="14" customFormat="1" x14ac:dyDescent="0.25">
      <c r="A604" s="14" t="str">
        <f>"10001"</f>
        <v>10001</v>
      </c>
      <c r="B604" s="14" t="str">
        <f>"06025"</f>
        <v>06025</v>
      </c>
      <c r="C604" s="14" t="str">
        <f>"1700"</f>
        <v>1700</v>
      </c>
      <c r="D604" s="14" t="str">
        <f>"06025"</f>
        <v>06025</v>
      </c>
      <c r="E604" s="14" t="s">
        <v>20</v>
      </c>
      <c r="F604" s="14" t="s">
        <v>419</v>
      </c>
      <c r="G604" s="14" t="str">
        <f>""</f>
        <v/>
      </c>
      <c r="H604" s="14" t="str">
        <f>" 10"</f>
        <v xml:space="preserve"> 10</v>
      </c>
      <c r="I604" s="14">
        <v>0.01</v>
      </c>
      <c r="J604" s="14">
        <v>500</v>
      </c>
      <c r="K604" s="14" t="s">
        <v>410</v>
      </c>
      <c r="L604" s="14" t="s">
        <v>411</v>
      </c>
      <c r="M604" s="14" t="s">
        <v>412</v>
      </c>
      <c r="N604" s="14" t="s">
        <v>413</v>
      </c>
      <c r="P604" s="14" t="s">
        <v>39</v>
      </c>
      <c r="Q604" s="14" t="s">
        <v>25</v>
      </c>
      <c r="R604" s="14" t="s">
        <v>410</v>
      </c>
    </row>
    <row r="605" spans="1:18" s="14" customFormat="1" x14ac:dyDescent="0.25">
      <c r="A605" s="14" t="str">
        <f>"10001"</f>
        <v>10001</v>
      </c>
      <c r="B605" s="14" t="str">
        <f>"06030"</f>
        <v>06030</v>
      </c>
      <c r="C605" s="14" t="str">
        <f>"1700"</f>
        <v>1700</v>
      </c>
      <c r="D605" s="14" t="str">
        <f>"06030C"</f>
        <v>06030C</v>
      </c>
      <c r="E605" s="14" t="s">
        <v>20</v>
      </c>
      <c r="F605" s="14" t="s">
        <v>420</v>
      </c>
      <c r="G605" s="14" t="str">
        <f>""</f>
        <v/>
      </c>
      <c r="H605" s="14" t="str">
        <f>" 10"</f>
        <v xml:space="preserve"> 10</v>
      </c>
      <c r="I605" s="14">
        <v>0.01</v>
      </c>
      <c r="J605" s="14">
        <v>500</v>
      </c>
      <c r="K605" s="14" t="s">
        <v>410</v>
      </c>
      <c r="L605" s="14" t="s">
        <v>411</v>
      </c>
      <c r="M605" s="14" t="s">
        <v>412</v>
      </c>
      <c r="N605" s="14" t="s">
        <v>413</v>
      </c>
      <c r="P605" s="14" t="s">
        <v>39</v>
      </c>
      <c r="Q605" s="14" t="s">
        <v>25</v>
      </c>
      <c r="R605" s="14" t="s">
        <v>410</v>
      </c>
    </row>
    <row r="606" spans="1:18" s="14" customFormat="1" x14ac:dyDescent="0.25">
      <c r="A606" s="14" t="str">
        <f>"10001"</f>
        <v>10001</v>
      </c>
      <c r="B606" s="14" t="str">
        <f>"06040"</f>
        <v>06040</v>
      </c>
      <c r="C606" s="14" t="str">
        <f>"1700"</f>
        <v>1700</v>
      </c>
      <c r="D606" s="14" t="str">
        <f>"06040C"</f>
        <v>06040C</v>
      </c>
      <c r="E606" s="14" t="s">
        <v>20</v>
      </c>
      <c r="F606" s="14" t="s">
        <v>421</v>
      </c>
      <c r="G606" s="14" t="str">
        <f>""</f>
        <v/>
      </c>
      <c r="H606" s="14" t="str">
        <f>" 10"</f>
        <v xml:space="preserve"> 10</v>
      </c>
      <c r="I606" s="14">
        <v>0.01</v>
      </c>
      <c r="J606" s="14">
        <v>500</v>
      </c>
      <c r="K606" s="14" t="s">
        <v>410</v>
      </c>
      <c r="L606" s="14" t="s">
        <v>411</v>
      </c>
      <c r="M606" s="14" t="s">
        <v>412</v>
      </c>
      <c r="N606" s="14" t="s">
        <v>413</v>
      </c>
      <c r="P606" s="14" t="s">
        <v>39</v>
      </c>
      <c r="Q606" s="14" t="s">
        <v>25</v>
      </c>
      <c r="R606" s="14" t="s">
        <v>410</v>
      </c>
    </row>
    <row r="607" spans="1:18" s="14" customFormat="1" x14ac:dyDescent="0.25">
      <c r="A607" s="14" t="str">
        <f>"10001"</f>
        <v>10001</v>
      </c>
      <c r="B607" s="14" t="str">
        <f>"06050"</f>
        <v>06050</v>
      </c>
      <c r="C607" s="14" t="str">
        <f>"1700"</f>
        <v>1700</v>
      </c>
      <c r="D607" s="14" t="str">
        <f>"06050C"</f>
        <v>06050C</v>
      </c>
      <c r="E607" s="14" t="s">
        <v>20</v>
      </c>
      <c r="F607" s="14" t="s">
        <v>422</v>
      </c>
      <c r="G607" s="14" t="str">
        <f>""</f>
        <v/>
      </c>
      <c r="H607" s="14" t="str">
        <f>" 10"</f>
        <v xml:space="preserve"> 10</v>
      </c>
      <c r="I607" s="14">
        <v>0.01</v>
      </c>
      <c r="J607" s="14">
        <v>500</v>
      </c>
      <c r="K607" s="14" t="s">
        <v>410</v>
      </c>
      <c r="L607" s="14" t="s">
        <v>411</v>
      </c>
      <c r="M607" s="14" t="s">
        <v>412</v>
      </c>
      <c r="N607" s="14" t="s">
        <v>413</v>
      </c>
      <c r="P607" s="14" t="s">
        <v>39</v>
      </c>
      <c r="Q607" s="14" t="s">
        <v>25</v>
      </c>
      <c r="R607" s="14" t="s">
        <v>410</v>
      </c>
    </row>
    <row r="608" spans="1:18" s="14" customFormat="1" x14ac:dyDescent="0.25">
      <c r="A608" s="14" t="str">
        <f>"10001"</f>
        <v>10001</v>
      </c>
      <c r="B608" s="14" t="str">
        <f>"06060"</f>
        <v>06060</v>
      </c>
      <c r="C608" s="14" t="str">
        <f>"1700"</f>
        <v>1700</v>
      </c>
      <c r="D608" s="14" t="str">
        <f>"06060C"</f>
        <v>06060C</v>
      </c>
      <c r="E608" s="14" t="s">
        <v>20</v>
      </c>
      <c r="F608" s="14" t="s">
        <v>423</v>
      </c>
      <c r="G608" s="14" t="str">
        <f>""</f>
        <v/>
      </c>
      <c r="H608" s="14" t="str">
        <f>" 10"</f>
        <v xml:space="preserve"> 10</v>
      </c>
      <c r="I608" s="14">
        <v>0.01</v>
      </c>
      <c r="J608" s="14">
        <v>500</v>
      </c>
      <c r="K608" s="14" t="s">
        <v>410</v>
      </c>
      <c r="L608" s="14" t="s">
        <v>411</v>
      </c>
      <c r="M608" s="14" t="s">
        <v>412</v>
      </c>
      <c r="N608" s="14" t="s">
        <v>413</v>
      </c>
      <c r="P608" s="14" t="s">
        <v>39</v>
      </c>
      <c r="Q608" s="14" t="s">
        <v>25</v>
      </c>
      <c r="R608" s="14" t="s">
        <v>410</v>
      </c>
    </row>
    <row r="609" spans="1:18" s="14" customFormat="1" x14ac:dyDescent="0.25">
      <c r="A609" s="14" t="str">
        <f>"10001"</f>
        <v>10001</v>
      </c>
      <c r="B609" s="14" t="str">
        <f>"06070"</f>
        <v>06070</v>
      </c>
      <c r="C609" s="14" t="str">
        <f>"1700"</f>
        <v>1700</v>
      </c>
      <c r="D609" s="14" t="str">
        <f>"06070C"</f>
        <v>06070C</v>
      </c>
      <c r="E609" s="14" t="s">
        <v>20</v>
      </c>
      <c r="F609" s="14" t="s">
        <v>424</v>
      </c>
      <c r="G609" s="14" t="str">
        <f>""</f>
        <v/>
      </c>
      <c r="H609" s="14" t="str">
        <f>" 10"</f>
        <v xml:space="preserve"> 10</v>
      </c>
      <c r="I609" s="14">
        <v>0.01</v>
      </c>
      <c r="J609" s="14">
        <v>500</v>
      </c>
      <c r="K609" s="14" t="s">
        <v>410</v>
      </c>
      <c r="L609" s="14" t="s">
        <v>411</v>
      </c>
      <c r="M609" s="14" t="s">
        <v>412</v>
      </c>
      <c r="N609" s="14" t="s">
        <v>413</v>
      </c>
      <c r="P609" s="14" t="s">
        <v>39</v>
      </c>
      <c r="Q609" s="14" t="s">
        <v>25</v>
      </c>
      <c r="R609" s="14" t="s">
        <v>410</v>
      </c>
    </row>
    <row r="610" spans="1:18" s="14" customFormat="1" x14ac:dyDescent="0.25">
      <c r="A610" s="14" t="str">
        <f>"10001"</f>
        <v>10001</v>
      </c>
      <c r="B610" s="14" t="str">
        <f>"06080"</f>
        <v>06080</v>
      </c>
      <c r="C610" s="14" t="str">
        <f>"1700"</f>
        <v>1700</v>
      </c>
      <c r="D610" s="14" t="str">
        <f>"06080C"</f>
        <v>06080C</v>
      </c>
      <c r="E610" s="14" t="s">
        <v>20</v>
      </c>
      <c r="F610" s="14" t="s">
        <v>425</v>
      </c>
      <c r="G610" s="14" t="str">
        <f>""</f>
        <v/>
      </c>
      <c r="H610" s="14" t="str">
        <f>" 10"</f>
        <v xml:space="preserve"> 10</v>
      </c>
      <c r="I610" s="14">
        <v>0.01</v>
      </c>
      <c r="J610" s="14">
        <v>500</v>
      </c>
      <c r="K610" s="14" t="s">
        <v>410</v>
      </c>
      <c r="L610" s="14" t="s">
        <v>411</v>
      </c>
      <c r="M610" s="14" t="s">
        <v>412</v>
      </c>
      <c r="N610" s="14" t="s">
        <v>413</v>
      </c>
      <c r="P610" s="14" t="s">
        <v>39</v>
      </c>
      <c r="Q610" s="14" t="s">
        <v>25</v>
      </c>
      <c r="R610" s="14" t="s">
        <v>410</v>
      </c>
    </row>
    <row r="611" spans="1:18" s="14" customFormat="1" x14ac:dyDescent="0.25">
      <c r="A611" s="14" t="str">
        <f>"10001"</f>
        <v>10001</v>
      </c>
      <c r="B611" s="14" t="str">
        <f>"06090"</f>
        <v>06090</v>
      </c>
      <c r="C611" s="14" t="str">
        <f>"1700"</f>
        <v>1700</v>
      </c>
      <c r="D611" s="14" t="str">
        <f>"06090C"</f>
        <v>06090C</v>
      </c>
      <c r="E611" s="14" t="s">
        <v>20</v>
      </c>
      <c r="F611" s="14" t="s">
        <v>426</v>
      </c>
      <c r="G611" s="14" t="str">
        <f>""</f>
        <v/>
      </c>
      <c r="H611" s="14" t="str">
        <f>" 10"</f>
        <v xml:space="preserve"> 10</v>
      </c>
      <c r="I611" s="14">
        <v>0.01</v>
      </c>
      <c r="J611" s="14">
        <v>500</v>
      </c>
      <c r="K611" s="14" t="s">
        <v>410</v>
      </c>
      <c r="L611" s="14" t="s">
        <v>411</v>
      </c>
      <c r="M611" s="14" t="s">
        <v>412</v>
      </c>
      <c r="N611" s="14" t="s">
        <v>413</v>
      </c>
      <c r="P611" s="14" t="s">
        <v>39</v>
      </c>
      <c r="Q611" s="14" t="s">
        <v>25</v>
      </c>
      <c r="R611" s="14" t="s">
        <v>410</v>
      </c>
    </row>
    <row r="612" spans="1:18" s="14" customFormat="1" x14ac:dyDescent="0.25">
      <c r="A612" s="14" t="str">
        <f>"10001"</f>
        <v>10001</v>
      </c>
      <c r="B612" s="14" t="str">
        <f>"06100"</f>
        <v>06100</v>
      </c>
      <c r="C612" s="14" t="str">
        <f>"1700"</f>
        <v>1700</v>
      </c>
      <c r="D612" s="14" t="str">
        <f>"06100C"</f>
        <v>06100C</v>
      </c>
      <c r="E612" s="14" t="s">
        <v>20</v>
      </c>
      <c r="F612" s="14" t="s">
        <v>427</v>
      </c>
      <c r="G612" s="14" t="str">
        <f>""</f>
        <v/>
      </c>
      <c r="H612" s="14" t="str">
        <f>" 10"</f>
        <v xml:space="preserve"> 10</v>
      </c>
      <c r="I612" s="14">
        <v>0.01</v>
      </c>
      <c r="J612" s="14">
        <v>500</v>
      </c>
      <c r="K612" s="14" t="s">
        <v>410</v>
      </c>
      <c r="L612" s="14" t="s">
        <v>411</v>
      </c>
      <c r="M612" s="14" t="s">
        <v>412</v>
      </c>
      <c r="N612" s="14" t="s">
        <v>413</v>
      </c>
      <c r="P612" s="14" t="s">
        <v>39</v>
      </c>
      <c r="Q612" s="14" t="s">
        <v>25</v>
      </c>
      <c r="R612" s="14" t="s">
        <v>410</v>
      </c>
    </row>
    <row r="613" spans="1:18" s="14" customFormat="1" x14ac:dyDescent="0.25">
      <c r="A613" s="14" t="str">
        <f>"10001"</f>
        <v>10001</v>
      </c>
      <c r="B613" s="14" t="str">
        <f>"06110"</f>
        <v>06110</v>
      </c>
      <c r="C613" s="14" t="str">
        <f>"1700"</f>
        <v>1700</v>
      </c>
      <c r="D613" s="14" t="str">
        <f>"06110C"</f>
        <v>06110C</v>
      </c>
      <c r="E613" s="14" t="s">
        <v>20</v>
      </c>
      <c r="F613" s="14" t="s">
        <v>428</v>
      </c>
      <c r="G613" s="14" t="str">
        <f>""</f>
        <v/>
      </c>
      <c r="H613" s="14" t="str">
        <f>" 10"</f>
        <v xml:space="preserve"> 10</v>
      </c>
      <c r="I613" s="14">
        <v>0.01</v>
      </c>
      <c r="J613" s="14">
        <v>500</v>
      </c>
      <c r="K613" s="14" t="s">
        <v>410</v>
      </c>
      <c r="L613" s="14" t="s">
        <v>411</v>
      </c>
      <c r="M613" s="14" t="s">
        <v>412</v>
      </c>
      <c r="N613" s="14" t="s">
        <v>413</v>
      </c>
      <c r="P613" s="14" t="s">
        <v>39</v>
      </c>
      <c r="Q613" s="14" t="s">
        <v>25</v>
      </c>
      <c r="R613" s="14" t="s">
        <v>410</v>
      </c>
    </row>
    <row r="614" spans="1:18" s="14" customFormat="1" x14ac:dyDescent="0.25">
      <c r="A614" s="14" t="str">
        <f>"10001"</f>
        <v>10001</v>
      </c>
      <c r="B614" s="14" t="str">
        <f>"06120"</f>
        <v>06120</v>
      </c>
      <c r="C614" s="14" t="str">
        <f>"1700"</f>
        <v>1700</v>
      </c>
      <c r="D614" s="14" t="str">
        <f>"06120C"</f>
        <v>06120C</v>
      </c>
      <c r="E614" s="14" t="s">
        <v>20</v>
      </c>
      <c r="F614" s="14" t="s">
        <v>429</v>
      </c>
      <c r="G614" s="14" t="str">
        <f>""</f>
        <v/>
      </c>
      <c r="H614" s="14" t="str">
        <f>" 10"</f>
        <v xml:space="preserve"> 10</v>
      </c>
      <c r="I614" s="14">
        <v>0.01</v>
      </c>
      <c r="J614" s="14">
        <v>500</v>
      </c>
      <c r="K614" s="14" t="s">
        <v>410</v>
      </c>
      <c r="L614" s="14" t="s">
        <v>411</v>
      </c>
      <c r="M614" s="14" t="s">
        <v>412</v>
      </c>
      <c r="N614" s="14" t="s">
        <v>413</v>
      </c>
      <c r="P614" s="14" t="s">
        <v>39</v>
      </c>
      <c r="Q614" s="14" t="s">
        <v>25</v>
      </c>
      <c r="R614" s="14" t="s">
        <v>410</v>
      </c>
    </row>
    <row r="615" spans="1:18" s="14" customFormat="1" x14ac:dyDescent="0.25">
      <c r="A615" s="14" t="str">
        <f>"10001"</f>
        <v>10001</v>
      </c>
      <c r="B615" s="14" t="str">
        <f>"06130"</f>
        <v>06130</v>
      </c>
      <c r="C615" s="14" t="str">
        <f>"1700"</f>
        <v>1700</v>
      </c>
      <c r="D615" s="14" t="str">
        <f>"06130C"</f>
        <v>06130C</v>
      </c>
      <c r="E615" s="14" t="s">
        <v>20</v>
      </c>
      <c r="F615" s="14" t="s">
        <v>430</v>
      </c>
      <c r="G615" s="14" t="str">
        <f>""</f>
        <v/>
      </c>
      <c r="H615" s="14" t="str">
        <f>" 10"</f>
        <v xml:space="preserve"> 10</v>
      </c>
      <c r="I615" s="14">
        <v>0.01</v>
      </c>
      <c r="J615" s="14">
        <v>500</v>
      </c>
      <c r="K615" s="14" t="s">
        <v>410</v>
      </c>
      <c r="L615" s="14" t="s">
        <v>411</v>
      </c>
      <c r="M615" s="14" t="s">
        <v>412</v>
      </c>
      <c r="N615" s="14" t="s">
        <v>413</v>
      </c>
      <c r="P615" s="14" t="s">
        <v>39</v>
      </c>
      <c r="Q615" s="14" t="s">
        <v>25</v>
      </c>
      <c r="R615" s="14" t="s">
        <v>410</v>
      </c>
    </row>
    <row r="616" spans="1:18" s="14" customFormat="1" x14ac:dyDescent="0.25">
      <c r="A616" s="14" t="str">
        <f>"10001"</f>
        <v>10001</v>
      </c>
      <c r="B616" s="14" t="str">
        <f>"06140"</f>
        <v>06140</v>
      </c>
      <c r="C616" s="14" t="str">
        <f>"1700"</f>
        <v>1700</v>
      </c>
      <c r="D616" s="14" t="str">
        <f>"06140C"</f>
        <v>06140C</v>
      </c>
      <c r="E616" s="14" t="s">
        <v>20</v>
      </c>
      <c r="F616" s="14" t="s">
        <v>431</v>
      </c>
      <c r="G616" s="14" t="str">
        <f>""</f>
        <v/>
      </c>
      <c r="H616" s="14" t="str">
        <f>" 10"</f>
        <v xml:space="preserve"> 10</v>
      </c>
      <c r="I616" s="14">
        <v>0.01</v>
      </c>
      <c r="J616" s="14">
        <v>500</v>
      </c>
      <c r="K616" s="14" t="s">
        <v>410</v>
      </c>
      <c r="L616" s="14" t="s">
        <v>411</v>
      </c>
      <c r="M616" s="14" t="s">
        <v>412</v>
      </c>
      <c r="N616" s="14" t="s">
        <v>413</v>
      </c>
      <c r="P616" s="14" t="s">
        <v>39</v>
      </c>
      <c r="Q616" s="14" t="s">
        <v>25</v>
      </c>
      <c r="R616" s="14" t="s">
        <v>410</v>
      </c>
    </row>
    <row r="617" spans="1:18" s="14" customFormat="1" x14ac:dyDescent="0.25">
      <c r="A617" s="14" t="str">
        <f>"10001"</f>
        <v>10001</v>
      </c>
      <c r="B617" s="14" t="str">
        <f>"06150"</f>
        <v>06150</v>
      </c>
      <c r="C617" s="14" t="str">
        <f>"1700"</f>
        <v>1700</v>
      </c>
      <c r="D617" s="14" t="str">
        <f>"06150C"</f>
        <v>06150C</v>
      </c>
      <c r="E617" s="14" t="s">
        <v>20</v>
      </c>
      <c r="F617" s="14" t="s">
        <v>432</v>
      </c>
      <c r="G617" s="14" t="str">
        <f>""</f>
        <v/>
      </c>
      <c r="H617" s="14" t="str">
        <f>" 10"</f>
        <v xml:space="preserve"> 10</v>
      </c>
      <c r="I617" s="14">
        <v>0.01</v>
      </c>
      <c r="J617" s="14">
        <v>500</v>
      </c>
      <c r="K617" s="14" t="s">
        <v>410</v>
      </c>
      <c r="L617" s="14" t="s">
        <v>411</v>
      </c>
      <c r="M617" s="14" t="s">
        <v>412</v>
      </c>
      <c r="N617" s="14" t="s">
        <v>413</v>
      </c>
      <c r="P617" s="14" t="s">
        <v>39</v>
      </c>
      <c r="Q617" s="14" t="s">
        <v>25</v>
      </c>
      <c r="R617" s="14" t="s">
        <v>410</v>
      </c>
    </row>
    <row r="618" spans="1:18" s="14" customFormat="1" x14ac:dyDescent="0.25">
      <c r="A618" s="14" t="str">
        <f>"10001"</f>
        <v>10001</v>
      </c>
      <c r="B618" s="14" t="str">
        <f>"06151"</f>
        <v>06151</v>
      </c>
      <c r="C618" s="14" t="str">
        <f>"1700"</f>
        <v>1700</v>
      </c>
      <c r="D618" s="14" t="str">
        <f>"06151C"</f>
        <v>06151C</v>
      </c>
      <c r="E618" s="14" t="s">
        <v>20</v>
      </c>
      <c r="F618" s="14" t="s">
        <v>433</v>
      </c>
      <c r="G618" s="14" t="str">
        <f>""</f>
        <v/>
      </c>
      <c r="H618" s="14" t="str">
        <f>" 10"</f>
        <v xml:space="preserve"> 10</v>
      </c>
      <c r="I618" s="14">
        <v>0.01</v>
      </c>
      <c r="J618" s="14">
        <v>500</v>
      </c>
      <c r="K618" s="14" t="s">
        <v>410</v>
      </c>
      <c r="L618" s="14" t="s">
        <v>411</v>
      </c>
      <c r="M618" s="14" t="s">
        <v>412</v>
      </c>
      <c r="N618" s="14" t="s">
        <v>413</v>
      </c>
      <c r="P618" s="14" t="s">
        <v>39</v>
      </c>
      <c r="Q618" s="14" t="s">
        <v>25</v>
      </c>
      <c r="R618" s="14" t="s">
        <v>410</v>
      </c>
    </row>
    <row r="619" spans="1:18" s="14" customFormat="1" x14ac:dyDescent="0.25">
      <c r="A619" s="14" t="str">
        <f>"10001"</f>
        <v>10001</v>
      </c>
      <c r="B619" s="14" t="str">
        <f>"06152"</f>
        <v>06152</v>
      </c>
      <c r="C619" s="14" t="str">
        <f>"1700"</f>
        <v>1700</v>
      </c>
      <c r="D619" s="14" t="str">
        <f>"06152C"</f>
        <v>06152C</v>
      </c>
      <c r="E619" s="14" t="s">
        <v>20</v>
      </c>
      <c r="F619" s="14" t="s">
        <v>434</v>
      </c>
      <c r="G619" s="14" t="str">
        <f>""</f>
        <v/>
      </c>
      <c r="H619" s="14" t="str">
        <f>" 10"</f>
        <v xml:space="preserve"> 10</v>
      </c>
      <c r="I619" s="14">
        <v>0.01</v>
      </c>
      <c r="J619" s="14">
        <v>500</v>
      </c>
      <c r="K619" s="14" t="s">
        <v>410</v>
      </c>
      <c r="L619" s="14" t="s">
        <v>411</v>
      </c>
      <c r="M619" s="14" t="s">
        <v>412</v>
      </c>
      <c r="N619" s="14" t="s">
        <v>413</v>
      </c>
      <c r="P619" s="14" t="s">
        <v>39</v>
      </c>
      <c r="Q619" s="14" t="s">
        <v>25</v>
      </c>
      <c r="R619" s="14" t="s">
        <v>410</v>
      </c>
    </row>
    <row r="620" spans="1:18" s="14" customFormat="1" x14ac:dyDescent="0.25">
      <c r="A620" s="14" t="str">
        <f>"16005"</f>
        <v>16005</v>
      </c>
      <c r="B620" s="14" t="str">
        <f>"06000"</f>
        <v>06000</v>
      </c>
      <c r="C620" s="14" t="str">
        <f>"1700"</f>
        <v>1700</v>
      </c>
      <c r="D620" s="14" t="str">
        <f>"16005"</f>
        <v>16005</v>
      </c>
      <c r="E620" s="14" t="s">
        <v>524</v>
      </c>
      <c r="F620" s="14" t="s">
        <v>409</v>
      </c>
      <c r="G620" s="14" t="str">
        <f>""</f>
        <v/>
      </c>
      <c r="H620" s="14" t="str">
        <f>" 10"</f>
        <v xml:space="preserve"> 10</v>
      </c>
      <c r="I620" s="14">
        <v>0.01</v>
      </c>
      <c r="J620" s="14">
        <v>500</v>
      </c>
      <c r="K620" s="14" t="s">
        <v>410</v>
      </c>
      <c r="L620" s="14" t="s">
        <v>411</v>
      </c>
      <c r="M620" s="14" t="s">
        <v>412</v>
      </c>
      <c r="N620" s="14" t="s">
        <v>413</v>
      </c>
      <c r="P620" s="14" t="s">
        <v>39</v>
      </c>
      <c r="Q620" s="14" t="s">
        <v>25</v>
      </c>
      <c r="R620" s="14" t="s">
        <v>410</v>
      </c>
    </row>
    <row r="621" spans="1:18" s="14" customFormat="1" x14ac:dyDescent="0.25">
      <c r="A621" s="14" t="str">
        <f>"16042"</f>
        <v>16042</v>
      </c>
      <c r="B621" s="14" t="str">
        <f>"06000"</f>
        <v>06000</v>
      </c>
      <c r="C621" s="14" t="str">
        <f>"1700"</f>
        <v>1700</v>
      </c>
      <c r="D621" s="14" t="str">
        <f>"16042"</f>
        <v>16042</v>
      </c>
      <c r="E621" s="14" t="s">
        <v>558</v>
      </c>
      <c r="F621" s="14" t="s">
        <v>409</v>
      </c>
      <c r="G621" s="14" t="str">
        <f>""</f>
        <v/>
      </c>
      <c r="H621" s="14" t="str">
        <f>" 10"</f>
        <v xml:space="preserve"> 10</v>
      </c>
      <c r="I621" s="14">
        <v>0.01</v>
      </c>
      <c r="J621" s="14">
        <v>500</v>
      </c>
      <c r="K621" s="14" t="s">
        <v>410</v>
      </c>
      <c r="L621" s="14" t="s">
        <v>411</v>
      </c>
      <c r="M621" s="14" t="s">
        <v>412</v>
      </c>
      <c r="N621" s="14" t="s">
        <v>413</v>
      </c>
      <c r="P621" s="14" t="s">
        <v>39</v>
      </c>
      <c r="Q621" s="14" t="s">
        <v>25</v>
      </c>
      <c r="R621" s="14" t="s">
        <v>410</v>
      </c>
    </row>
    <row r="622" spans="1:18" s="14" customFormat="1" x14ac:dyDescent="0.25">
      <c r="A622" s="14" t="str">
        <f>"16043"</f>
        <v>16043</v>
      </c>
      <c r="B622" s="14" t="str">
        <f>"06000"</f>
        <v>06000</v>
      </c>
      <c r="C622" s="14" t="str">
        <f>"1700"</f>
        <v>1700</v>
      </c>
      <c r="D622" s="14" t="str">
        <f>"16043"</f>
        <v>16043</v>
      </c>
      <c r="E622" s="14" t="s">
        <v>559</v>
      </c>
      <c r="F622" s="14" t="s">
        <v>409</v>
      </c>
      <c r="G622" s="14" t="str">
        <f>""</f>
        <v/>
      </c>
      <c r="H622" s="14" t="str">
        <f>" 10"</f>
        <v xml:space="preserve"> 10</v>
      </c>
      <c r="I622" s="14">
        <v>0.01</v>
      </c>
      <c r="J622" s="14">
        <v>500</v>
      </c>
      <c r="K622" s="14" t="s">
        <v>410</v>
      </c>
      <c r="L622" s="14" t="s">
        <v>411</v>
      </c>
      <c r="M622" s="14" t="s">
        <v>412</v>
      </c>
      <c r="N622" s="14" t="s">
        <v>413</v>
      </c>
      <c r="P622" s="14" t="s">
        <v>39</v>
      </c>
      <c r="Q622" s="14" t="s">
        <v>25</v>
      </c>
      <c r="R622" s="14" t="s">
        <v>410</v>
      </c>
    </row>
    <row r="623" spans="1:18" s="14" customFormat="1" x14ac:dyDescent="0.25">
      <c r="A623" s="14" t="str">
        <f>"16044"</f>
        <v>16044</v>
      </c>
      <c r="B623" s="14" t="str">
        <f>"06000"</f>
        <v>06000</v>
      </c>
      <c r="C623" s="14" t="str">
        <f>"1700"</f>
        <v>1700</v>
      </c>
      <c r="D623" s="14" t="str">
        <f>"16044"</f>
        <v>16044</v>
      </c>
      <c r="E623" s="14" t="s">
        <v>560</v>
      </c>
      <c r="F623" s="14" t="s">
        <v>409</v>
      </c>
      <c r="G623" s="14" t="str">
        <f>""</f>
        <v/>
      </c>
      <c r="H623" s="14" t="str">
        <f>" 10"</f>
        <v xml:space="preserve"> 10</v>
      </c>
      <c r="I623" s="14">
        <v>0.01</v>
      </c>
      <c r="J623" s="14">
        <v>500</v>
      </c>
      <c r="K623" s="14" t="s">
        <v>410</v>
      </c>
      <c r="L623" s="14" t="s">
        <v>411</v>
      </c>
      <c r="M623" s="14" t="s">
        <v>412</v>
      </c>
      <c r="N623" s="14" t="s">
        <v>413</v>
      </c>
      <c r="P623" s="14" t="s">
        <v>39</v>
      </c>
      <c r="Q623" s="14" t="s">
        <v>25</v>
      </c>
      <c r="R623" s="14" t="s">
        <v>410</v>
      </c>
    </row>
    <row r="624" spans="1:18" s="14" customFormat="1" x14ac:dyDescent="0.25">
      <c r="A624" s="14" t="str">
        <f>"16056"</f>
        <v>16056</v>
      </c>
      <c r="B624" s="14" t="str">
        <f>"06000"</f>
        <v>06000</v>
      </c>
      <c r="C624" s="14" t="str">
        <f>"1700"</f>
        <v>1700</v>
      </c>
      <c r="D624" s="14" t="str">
        <f>"16056"</f>
        <v>16056</v>
      </c>
      <c r="E624" s="14" t="s">
        <v>570</v>
      </c>
      <c r="F624" s="14" t="s">
        <v>409</v>
      </c>
      <c r="G624" s="14" t="str">
        <f>""</f>
        <v/>
      </c>
      <c r="H624" s="14" t="str">
        <f>" 10"</f>
        <v xml:space="preserve"> 10</v>
      </c>
      <c r="I624" s="14">
        <v>0.01</v>
      </c>
      <c r="J624" s="14">
        <v>500</v>
      </c>
      <c r="K624" s="14" t="s">
        <v>410</v>
      </c>
      <c r="L624" s="14" t="s">
        <v>411</v>
      </c>
      <c r="M624" s="14" t="s">
        <v>412</v>
      </c>
      <c r="N624" s="14" t="s">
        <v>413</v>
      </c>
      <c r="P624" s="14" t="s">
        <v>39</v>
      </c>
      <c r="Q624" s="14" t="s">
        <v>25</v>
      </c>
      <c r="R624" s="14" t="s">
        <v>410</v>
      </c>
    </row>
    <row r="625" spans="1:18" s="14" customFormat="1" x14ac:dyDescent="0.25">
      <c r="A625" s="14" t="str">
        <f>"30005"</f>
        <v>30005</v>
      </c>
      <c r="B625" s="14" t="str">
        <f>"06000"</f>
        <v>06000</v>
      </c>
      <c r="C625" s="14" t="str">
        <f>"1700"</f>
        <v>1700</v>
      </c>
      <c r="D625" s="14" t="str">
        <f>"06000B"</f>
        <v>06000B</v>
      </c>
      <c r="E625" s="14" t="s">
        <v>947</v>
      </c>
      <c r="F625" s="14" t="s">
        <v>409</v>
      </c>
      <c r="G625" s="14" t="str">
        <f>""</f>
        <v/>
      </c>
      <c r="H625" s="14" t="str">
        <f>" 10"</f>
        <v xml:space="preserve"> 10</v>
      </c>
      <c r="I625" s="14">
        <v>0.01</v>
      </c>
      <c r="J625" s="14">
        <v>500</v>
      </c>
      <c r="K625" s="14" t="s">
        <v>410</v>
      </c>
      <c r="L625" s="14" t="s">
        <v>411</v>
      </c>
      <c r="M625" s="14" t="s">
        <v>412</v>
      </c>
      <c r="N625" s="14" t="s">
        <v>413</v>
      </c>
      <c r="P625" s="14" t="s">
        <v>39</v>
      </c>
      <c r="Q625" s="14" t="s">
        <v>25</v>
      </c>
      <c r="R625" s="14" t="s">
        <v>410</v>
      </c>
    </row>
    <row r="626" spans="1:18" s="14" customFormat="1" x14ac:dyDescent="0.25">
      <c r="A626" s="14" t="str">
        <f>"30005"</f>
        <v>30005</v>
      </c>
      <c r="B626" s="14" t="str">
        <f>"06010"</f>
        <v>06010</v>
      </c>
      <c r="C626" s="14" t="str">
        <f>"1700"</f>
        <v>1700</v>
      </c>
      <c r="D626" s="14" t="str">
        <f>"06010A"</f>
        <v>06010A</v>
      </c>
      <c r="E626" s="14" t="s">
        <v>947</v>
      </c>
      <c r="F626" s="14" t="s">
        <v>416</v>
      </c>
      <c r="G626" s="14" t="str">
        <f>""</f>
        <v/>
      </c>
      <c r="H626" s="14" t="str">
        <f>" 10"</f>
        <v xml:space="preserve"> 10</v>
      </c>
      <c r="I626" s="14">
        <v>0.01</v>
      </c>
      <c r="J626" s="14">
        <v>500</v>
      </c>
      <c r="K626" s="14" t="s">
        <v>410</v>
      </c>
      <c r="L626" s="14" t="s">
        <v>411</v>
      </c>
      <c r="M626" s="14" t="s">
        <v>412</v>
      </c>
      <c r="N626" s="14" t="s">
        <v>413</v>
      </c>
      <c r="P626" s="14" t="s">
        <v>39</v>
      </c>
      <c r="Q626" s="14" t="s">
        <v>25</v>
      </c>
      <c r="R626" s="14" t="s">
        <v>410</v>
      </c>
    </row>
    <row r="627" spans="1:18" s="14" customFormat="1" x14ac:dyDescent="0.25">
      <c r="A627" s="14" t="str">
        <f>"30005"</f>
        <v>30005</v>
      </c>
      <c r="B627" s="14" t="str">
        <f>"06030"</f>
        <v>06030</v>
      </c>
      <c r="C627" s="14" t="str">
        <f>"1700"</f>
        <v>1700</v>
      </c>
      <c r="D627" s="14" t="str">
        <f>"06030A"</f>
        <v>06030A</v>
      </c>
      <c r="E627" s="14" t="s">
        <v>947</v>
      </c>
      <c r="F627" s="14" t="s">
        <v>420</v>
      </c>
      <c r="G627" s="14" t="str">
        <f>""</f>
        <v/>
      </c>
      <c r="H627" s="14" t="str">
        <f>" 10"</f>
        <v xml:space="preserve"> 10</v>
      </c>
      <c r="I627" s="14">
        <v>0.01</v>
      </c>
      <c r="J627" s="14">
        <v>500</v>
      </c>
      <c r="K627" s="14" t="s">
        <v>410</v>
      </c>
      <c r="L627" s="14" t="s">
        <v>411</v>
      </c>
      <c r="M627" s="14" t="s">
        <v>412</v>
      </c>
      <c r="N627" s="14" t="s">
        <v>413</v>
      </c>
      <c r="P627" s="14" t="s">
        <v>39</v>
      </c>
      <c r="Q627" s="14" t="s">
        <v>25</v>
      </c>
      <c r="R627" s="14" t="s">
        <v>410</v>
      </c>
    </row>
    <row r="628" spans="1:18" s="14" customFormat="1" x14ac:dyDescent="0.25">
      <c r="A628" s="14" t="str">
        <f>"30005"</f>
        <v>30005</v>
      </c>
      <c r="B628" s="14" t="str">
        <f>"06040"</f>
        <v>06040</v>
      </c>
      <c r="C628" s="14" t="str">
        <f>"1700"</f>
        <v>1700</v>
      </c>
      <c r="D628" s="14" t="str">
        <f>"06040A"</f>
        <v>06040A</v>
      </c>
      <c r="E628" s="14" t="s">
        <v>947</v>
      </c>
      <c r="F628" s="14" t="s">
        <v>421</v>
      </c>
      <c r="G628" s="14" t="str">
        <f>""</f>
        <v/>
      </c>
      <c r="H628" s="14" t="str">
        <f>" 10"</f>
        <v xml:space="preserve"> 10</v>
      </c>
      <c r="I628" s="14">
        <v>0.01</v>
      </c>
      <c r="J628" s="14">
        <v>500</v>
      </c>
      <c r="K628" s="14" t="s">
        <v>410</v>
      </c>
      <c r="L628" s="14" t="s">
        <v>411</v>
      </c>
      <c r="M628" s="14" t="s">
        <v>412</v>
      </c>
      <c r="N628" s="14" t="s">
        <v>413</v>
      </c>
      <c r="P628" s="14" t="s">
        <v>39</v>
      </c>
      <c r="Q628" s="14" t="s">
        <v>25</v>
      </c>
      <c r="R628" s="14" t="s">
        <v>410</v>
      </c>
    </row>
    <row r="629" spans="1:18" s="14" customFormat="1" x14ac:dyDescent="0.25">
      <c r="A629" s="14" t="str">
        <f>"30005"</f>
        <v>30005</v>
      </c>
      <c r="B629" s="14" t="str">
        <f>"06050"</f>
        <v>06050</v>
      </c>
      <c r="C629" s="14" t="str">
        <f>"1700"</f>
        <v>1700</v>
      </c>
      <c r="D629" s="14" t="str">
        <f>"06050A"</f>
        <v>06050A</v>
      </c>
      <c r="E629" s="14" t="s">
        <v>947</v>
      </c>
      <c r="F629" s="14" t="s">
        <v>422</v>
      </c>
      <c r="G629" s="14" t="str">
        <f>""</f>
        <v/>
      </c>
      <c r="H629" s="14" t="str">
        <f>" 10"</f>
        <v xml:space="preserve"> 10</v>
      </c>
      <c r="I629" s="14">
        <v>0.01</v>
      </c>
      <c r="J629" s="14">
        <v>500</v>
      </c>
      <c r="K629" s="14" t="s">
        <v>410</v>
      </c>
      <c r="L629" s="14" t="s">
        <v>411</v>
      </c>
      <c r="M629" s="14" t="s">
        <v>412</v>
      </c>
      <c r="N629" s="14" t="s">
        <v>413</v>
      </c>
      <c r="P629" s="14" t="s">
        <v>39</v>
      </c>
      <c r="Q629" s="14" t="s">
        <v>25</v>
      </c>
      <c r="R629" s="14" t="s">
        <v>410</v>
      </c>
    </row>
    <row r="630" spans="1:18" s="14" customFormat="1" x14ac:dyDescent="0.25">
      <c r="A630" s="14" t="str">
        <f>"30005"</f>
        <v>30005</v>
      </c>
      <c r="B630" s="14" t="str">
        <f>"06060"</f>
        <v>06060</v>
      </c>
      <c r="C630" s="14" t="str">
        <f>"1700"</f>
        <v>1700</v>
      </c>
      <c r="D630" s="14" t="str">
        <f>"06060A"</f>
        <v>06060A</v>
      </c>
      <c r="E630" s="14" t="s">
        <v>947</v>
      </c>
      <c r="F630" s="14" t="s">
        <v>423</v>
      </c>
      <c r="G630" s="14" t="str">
        <f>""</f>
        <v/>
      </c>
      <c r="H630" s="14" t="str">
        <f>" 10"</f>
        <v xml:space="preserve"> 10</v>
      </c>
      <c r="I630" s="14">
        <v>0.01</v>
      </c>
      <c r="J630" s="14">
        <v>500</v>
      </c>
      <c r="K630" s="14" t="s">
        <v>410</v>
      </c>
      <c r="L630" s="14" t="s">
        <v>411</v>
      </c>
      <c r="M630" s="14" t="s">
        <v>412</v>
      </c>
      <c r="N630" s="14" t="s">
        <v>413</v>
      </c>
      <c r="P630" s="14" t="s">
        <v>39</v>
      </c>
      <c r="Q630" s="14" t="s">
        <v>25</v>
      </c>
      <c r="R630" s="14" t="s">
        <v>410</v>
      </c>
    </row>
    <row r="631" spans="1:18" s="14" customFormat="1" x14ac:dyDescent="0.25">
      <c r="A631" s="14" t="str">
        <f>"30005"</f>
        <v>30005</v>
      </c>
      <c r="B631" s="14" t="str">
        <f>"06070"</f>
        <v>06070</v>
      </c>
      <c r="C631" s="14" t="str">
        <f>"1700"</f>
        <v>1700</v>
      </c>
      <c r="D631" s="14" t="str">
        <f>"06070A"</f>
        <v>06070A</v>
      </c>
      <c r="E631" s="14" t="s">
        <v>947</v>
      </c>
      <c r="F631" s="14" t="s">
        <v>424</v>
      </c>
      <c r="G631" s="14" t="str">
        <f>""</f>
        <v/>
      </c>
      <c r="H631" s="14" t="str">
        <f>" 10"</f>
        <v xml:space="preserve"> 10</v>
      </c>
      <c r="I631" s="14">
        <v>0.01</v>
      </c>
      <c r="J631" s="14">
        <v>500</v>
      </c>
      <c r="K631" s="14" t="s">
        <v>410</v>
      </c>
      <c r="L631" s="14" t="s">
        <v>411</v>
      </c>
      <c r="M631" s="14" t="s">
        <v>412</v>
      </c>
      <c r="N631" s="14" t="s">
        <v>413</v>
      </c>
      <c r="P631" s="14" t="s">
        <v>39</v>
      </c>
      <c r="Q631" s="14" t="s">
        <v>25</v>
      </c>
      <c r="R631" s="14" t="s">
        <v>410</v>
      </c>
    </row>
    <row r="632" spans="1:18" s="14" customFormat="1" x14ac:dyDescent="0.25">
      <c r="A632" s="14" t="str">
        <f>"30005"</f>
        <v>30005</v>
      </c>
      <c r="B632" s="14" t="str">
        <f>"06080"</f>
        <v>06080</v>
      </c>
      <c r="C632" s="14" t="str">
        <f>"1700"</f>
        <v>1700</v>
      </c>
      <c r="D632" s="14" t="str">
        <f>"06080A"</f>
        <v>06080A</v>
      </c>
      <c r="E632" s="14" t="s">
        <v>947</v>
      </c>
      <c r="F632" s="14" t="s">
        <v>425</v>
      </c>
      <c r="G632" s="14" t="str">
        <f>""</f>
        <v/>
      </c>
      <c r="H632" s="14" t="str">
        <f>" 10"</f>
        <v xml:space="preserve"> 10</v>
      </c>
      <c r="I632" s="14">
        <v>0.01</v>
      </c>
      <c r="J632" s="14">
        <v>500</v>
      </c>
      <c r="K632" s="14" t="s">
        <v>410</v>
      </c>
      <c r="L632" s="14" t="s">
        <v>411</v>
      </c>
      <c r="M632" s="14" t="s">
        <v>412</v>
      </c>
      <c r="N632" s="14" t="s">
        <v>413</v>
      </c>
      <c r="P632" s="14" t="s">
        <v>39</v>
      </c>
      <c r="Q632" s="14" t="s">
        <v>25</v>
      </c>
      <c r="R632" s="14" t="s">
        <v>410</v>
      </c>
    </row>
    <row r="633" spans="1:18" s="14" customFormat="1" x14ac:dyDescent="0.25">
      <c r="A633" s="14" t="str">
        <f>"30005"</f>
        <v>30005</v>
      </c>
      <c r="B633" s="14" t="str">
        <f>"06090"</f>
        <v>06090</v>
      </c>
      <c r="C633" s="14" t="str">
        <f>"1700"</f>
        <v>1700</v>
      </c>
      <c r="D633" s="14" t="str">
        <f>"06090A"</f>
        <v>06090A</v>
      </c>
      <c r="E633" s="14" t="s">
        <v>947</v>
      </c>
      <c r="F633" s="14" t="s">
        <v>426</v>
      </c>
      <c r="G633" s="14" t="str">
        <f>""</f>
        <v/>
      </c>
      <c r="H633" s="14" t="str">
        <f>" 10"</f>
        <v xml:space="preserve"> 10</v>
      </c>
      <c r="I633" s="14">
        <v>0.01</v>
      </c>
      <c r="J633" s="14">
        <v>500</v>
      </c>
      <c r="K633" s="14" t="s">
        <v>410</v>
      </c>
      <c r="L633" s="14" t="s">
        <v>411</v>
      </c>
      <c r="M633" s="14" t="s">
        <v>412</v>
      </c>
      <c r="N633" s="14" t="s">
        <v>413</v>
      </c>
      <c r="P633" s="14" t="s">
        <v>39</v>
      </c>
      <c r="Q633" s="14" t="s">
        <v>25</v>
      </c>
      <c r="R633" s="14" t="s">
        <v>410</v>
      </c>
    </row>
    <row r="634" spans="1:18" s="14" customFormat="1" x14ac:dyDescent="0.25">
      <c r="A634" s="14" t="str">
        <f>"30005"</f>
        <v>30005</v>
      </c>
      <c r="B634" s="14" t="str">
        <f>"06100"</f>
        <v>06100</v>
      </c>
      <c r="C634" s="14" t="str">
        <f>"1700"</f>
        <v>1700</v>
      </c>
      <c r="D634" s="14" t="str">
        <f>"06100A"</f>
        <v>06100A</v>
      </c>
      <c r="E634" s="14" t="s">
        <v>947</v>
      </c>
      <c r="F634" s="14" t="s">
        <v>427</v>
      </c>
      <c r="G634" s="14" t="str">
        <f>""</f>
        <v/>
      </c>
      <c r="H634" s="14" t="str">
        <f>" 10"</f>
        <v xml:space="preserve"> 10</v>
      </c>
      <c r="I634" s="14">
        <v>0.01</v>
      </c>
      <c r="J634" s="14">
        <v>500</v>
      </c>
      <c r="K634" s="14" t="s">
        <v>410</v>
      </c>
      <c r="L634" s="14" t="s">
        <v>411</v>
      </c>
      <c r="M634" s="14" t="s">
        <v>412</v>
      </c>
      <c r="N634" s="14" t="s">
        <v>413</v>
      </c>
      <c r="P634" s="14" t="s">
        <v>39</v>
      </c>
      <c r="Q634" s="14" t="s">
        <v>25</v>
      </c>
      <c r="R634" s="14" t="s">
        <v>410</v>
      </c>
    </row>
    <row r="635" spans="1:18" s="14" customFormat="1" x14ac:dyDescent="0.25">
      <c r="A635" s="14" t="str">
        <f>"30005"</f>
        <v>30005</v>
      </c>
      <c r="B635" s="14" t="str">
        <f>"06110"</f>
        <v>06110</v>
      </c>
      <c r="C635" s="14" t="str">
        <f>"1700"</f>
        <v>1700</v>
      </c>
      <c r="D635" s="14" t="str">
        <f>"06110A"</f>
        <v>06110A</v>
      </c>
      <c r="E635" s="14" t="s">
        <v>947</v>
      </c>
      <c r="F635" s="14" t="s">
        <v>428</v>
      </c>
      <c r="G635" s="14" t="str">
        <f>""</f>
        <v/>
      </c>
      <c r="H635" s="14" t="str">
        <f>" 10"</f>
        <v xml:space="preserve"> 10</v>
      </c>
      <c r="I635" s="14">
        <v>0.01</v>
      </c>
      <c r="J635" s="14">
        <v>500</v>
      </c>
      <c r="K635" s="14" t="s">
        <v>410</v>
      </c>
      <c r="L635" s="14" t="s">
        <v>411</v>
      </c>
      <c r="M635" s="14" t="s">
        <v>412</v>
      </c>
      <c r="N635" s="14" t="s">
        <v>413</v>
      </c>
      <c r="P635" s="14" t="s">
        <v>39</v>
      </c>
      <c r="Q635" s="14" t="s">
        <v>25</v>
      </c>
      <c r="R635" s="14" t="s">
        <v>410</v>
      </c>
    </row>
    <row r="636" spans="1:18" s="14" customFormat="1" x14ac:dyDescent="0.25">
      <c r="A636" s="14" t="str">
        <f>"30005"</f>
        <v>30005</v>
      </c>
      <c r="B636" s="14" t="str">
        <f>"06120"</f>
        <v>06120</v>
      </c>
      <c r="C636" s="14" t="str">
        <f>"1700"</f>
        <v>1700</v>
      </c>
      <c r="D636" s="14" t="str">
        <f>"06120A"</f>
        <v>06120A</v>
      </c>
      <c r="E636" s="14" t="s">
        <v>947</v>
      </c>
      <c r="F636" s="14" t="s">
        <v>429</v>
      </c>
      <c r="G636" s="14" t="str">
        <f>""</f>
        <v/>
      </c>
      <c r="H636" s="14" t="str">
        <f>" 10"</f>
        <v xml:space="preserve"> 10</v>
      </c>
      <c r="I636" s="14">
        <v>0.01</v>
      </c>
      <c r="J636" s="14">
        <v>500</v>
      </c>
      <c r="K636" s="14" t="s">
        <v>410</v>
      </c>
      <c r="L636" s="14" t="s">
        <v>411</v>
      </c>
      <c r="M636" s="14" t="s">
        <v>412</v>
      </c>
      <c r="N636" s="14" t="s">
        <v>413</v>
      </c>
      <c r="P636" s="14" t="s">
        <v>39</v>
      </c>
      <c r="Q636" s="14" t="s">
        <v>25</v>
      </c>
      <c r="R636" s="14" t="s">
        <v>410</v>
      </c>
    </row>
    <row r="637" spans="1:18" s="14" customFormat="1" x14ac:dyDescent="0.25">
      <c r="A637" s="14" t="str">
        <f>"30005"</f>
        <v>30005</v>
      </c>
      <c r="B637" s="14" t="str">
        <f>"06130"</f>
        <v>06130</v>
      </c>
      <c r="C637" s="14" t="str">
        <f>"1700"</f>
        <v>1700</v>
      </c>
      <c r="D637" s="14" t="str">
        <f>"06130A"</f>
        <v>06130A</v>
      </c>
      <c r="E637" s="14" t="s">
        <v>947</v>
      </c>
      <c r="F637" s="14" t="s">
        <v>430</v>
      </c>
      <c r="G637" s="14" t="str">
        <f>""</f>
        <v/>
      </c>
      <c r="H637" s="14" t="str">
        <f>" 10"</f>
        <v xml:space="preserve"> 10</v>
      </c>
      <c r="I637" s="14">
        <v>0.01</v>
      </c>
      <c r="J637" s="14">
        <v>500</v>
      </c>
      <c r="K637" s="14" t="s">
        <v>410</v>
      </c>
      <c r="L637" s="14" t="s">
        <v>411</v>
      </c>
      <c r="M637" s="14" t="s">
        <v>412</v>
      </c>
      <c r="N637" s="14" t="s">
        <v>413</v>
      </c>
      <c r="P637" s="14" t="s">
        <v>39</v>
      </c>
      <c r="Q637" s="14" t="s">
        <v>25</v>
      </c>
      <c r="R637" s="14" t="s">
        <v>410</v>
      </c>
    </row>
    <row r="638" spans="1:18" s="14" customFormat="1" x14ac:dyDescent="0.25">
      <c r="A638" s="14" t="str">
        <f>"30005"</f>
        <v>30005</v>
      </c>
      <c r="B638" s="14" t="str">
        <f>"06140"</f>
        <v>06140</v>
      </c>
      <c r="C638" s="14" t="str">
        <f>"1700"</f>
        <v>1700</v>
      </c>
      <c r="D638" s="14" t="str">
        <f>"06140A"</f>
        <v>06140A</v>
      </c>
      <c r="E638" s="14" t="s">
        <v>947</v>
      </c>
      <c r="F638" s="14" t="s">
        <v>431</v>
      </c>
      <c r="G638" s="14" t="str">
        <f>""</f>
        <v/>
      </c>
      <c r="H638" s="14" t="str">
        <f>" 10"</f>
        <v xml:space="preserve"> 10</v>
      </c>
      <c r="I638" s="14">
        <v>0.01</v>
      </c>
      <c r="J638" s="14">
        <v>500</v>
      </c>
      <c r="K638" s="14" t="s">
        <v>410</v>
      </c>
      <c r="L638" s="14" t="s">
        <v>411</v>
      </c>
      <c r="M638" s="14" t="s">
        <v>412</v>
      </c>
      <c r="N638" s="14" t="s">
        <v>413</v>
      </c>
      <c r="P638" s="14" t="s">
        <v>39</v>
      </c>
      <c r="Q638" s="14" t="s">
        <v>25</v>
      </c>
      <c r="R638" s="14" t="s">
        <v>410</v>
      </c>
    </row>
    <row r="639" spans="1:18" s="14" customFormat="1" x14ac:dyDescent="0.25">
      <c r="A639" s="14" t="str">
        <f>"30005"</f>
        <v>30005</v>
      </c>
      <c r="B639" s="14" t="str">
        <f>"06150"</f>
        <v>06150</v>
      </c>
      <c r="C639" s="14" t="str">
        <f>"1700"</f>
        <v>1700</v>
      </c>
      <c r="D639" s="14" t="str">
        <f>"06150A"</f>
        <v>06150A</v>
      </c>
      <c r="E639" s="14" t="s">
        <v>947</v>
      </c>
      <c r="F639" s="14" t="s">
        <v>432</v>
      </c>
      <c r="G639" s="14" t="str">
        <f>""</f>
        <v/>
      </c>
      <c r="H639" s="14" t="str">
        <f>" 10"</f>
        <v xml:space="preserve"> 10</v>
      </c>
      <c r="I639" s="14">
        <v>0.01</v>
      </c>
      <c r="J639" s="14">
        <v>500</v>
      </c>
      <c r="K639" s="14" t="s">
        <v>410</v>
      </c>
      <c r="L639" s="14" t="s">
        <v>411</v>
      </c>
      <c r="M639" s="14" t="s">
        <v>412</v>
      </c>
      <c r="N639" s="14" t="s">
        <v>413</v>
      </c>
      <c r="P639" s="14" t="s">
        <v>39</v>
      </c>
      <c r="Q639" s="14" t="s">
        <v>25</v>
      </c>
      <c r="R639" s="14" t="s">
        <v>410</v>
      </c>
    </row>
    <row r="640" spans="1:18" s="14" customFormat="1" x14ac:dyDescent="0.25">
      <c r="A640" s="14" t="str">
        <f>"30005"</f>
        <v>30005</v>
      </c>
      <c r="B640" s="14" t="str">
        <f>"06151"</f>
        <v>06151</v>
      </c>
      <c r="C640" s="14" t="str">
        <f>"1700"</f>
        <v>1700</v>
      </c>
      <c r="D640" s="14" t="str">
        <f>"06151A"</f>
        <v>06151A</v>
      </c>
      <c r="E640" s="14" t="s">
        <v>947</v>
      </c>
      <c r="F640" s="14" t="s">
        <v>433</v>
      </c>
      <c r="G640" s="14" t="str">
        <f>""</f>
        <v/>
      </c>
      <c r="H640" s="14" t="str">
        <f>" 10"</f>
        <v xml:space="preserve"> 10</v>
      </c>
      <c r="I640" s="14">
        <v>0.01</v>
      </c>
      <c r="J640" s="14">
        <v>500</v>
      </c>
      <c r="K640" s="14" t="s">
        <v>410</v>
      </c>
      <c r="L640" s="14" t="s">
        <v>411</v>
      </c>
      <c r="M640" s="14" t="s">
        <v>412</v>
      </c>
      <c r="N640" s="14" t="s">
        <v>413</v>
      </c>
      <c r="P640" s="14" t="s">
        <v>39</v>
      </c>
      <c r="Q640" s="14" t="s">
        <v>25</v>
      </c>
      <c r="R640" s="14" t="s">
        <v>410</v>
      </c>
    </row>
    <row r="641" spans="1:18" s="14" customFormat="1" x14ac:dyDescent="0.25">
      <c r="A641" s="14" t="str">
        <f>"30005"</f>
        <v>30005</v>
      </c>
      <c r="B641" s="14" t="str">
        <f>"06152"</f>
        <v>06152</v>
      </c>
      <c r="C641" s="14" t="str">
        <f>"1700"</f>
        <v>1700</v>
      </c>
      <c r="D641" s="14" t="str">
        <f>"06152A"</f>
        <v>06152A</v>
      </c>
      <c r="E641" s="14" t="s">
        <v>947</v>
      </c>
      <c r="F641" s="14" t="s">
        <v>434</v>
      </c>
      <c r="G641" s="14" t="str">
        <f>""</f>
        <v/>
      </c>
      <c r="H641" s="14" t="str">
        <f>" 10"</f>
        <v xml:space="preserve"> 10</v>
      </c>
      <c r="I641" s="14">
        <v>0.01</v>
      </c>
      <c r="J641" s="14">
        <v>500</v>
      </c>
      <c r="K641" s="14" t="s">
        <v>410</v>
      </c>
      <c r="L641" s="14" t="s">
        <v>411</v>
      </c>
      <c r="M641" s="14" t="s">
        <v>412</v>
      </c>
      <c r="N641" s="14" t="s">
        <v>413</v>
      </c>
      <c r="P641" s="14" t="s">
        <v>39</v>
      </c>
      <c r="Q641" s="14" t="s">
        <v>25</v>
      </c>
      <c r="R641" s="14" t="s">
        <v>410</v>
      </c>
    </row>
    <row r="642" spans="1:18" s="14" customFormat="1" x14ac:dyDescent="0.25">
      <c r="A642" s="14" t="str">
        <f>"30006"</f>
        <v>30006</v>
      </c>
      <c r="B642" s="14" t="str">
        <f>"06000"</f>
        <v>06000</v>
      </c>
      <c r="C642" s="14" t="str">
        <f>"1700"</f>
        <v>1700</v>
      </c>
      <c r="D642" s="14" t="str">
        <f>"06000D"</f>
        <v>06000D</v>
      </c>
      <c r="E642" s="14" t="s">
        <v>948</v>
      </c>
      <c r="F642" s="14" t="s">
        <v>409</v>
      </c>
      <c r="G642" s="14" t="str">
        <f>""</f>
        <v/>
      </c>
      <c r="H642" s="14" t="str">
        <f>" 10"</f>
        <v xml:space="preserve"> 10</v>
      </c>
      <c r="I642" s="14">
        <v>0.01</v>
      </c>
      <c r="J642" s="14">
        <v>500</v>
      </c>
      <c r="K642" s="14" t="s">
        <v>410</v>
      </c>
      <c r="L642" s="14" t="s">
        <v>411</v>
      </c>
      <c r="M642" s="14" t="s">
        <v>412</v>
      </c>
      <c r="N642" s="14" t="s">
        <v>413</v>
      </c>
      <c r="P642" s="14" t="s">
        <v>39</v>
      </c>
      <c r="Q642" s="14" t="s">
        <v>25</v>
      </c>
      <c r="R642" s="14" t="s">
        <v>410</v>
      </c>
    </row>
    <row r="643" spans="1:18" s="14" customFormat="1" x14ac:dyDescent="0.25">
      <c r="A643" s="14" t="str">
        <f>"30006"</f>
        <v>30006</v>
      </c>
      <c r="B643" s="14" t="str">
        <f>"06030"</f>
        <v>06030</v>
      </c>
      <c r="C643" s="14" t="str">
        <f>"1700"</f>
        <v>1700</v>
      </c>
      <c r="D643" s="14" t="str">
        <f>"06030D"</f>
        <v>06030D</v>
      </c>
      <c r="E643" s="14" t="s">
        <v>948</v>
      </c>
      <c r="F643" s="14" t="s">
        <v>420</v>
      </c>
      <c r="G643" s="14" t="str">
        <f>""</f>
        <v/>
      </c>
      <c r="H643" s="14" t="str">
        <f>" 10"</f>
        <v xml:space="preserve"> 10</v>
      </c>
      <c r="I643" s="14">
        <v>0.01</v>
      </c>
      <c r="J643" s="14">
        <v>500</v>
      </c>
      <c r="K643" s="14" t="s">
        <v>410</v>
      </c>
      <c r="L643" s="14" t="s">
        <v>411</v>
      </c>
      <c r="M643" s="14" t="s">
        <v>412</v>
      </c>
      <c r="N643" s="14" t="s">
        <v>413</v>
      </c>
      <c r="P643" s="14" t="s">
        <v>39</v>
      </c>
      <c r="Q643" s="14" t="s">
        <v>25</v>
      </c>
      <c r="R643" s="14" t="s">
        <v>410</v>
      </c>
    </row>
    <row r="644" spans="1:18" s="14" customFormat="1" x14ac:dyDescent="0.25">
      <c r="A644" s="14" t="str">
        <f>"30006"</f>
        <v>30006</v>
      </c>
      <c r="B644" s="14" t="str">
        <f>"06040"</f>
        <v>06040</v>
      </c>
      <c r="C644" s="14" t="str">
        <f>"1700"</f>
        <v>1700</v>
      </c>
      <c r="D644" s="14" t="str">
        <f>"06040D"</f>
        <v>06040D</v>
      </c>
      <c r="E644" s="14" t="s">
        <v>948</v>
      </c>
      <c r="F644" s="14" t="s">
        <v>421</v>
      </c>
      <c r="G644" s="14" t="str">
        <f>""</f>
        <v/>
      </c>
      <c r="H644" s="14" t="str">
        <f>" 10"</f>
        <v xml:space="preserve"> 10</v>
      </c>
      <c r="I644" s="14">
        <v>0.01</v>
      </c>
      <c r="J644" s="14">
        <v>500</v>
      </c>
      <c r="K644" s="14" t="s">
        <v>410</v>
      </c>
      <c r="L644" s="14" t="s">
        <v>411</v>
      </c>
      <c r="M644" s="14" t="s">
        <v>412</v>
      </c>
      <c r="N644" s="14" t="s">
        <v>413</v>
      </c>
      <c r="P644" s="14" t="s">
        <v>39</v>
      </c>
      <c r="Q644" s="14" t="s">
        <v>25</v>
      </c>
      <c r="R644" s="14" t="s">
        <v>410</v>
      </c>
    </row>
    <row r="645" spans="1:18" s="14" customFormat="1" x14ac:dyDescent="0.25">
      <c r="A645" s="14" t="str">
        <f>"30006"</f>
        <v>30006</v>
      </c>
      <c r="B645" s="14" t="str">
        <f>"06050"</f>
        <v>06050</v>
      </c>
      <c r="C645" s="14" t="str">
        <f>"1700"</f>
        <v>1700</v>
      </c>
      <c r="D645" s="14" t="str">
        <f>"06050D"</f>
        <v>06050D</v>
      </c>
      <c r="E645" s="14" t="s">
        <v>948</v>
      </c>
      <c r="F645" s="14" t="s">
        <v>422</v>
      </c>
      <c r="G645" s="14" t="str">
        <f>""</f>
        <v/>
      </c>
      <c r="H645" s="14" t="str">
        <f>" 10"</f>
        <v xml:space="preserve"> 10</v>
      </c>
      <c r="I645" s="14">
        <v>0.01</v>
      </c>
      <c r="J645" s="14">
        <v>500</v>
      </c>
      <c r="K645" s="14" t="s">
        <v>410</v>
      </c>
      <c r="L645" s="14" t="s">
        <v>411</v>
      </c>
      <c r="M645" s="14" t="s">
        <v>412</v>
      </c>
      <c r="N645" s="14" t="s">
        <v>413</v>
      </c>
      <c r="P645" s="14" t="s">
        <v>39</v>
      </c>
      <c r="Q645" s="14" t="s">
        <v>25</v>
      </c>
      <c r="R645" s="14" t="s">
        <v>410</v>
      </c>
    </row>
    <row r="646" spans="1:18" s="14" customFormat="1" x14ac:dyDescent="0.25">
      <c r="A646" s="14" t="str">
        <f>"30006"</f>
        <v>30006</v>
      </c>
      <c r="B646" s="14" t="str">
        <f>"06060"</f>
        <v>06060</v>
      </c>
      <c r="C646" s="14" t="str">
        <f>"1700"</f>
        <v>1700</v>
      </c>
      <c r="D646" s="14" t="str">
        <f>"06060D"</f>
        <v>06060D</v>
      </c>
      <c r="E646" s="14" t="s">
        <v>948</v>
      </c>
      <c r="F646" s="14" t="s">
        <v>423</v>
      </c>
      <c r="G646" s="14" t="str">
        <f>""</f>
        <v/>
      </c>
      <c r="H646" s="14" t="str">
        <f>" 10"</f>
        <v xml:space="preserve"> 10</v>
      </c>
      <c r="I646" s="14">
        <v>0.01</v>
      </c>
      <c r="J646" s="14">
        <v>500</v>
      </c>
      <c r="K646" s="14" t="s">
        <v>410</v>
      </c>
      <c r="L646" s="14" t="s">
        <v>411</v>
      </c>
      <c r="M646" s="14" t="s">
        <v>412</v>
      </c>
      <c r="N646" s="14" t="s">
        <v>413</v>
      </c>
      <c r="P646" s="14" t="s">
        <v>39</v>
      </c>
      <c r="Q646" s="14" t="s">
        <v>25</v>
      </c>
      <c r="R646" s="14" t="s">
        <v>410</v>
      </c>
    </row>
    <row r="647" spans="1:18" s="14" customFormat="1" x14ac:dyDescent="0.25">
      <c r="A647" s="14" t="str">
        <f>"30006"</f>
        <v>30006</v>
      </c>
      <c r="B647" s="14" t="str">
        <f>"06070"</f>
        <v>06070</v>
      </c>
      <c r="C647" s="14" t="str">
        <f>"1700"</f>
        <v>1700</v>
      </c>
      <c r="D647" s="14" t="str">
        <f>"06070D"</f>
        <v>06070D</v>
      </c>
      <c r="E647" s="14" t="s">
        <v>948</v>
      </c>
      <c r="F647" s="14" t="s">
        <v>424</v>
      </c>
      <c r="G647" s="14" t="str">
        <f>""</f>
        <v/>
      </c>
      <c r="H647" s="14" t="str">
        <f>" 10"</f>
        <v xml:space="preserve"> 10</v>
      </c>
      <c r="I647" s="14">
        <v>0.01</v>
      </c>
      <c r="J647" s="14">
        <v>500</v>
      </c>
      <c r="K647" s="14" t="s">
        <v>410</v>
      </c>
      <c r="L647" s="14" t="s">
        <v>411</v>
      </c>
      <c r="M647" s="14" t="s">
        <v>412</v>
      </c>
      <c r="N647" s="14" t="s">
        <v>413</v>
      </c>
      <c r="P647" s="14" t="s">
        <v>39</v>
      </c>
      <c r="Q647" s="14" t="s">
        <v>25</v>
      </c>
      <c r="R647" s="14" t="s">
        <v>410</v>
      </c>
    </row>
    <row r="648" spans="1:18" s="14" customFormat="1" x14ac:dyDescent="0.25">
      <c r="A648" s="14" t="str">
        <f>"30006"</f>
        <v>30006</v>
      </c>
      <c r="B648" s="14" t="str">
        <f>"06080"</f>
        <v>06080</v>
      </c>
      <c r="C648" s="14" t="str">
        <f>"1700"</f>
        <v>1700</v>
      </c>
      <c r="D648" s="14" t="str">
        <f>"06080D"</f>
        <v>06080D</v>
      </c>
      <c r="E648" s="14" t="s">
        <v>948</v>
      </c>
      <c r="F648" s="14" t="s">
        <v>425</v>
      </c>
      <c r="G648" s="14" t="str">
        <f>""</f>
        <v/>
      </c>
      <c r="H648" s="14" t="str">
        <f>" 10"</f>
        <v xml:space="preserve"> 10</v>
      </c>
      <c r="I648" s="14">
        <v>0.01</v>
      </c>
      <c r="J648" s="14">
        <v>500</v>
      </c>
      <c r="K648" s="14" t="s">
        <v>410</v>
      </c>
      <c r="L648" s="14" t="s">
        <v>411</v>
      </c>
      <c r="M648" s="14" t="s">
        <v>412</v>
      </c>
      <c r="N648" s="14" t="s">
        <v>413</v>
      </c>
      <c r="P648" s="14" t="s">
        <v>39</v>
      </c>
      <c r="Q648" s="14" t="s">
        <v>25</v>
      </c>
      <c r="R648" s="14" t="s">
        <v>410</v>
      </c>
    </row>
    <row r="649" spans="1:18" s="14" customFormat="1" x14ac:dyDescent="0.25">
      <c r="A649" s="14" t="str">
        <f>"30006"</f>
        <v>30006</v>
      </c>
      <c r="B649" s="14" t="str">
        <f>"06090"</f>
        <v>06090</v>
      </c>
      <c r="C649" s="14" t="str">
        <f>"1700"</f>
        <v>1700</v>
      </c>
      <c r="D649" s="14" t="str">
        <f>"06090D"</f>
        <v>06090D</v>
      </c>
      <c r="E649" s="14" t="s">
        <v>948</v>
      </c>
      <c r="F649" s="14" t="s">
        <v>426</v>
      </c>
      <c r="G649" s="14" t="str">
        <f>""</f>
        <v/>
      </c>
      <c r="H649" s="14" t="str">
        <f>" 10"</f>
        <v xml:space="preserve"> 10</v>
      </c>
      <c r="I649" s="14">
        <v>0.01</v>
      </c>
      <c r="J649" s="14">
        <v>500</v>
      </c>
      <c r="K649" s="14" t="s">
        <v>410</v>
      </c>
      <c r="L649" s="14" t="s">
        <v>411</v>
      </c>
      <c r="M649" s="14" t="s">
        <v>412</v>
      </c>
      <c r="N649" s="14" t="s">
        <v>413</v>
      </c>
      <c r="P649" s="14" t="s">
        <v>39</v>
      </c>
      <c r="Q649" s="14" t="s">
        <v>25</v>
      </c>
      <c r="R649" s="14" t="s">
        <v>410</v>
      </c>
    </row>
    <row r="650" spans="1:18" s="14" customFormat="1" x14ac:dyDescent="0.25">
      <c r="A650" s="14" t="str">
        <f>"30006"</f>
        <v>30006</v>
      </c>
      <c r="B650" s="14" t="str">
        <f>"06100"</f>
        <v>06100</v>
      </c>
      <c r="C650" s="14" t="str">
        <f>"1700"</f>
        <v>1700</v>
      </c>
      <c r="D650" s="14" t="str">
        <f>"06100D"</f>
        <v>06100D</v>
      </c>
      <c r="E650" s="14" t="s">
        <v>948</v>
      </c>
      <c r="F650" s="14" t="s">
        <v>427</v>
      </c>
      <c r="G650" s="14" t="str">
        <f>""</f>
        <v/>
      </c>
      <c r="H650" s="14" t="str">
        <f>" 10"</f>
        <v xml:space="preserve"> 10</v>
      </c>
      <c r="I650" s="14">
        <v>0.01</v>
      </c>
      <c r="J650" s="14">
        <v>500</v>
      </c>
      <c r="K650" s="14" t="s">
        <v>410</v>
      </c>
      <c r="L650" s="14" t="s">
        <v>411</v>
      </c>
      <c r="M650" s="14" t="s">
        <v>412</v>
      </c>
      <c r="N650" s="14" t="s">
        <v>413</v>
      </c>
      <c r="P650" s="14" t="s">
        <v>39</v>
      </c>
      <c r="Q650" s="14" t="s">
        <v>25</v>
      </c>
      <c r="R650" s="14" t="s">
        <v>410</v>
      </c>
    </row>
    <row r="651" spans="1:18" s="14" customFormat="1" x14ac:dyDescent="0.25">
      <c r="A651" s="14" t="str">
        <f>"30006"</f>
        <v>30006</v>
      </c>
      <c r="B651" s="14" t="str">
        <f>"06110"</f>
        <v>06110</v>
      </c>
      <c r="C651" s="14" t="str">
        <f>"1700"</f>
        <v>1700</v>
      </c>
      <c r="D651" s="14" t="str">
        <f>"06110D"</f>
        <v>06110D</v>
      </c>
      <c r="E651" s="14" t="s">
        <v>948</v>
      </c>
      <c r="F651" s="14" t="s">
        <v>428</v>
      </c>
      <c r="G651" s="14" t="str">
        <f>""</f>
        <v/>
      </c>
      <c r="H651" s="14" t="str">
        <f>" 10"</f>
        <v xml:space="preserve"> 10</v>
      </c>
      <c r="I651" s="14">
        <v>0.01</v>
      </c>
      <c r="J651" s="14">
        <v>500</v>
      </c>
      <c r="K651" s="14" t="s">
        <v>410</v>
      </c>
      <c r="L651" s="14" t="s">
        <v>411</v>
      </c>
      <c r="M651" s="14" t="s">
        <v>412</v>
      </c>
      <c r="N651" s="14" t="s">
        <v>413</v>
      </c>
      <c r="P651" s="14" t="s">
        <v>39</v>
      </c>
      <c r="Q651" s="14" t="s">
        <v>25</v>
      </c>
      <c r="R651" s="14" t="s">
        <v>410</v>
      </c>
    </row>
    <row r="652" spans="1:18" s="14" customFormat="1" x14ac:dyDescent="0.25">
      <c r="A652" s="14" t="str">
        <f>"30006"</f>
        <v>30006</v>
      </c>
      <c r="B652" s="14" t="str">
        <f>"06120"</f>
        <v>06120</v>
      </c>
      <c r="C652" s="14" t="str">
        <f>"1700"</f>
        <v>1700</v>
      </c>
      <c r="D652" s="14" t="str">
        <f>"06120D"</f>
        <v>06120D</v>
      </c>
      <c r="E652" s="14" t="s">
        <v>948</v>
      </c>
      <c r="F652" s="14" t="s">
        <v>429</v>
      </c>
      <c r="G652" s="14" t="str">
        <f>""</f>
        <v/>
      </c>
      <c r="H652" s="14" t="str">
        <f>" 10"</f>
        <v xml:space="preserve"> 10</v>
      </c>
      <c r="I652" s="14">
        <v>0.01</v>
      </c>
      <c r="J652" s="14">
        <v>500</v>
      </c>
      <c r="K652" s="14" t="s">
        <v>410</v>
      </c>
      <c r="L652" s="14" t="s">
        <v>411</v>
      </c>
      <c r="M652" s="14" t="s">
        <v>412</v>
      </c>
      <c r="N652" s="14" t="s">
        <v>413</v>
      </c>
      <c r="P652" s="14" t="s">
        <v>39</v>
      </c>
      <c r="Q652" s="14" t="s">
        <v>25</v>
      </c>
      <c r="R652" s="14" t="s">
        <v>410</v>
      </c>
    </row>
    <row r="653" spans="1:18" s="14" customFormat="1" x14ac:dyDescent="0.25">
      <c r="A653" s="14" t="str">
        <f>"30006"</f>
        <v>30006</v>
      </c>
      <c r="B653" s="14" t="str">
        <f>"06130"</f>
        <v>06130</v>
      </c>
      <c r="C653" s="14" t="str">
        <f>"1700"</f>
        <v>1700</v>
      </c>
      <c r="D653" s="14" t="str">
        <f>"06130D"</f>
        <v>06130D</v>
      </c>
      <c r="E653" s="14" t="s">
        <v>948</v>
      </c>
      <c r="F653" s="14" t="s">
        <v>430</v>
      </c>
      <c r="G653" s="14" t="str">
        <f>""</f>
        <v/>
      </c>
      <c r="H653" s="14" t="str">
        <f>" 10"</f>
        <v xml:space="preserve"> 10</v>
      </c>
      <c r="I653" s="14">
        <v>0.01</v>
      </c>
      <c r="J653" s="14">
        <v>500</v>
      </c>
      <c r="K653" s="14" t="s">
        <v>410</v>
      </c>
      <c r="L653" s="14" t="s">
        <v>411</v>
      </c>
      <c r="M653" s="14" t="s">
        <v>412</v>
      </c>
      <c r="N653" s="14" t="s">
        <v>413</v>
      </c>
      <c r="P653" s="14" t="s">
        <v>39</v>
      </c>
      <c r="Q653" s="14" t="s">
        <v>25</v>
      </c>
      <c r="R653" s="14" t="s">
        <v>410</v>
      </c>
    </row>
    <row r="654" spans="1:18" s="14" customFormat="1" x14ac:dyDescent="0.25">
      <c r="A654" s="14" t="str">
        <f>"30006"</f>
        <v>30006</v>
      </c>
      <c r="B654" s="14" t="str">
        <f>"06140"</f>
        <v>06140</v>
      </c>
      <c r="C654" s="14" t="str">
        <f>"1700"</f>
        <v>1700</v>
      </c>
      <c r="D654" s="14" t="str">
        <f>"06140D"</f>
        <v>06140D</v>
      </c>
      <c r="E654" s="14" t="s">
        <v>948</v>
      </c>
      <c r="F654" s="14" t="s">
        <v>431</v>
      </c>
      <c r="G654" s="14" t="str">
        <f>""</f>
        <v/>
      </c>
      <c r="H654" s="14" t="str">
        <f>" 10"</f>
        <v xml:space="preserve"> 10</v>
      </c>
      <c r="I654" s="14">
        <v>0.01</v>
      </c>
      <c r="J654" s="14">
        <v>500</v>
      </c>
      <c r="K654" s="14" t="s">
        <v>410</v>
      </c>
      <c r="L654" s="14" t="s">
        <v>411</v>
      </c>
      <c r="M654" s="14" t="s">
        <v>412</v>
      </c>
      <c r="N654" s="14" t="s">
        <v>413</v>
      </c>
      <c r="P654" s="14" t="s">
        <v>39</v>
      </c>
      <c r="Q654" s="14" t="s">
        <v>25</v>
      </c>
      <c r="R654" s="14" t="s">
        <v>410</v>
      </c>
    </row>
    <row r="655" spans="1:18" s="14" customFormat="1" x14ac:dyDescent="0.25">
      <c r="A655" s="14" t="str">
        <f>"30006"</f>
        <v>30006</v>
      </c>
      <c r="B655" s="14" t="str">
        <f>"06150"</f>
        <v>06150</v>
      </c>
      <c r="C655" s="14" t="str">
        <f>"1700"</f>
        <v>1700</v>
      </c>
      <c r="D655" s="14" t="str">
        <f>"06150D"</f>
        <v>06150D</v>
      </c>
      <c r="E655" s="14" t="s">
        <v>948</v>
      </c>
      <c r="F655" s="14" t="s">
        <v>432</v>
      </c>
      <c r="G655" s="14" t="str">
        <f>""</f>
        <v/>
      </c>
      <c r="H655" s="14" t="str">
        <f>" 10"</f>
        <v xml:space="preserve"> 10</v>
      </c>
      <c r="I655" s="14">
        <v>0.01</v>
      </c>
      <c r="J655" s="14">
        <v>500</v>
      </c>
      <c r="K655" s="14" t="s">
        <v>410</v>
      </c>
      <c r="L655" s="14" t="s">
        <v>411</v>
      </c>
      <c r="M655" s="14" t="s">
        <v>412</v>
      </c>
      <c r="N655" s="14" t="s">
        <v>413</v>
      </c>
      <c r="P655" s="14" t="s">
        <v>39</v>
      </c>
      <c r="Q655" s="14" t="s">
        <v>25</v>
      </c>
      <c r="R655" s="14" t="s">
        <v>410</v>
      </c>
    </row>
    <row r="656" spans="1:18" s="14" customFormat="1" x14ac:dyDescent="0.25">
      <c r="A656" s="14" t="str">
        <f>"30006"</f>
        <v>30006</v>
      </c>
      <c r="B656" s="14" t="str">
        <f>"06151"</f>
        <v>06151</v>
      </c>
      <c r="C656" s="14" t="str">
        <f>"1700"</f>
        <v>1700</v>
      </c>
      <c r="D656" s="14" t="str">
        <f>"06151D"</f>
        <v>06151D</v>
      </c>
      <c r="E656" s="14" t="s">
        <v>948</v>
      </c>
      <c r="F656" s="14" t="s">
        <v>433</v>
      </c>
      <c r="G656" s="14" t="str">
        <f>""</f>
        <v/>
      </c>
      <c r="H656" s="14" t="str">
        <f>" 10"</f>
        <v xml:space="preserve"> 10</v>
      </c>
      <c r="I656" s="14">
        <v>0.01</v>
      </c>
      <c r="J656" s="14">
        <v>500</v>
      </c>
      <c r="K656" s="14" t="s">
        <v>410</v>
      </c>
      <c r="L656" s="14" t="s">
        <v>411</v>
      </c>
      <c r="M656" s="14" t="s">
        <v>412</v>
      </c>
      <c r="N656" s="14" t="s">
        <v>413</v>
      </c>
      <c r="P656" s="14" t="s">
        <v>39</v>
      </c>
      <c r="Q656" s="14" t="s">
        <v>25</v>
      </c>
      <c r="R656" s="14" t="s">
        <v>410</v>
      </c>
    </row>
    <row r="657" spans="1:18" s="14" customFormat="1" x14ac:dyDescent="0.25">
      <c r="A657" s="14" t="str">
        <f>"30006"</f>
        <v>30006</v>
      </c>
      <c r="B657" s="14" t="str">
        <f>"06152"</f>
        <v>06152</v>
      </c>
      <c r="C657" s="14" t="str">
        <f>"1700"</f>
        <v>1700</v>
      </c>
      <c r="D657" s="14" t="str">
        <f>"06152D"</f>
        <v>06152D</v>
      </c>
      <c r="E657" s="14" t="s">
        <v>948</v>
      </c>
      <c r="F657" s="14" t="s">
        <v>434</v>
      </c>
      <c r="G657" s="14" t="str">
        <f>""</f>
        <v/>
      </c>
      <c r="H657" s="14" t="str">
        <f>" 10"</f>
        <v xml:space="preserve"> 10</v>
      </c>
      <c r="I657" s="14">
        <v>0.01</v>
      </c>
      <c r="J657" s="14">
        <v>500</v>
      </c>
      <c r="K657" s="14" t="s">
        <v>410</v>
      </c>
      <c r="L657" s="14" t="s">
        <v>411</v>
      </c>
      <c r="M657" s="14" t="s">
        <v>412</v>
      </c>
      <c r="N657" s="14" t="s">
        <v>413</v>
      </c>
      <c r="P657" s="14" t="s">
        <v>39</v>
      </c>
      <c r="Q657" s="14" t="s">
        <v>25</v>
      </c>
      <c r="R657" s="14" t="s">
        <v>410</v>
      </c>
    </row>
    <row r="658" spans="1:18" s="14" customFormat="1" x14ac:dyDescent="0.25">
      <c r="A658" s="14" t="str">
        <f>"30015"</f>
        <v>30015</v>
      </c>
      <c r="B658" s="14" t="str">
        <f>"06000"</f>
        <v>06000</v>
      </c>
      <c r="C658" s="14" t="str">
        <f>"1800"</f>
        <v>1800</v>
      </c>
      <c r="D658" s="14" t="str">
        <f>"06000C"</f>
        <v>06000C</v>
      </c>
      <c r="E658" s="14" t="s">
        <v>950</v>
      </c>
      <c r="F658" s="14" t="s">
        <v>409</v>
      </c>
      <c r="G658" s="14" t="str">
        <f>""</f>
        <v/>
      </c>
      <c r="H658" s="14" t="str">
        <f>" 10"</f>
        <v xml:space="preserve"> 10</v>
      </c>
      <c r="I658" s="14">
        <v>0.01</v>
      </c>
      <c r="J658" s="14">
        <v>500</v>
      </c>
      <c r="K658" s="14" t="s">
        <v>410</v>
      </c>
      <c r="L658" s="14" t="s">
        <v>411</v>
      </c>
      <c r="M658" s="14" t="s">
        <v>412</v>
      </c>
      <c r="N658" s="14" t="s">
        <v>413</v>
      </c>
      <c r="P658" s="14" t="s">
        <v>39</v>
      </c>
      <c r="Q658" s="14" t="s">
        <v>25</v>
      </c>
      <c r="R658" s="14" t="s">
        <v>410</v>
      </c>
    </row>
    <row r="659" spans="1:18" s="14" customFormat="1" x14ac:dyDescent="0.25">
      <c r="A659" s="14" t="str">
        <f>"30015"</f>
        <v>30015</v>
      </c>
      <c r="B659" s="14" t="str">
        <f>"06010"</f>
        <v>06010</v>
      </c>
      <c r="C659" s="14" t="str">
        <f>"1800"</f>
        <v>1800</v>
      </c>
      <c r="D659" s="14" t="str">
        <f>"06010B"</f>
        <v>06010B</v>
      </c>
      <c r="E659" s="14" t="s">
        <v>950</v>
      </c>
      <c r="F659" s="14" t="s">
        <v>416</v>
      </c>
      <c r="G659" s="14" t="str">
        <f>""</f>
        <v/>
      </c>
      <c r="H659" s="14" t="str">
        <f>" 10"</f>
        <v xml:space="preserve"> 10</v>
      </c>
      <c r="I659" s="14">
        <v>0.01</v>
      </c>
      <c r="J659" s="14">
        <v>500</v>
      </c>
      <c r="K659" s="14" t="s">
        <v>410</v>
      </c>
      <c r="L659" s="14" t="s">
        <v>411</v>
      </c>
      <c r="M659" s="14" t="s">
        <v>412</v>
      </c>
      <c r="N659" s="14" t="s">
        <v>413</v>
      </c>
      <c r="P659" s="14" t="s">
        <v>39</v>
      </c>
      <c r="Q659" s="14" t="s">
        <v>25</v>
      </c>
      <c r="R659" s="14" t="s">
        <v>410</v>
      </c>
    </row>
    <row r="660" spans="1:18" s="14" customFormat="1" x14ac:dyDescent="0.25">
      <c r="A660" s="14" t="str">
        <f>"30015"</f>
        <v>30015</v>
      </c>
      <c r="B660" s="14" t="str">
        <f>"06030"</f>
        <v>06030</v>
      </c>
      <c r="C660" s="14" t="str">
        <f>"1800"</f>
        <v>1800</v>
      </c>
      <c r="D660" s="14" t="str">
        <f>"06030B"</f>
        <v>06030B</v>
      </c>
      <c r="E660" s="14" t="s">
        <v>950</v>
      </c>
      <c r="F660" s="14" t="s">
        <v>420</v>
      </c>
      <c r="G660" s="14" t="str">
        <f>""</f>
        <v/>
      </c>
      <c r="H660" s="14" t="str">
        <f>" 10"</f>
        <v xml:space="preserve"> 10</v>
      </c>
      <c r="I660" s="14">
        <v>0.01</v>
      </c>
      <c r="J660" s="14">
        <v>500</v>
      </c>
      <c r="K660" s="14" t="s">
        <v>410</v>
      </c>
      <c r="L660" s="14" t="s">
        <v>411</v>
      </c>
      <c r="M660" s="14" t="s">
        <v>412</v>
      </c>
      <c r="N660" s="14" t="s">
        <v>413</v>
      </c>
      <c r="P660" s="14" t="s">
        <v>39</v>
      </c>
      <c r="Q660" s="14" t="s">
        <v>25</v>
      </c>
      <c r="R660" s="14" t="s">
        <v>410</v>
      </c>
    </row>
    <row r="661" spans="1:18" s="14" customFormat="1" x14ac:dyDescent="0.25">
      <c r="A661" s="14" t="str">
        <f>"30015"</f>
        <v>30015</v>
      </c>
      <c r="B661" s="14" t="str">
        <f>"06040"</f>
        <v>06040</v>
      </c>
      <c r="C661" s="14" t="str">
        <f>"1800"</f>
        <v>1800</v>
      </c>
      <c r="D661" s="14" t="str">
        <f>"06040B"</f>
        <v>06040B</v>
      </c>
      <c r="E661" s="14" t="s">
        <v>950</v>
      </c>
      <c r="F661" s="14" t="s">
        <v>421</v>
      </c>
      <c r="G661" s="14" t="str">
        <f>""</f>
        <v/>
      </c>
      <c r="H661" s="14" t="str">
        <f>" 10"</f>
        <v xml:space="preserve"> 10</v>
      </c>
      <c r="I661" s="14">
        <v>0.01</v>
      </c>
      <c r="J661" s="14">
        <v>500</v>
      </c>
      <c r="K661" s="14" t="s">
        <v>410</v>
      </c>
      <c r="L661" s="14" t="s">
        <v>411</v>
      </c>
      <c r="M661" s="14" t="s">
        <v>412</v>
      </c>
      <c r="N661" s="14" t="s">
        <v>413</v>
      </c>
      <c r="P661" s="14" t="s">
        <v>39</v>
      </c>
      <c r="Q661" s="14" t="s">
        <v>25</v>
      </c>
      <c r="R661" s="14" t="s">
        <v>410</v>
      </c>
    </row>
    <row r="662" spans="1:18" s="14" customFormat="1" x14ac:dyDescent="0.25">
      <c r="A662" s="14" t="str">
        <f>"30015"</f>
        <v>30015</v>
      </c>
      <c r="B662" s="14" t="str">
        <f>"06050"</f>
        <v>06050</v>
      </c>
      <c r="C662" s="14" t="str">
        <f>"1800"</f>
        <v>1800</v>
      </c>
      <c r="D662" s="14" t="str">
        <f>"06050B"</f>
        <v>06050B</v>
      </c>
      <c r="E662" s="14" t="s">
        <v>950</v>
      </c>
      <c r="F662" s="14" t="s">
        <v>422</v>
      </c>
      <c r="G662" s="14" t="str">
        <f>""</f>
        <v/>
      </c>
      <c r="H662" s="14" t="str">
        <f>" 10"</f>
        <v xml:space="preserve"> 10</v>
      </c>
      <c r="I662" s="14">
        <v>0.01</v>
      </c>
      <c r="J662" s="14">
        <v>500</v>
      </c>
      <c r="K662" s="14" t="s">
        <v>410</v>
      </c>
      <c r="L662" s="14" t="s">
        <v>411</v>
      </c>
      <c r="M662" s="14" t="s">
        <v>412</v>
      </c>
      <c r="N662" s="14" t="s">
        <v>413</v>
      </c>
      <c r="P662" s="14" t="s">
        <v>39</v>
      </c>
      <c r="Q662" s="14" t="s">
        <v>25</v>
      </c>
      <c r="R662" s="14" t="s">
        <v>410</v>
      </c>
    </row>
    <row r="663" spans="1:18" s="14" customFormat="1" x14ac:dyDescent="0.25">
      <c r="A663" s="14" t="str">
        <f>"30015"</f>
        <v>30015</v>
      </c>
      <c r="B663" s="14" t="str">
        <f>"06060"</f>
        <v>06060</v>
      </c>
      <c r="C663" s="14" t="str">
        <f>"1800"</f>
        <v>1800</v>
      </c>
      <c r="D663" s="14" t="str">
        <f>"06060B"</f>
        <v>06060B</v>
      </c>
      <c r="E663" s="14" t="s">
        <v>950</v>
      </c>
      <c r="F663" s="14" t="s">
        <v>423</v>
      </c>
      <c r="G663" s="14" t="str">
        <f>""</f>
        <v/>
      </c>
      <c r="H663" s="14" t="str">
        <f>" 10"</f>
        <v xml:space="preserve"> 10</v>
      </c>
      <c r="I663" s="14">
        <v>0.01</v>
      </c>
      <c r="J663" s="14">
        <v>500</v>
      </c>
      <c r="K663" s="14" t="s">
        <v>410</v>
      </c>
      <c r="L663" s="14" t="s">
        <v>411</v>
      </c>
      <c r="M663" s="14" t="s">
        <v>412</v>
      </c>
      <c r="N663" s="14" t="s">
        <v>413</v>
      </c>
      <c r="P663" s="14" t="s">
        <v>39</v>
      </c>
      <c r="Q663" s="14" t="s">
        <v>25</v>
      </c>
      <c r="R663" s="14" t="s">
        <v>410</v>
      </c>
    </row>
    <row r="664" spans="1:18" s="14" customFormat="1" x14ac:dyDescent="0.25">
      <c r="A664" s="14" t="str">
        <f>"30015"</f>
        <v>30015</v>
      </c>
      <c r="B664" s="14" t="str">
        <f>"06070"</f>
        <v>06070</v>
      </c>
      <c r="C664" s="14" t="str">
        <f>"1800"</f>
        <v>1800</v>
      </c>
      <c r="D664" s="14" t="str">
        <f>"06070B"</f>
        <v>06070B</v>
      </c>
      <c r="E664" s="14" t="s">
        <v>950</v>
      </c>
      <c r="F664" s="14" t="s">
        <v>424</v>
      </c>
      <c r="G664" s="14" t="str">
        <f>""</f>
        <v/>
      </c>
      <c r="H664" s="14" t="str">
        <f>" 10"</f>
        <v xml:space="preserve"> 10</v>
      </c>
      <c r="I664" s="14">
        <v>0.01</v>
      </c>
      <c r="J664" s="14">
        <v>500</v>
      </c>
      <c r="K664" s="14" t="s">
        <v>410</v>
      </c>
      <c r="L664" s="14" t="s">
        <v>411</v>
      </c>
      <c r="M664" s="14" t="s">
        <v>412</v>
      </c>
      <c r="N664" s="14" t="s">
        <v>413</v>
      </c>
      <c r="P664" s="14" t="s">
        <v>39</v>
      </c>
      <c r="Q664" s="14" t="s">
        <v>25</v>
      </c>
      <c r="R664" s="14" t="s">
        <v>410</v>
      </c>
    </row>
    <row r="665" spans="1:18" s="14" customFormat="1" x14ac:dyDescent="0.25">
      <c r="A665" s="14" t="str">
        <f>"30015"</f>
        <v>30015</v>
      </c>
      <c r="B665" s="14" t="str">
        <f>"06080"</f>
        <v>06080</v>
      </c>
      <c r="C665" s="14" t="str">
        <f>"1800"</f>
        <v>1800</v>
      </c>
      <c r="D665" s="14" t="str">
        <f>"06080B"</f>
        <v>06080B</v>
      </c>
      <c r="E665" s="14" t="s">
        <v>950</v>
      </c>
      <c r="F665" s="14" t="s">
        <v>425</v>
      </c>
      <c r="G665" s="14" t="str">
        <f>""</f>
        <v/>
      </c>
      <c r="H665" s="14" t="str">
        <f>" 10"</f>
        <v xml:space="preserve"> 10</v>
      </c>
      <c r="I665" s="14">
        <v>0.01</v>
      </c>
      <c r="J665" s="14">
        <v>500</v>
      </c>
      <c r="K665" s="14" t="s">
        <v>410</v>
      </c>
      <c r="L665" s="14" t="s">
        <v>411</v>
      </c>
      <c r="M665" s="14" t="s">
        <v>412</v>
      </c>
      <c r="N665" s="14" t="s">
        <v>413</v>
      </c>
      <c r="P665" s="14" t="s">
        <v>39</v>
      </c>
      <c r="Q665" s="14" t="s">
        <v>25</v>
      </c>
      <c r="R665" s="14" t="s">
        <v>410</v>
      </c>
    </row>
    <row r="666" spans="1:18" s="14" customFormat="1" x14ac:dyDescent="0.25">
      <c r="A666" s="14" t="str">
        <f>"30015"</f>
        <v>30015</v>
      </c>
      <c r="B666" s="14" t="str">
        <f>"06090"</f>
        <v>06090</v>
      </c>
      <c r="C666" s="14" t="str">
        <f>"1800"</f>
        <v>1800</v>
      </c>
      <c r="D666" s="14" t="str">
        <f>"06090B"</f>
        <v>06090B</v>
      </c>
      <c r="E666" s="14" t="s">
        <v>950</v>
      </c>
      <c r="F666" s="14" t="s">
        <v>426</v>
      </c>
      <c r="G666" s="14" t="str">
        <f>""</f>
        <v/>
      </c>
      <c r="H666" s="14" t="str">
        <f>" 10"</f>
        <v xml:space="preserve"> 10</v>
      </c>
      <c r="I666" s="14">
        <v>0.01</v>
      </c>
      <c r="J666" s="14">
        <v>500</v>
      </c>
      <c r="K666" s="14" t="s">
        <v>410</v>
      </c>
      <c r="L666" s="14" t="s">
        <v>411</v>
      </c>
      <c r="M666" s="14" t="s">
        <v>412</v>
      </c>
      <c r="N666" s="14" t="s">
        <v>413</v>
      </c>
      <c r="P666" s="14" t="s">
        <v>39</v>
      </c>
      <c r="Q666" s="14" t="s">
        <v>25</v>
      </c>
      <c r="R666" s="14" t="s">
        <v>410</v>
      </c>
    </row>
    <row r="667" spans="1:18" s="14" customFormat="1" x14ac:dyDescent="0.25">
      <c r="A667" s="14" t="str">
        <f>"30015"</f>
        <v>30015</v>
      </c>
      <c r="B667" s="14" t="str">
        <f>"06100"</f>
        <v>06100</v>
      </c>
      <c r="C667" s="14" t="str">
        <f>"1800"</f>
        <v>1800</v>
      </c>
      <c r="D667" s="14" t="str">
        <f>"06100B"</f>
        <v>06100B</v>
      </c>
      <c r="E667" s="14" t="s">
        <v>950</v>
      </c>
      <c r="F667" s="14" t="s">
        <v>427</v>
      </c>
      <c r="G667" s="14" t="str">
        <f>""</f>
        <v/>
      </c>
      <c r="H667" s="14" t="str">
        <f>" 10"</f>
        <v xml:space="preserve"> 10</v>
      </c>
      <c r="I667" s="14">
        <v>0.01</v>
      </c>
      <c r="J667" s="14">
        <v>500</v>
      </c>
      <c r="K667" s="14" t="s">
        <v>410</v>
      </c>
      <c r="L667" s="14" t="s">
        <v>411</v>
      </c>
      <c r="M667" s="14" t="s">
        <v>412</v>
      </c>
      <c r="N667" s="14" t="s">
        <v>413</v>
      </c>
      <c r="P667" s="14" t="s">
        <v>39</v>
      </c>
      <c r="Q667" s="14" t="s">
        <v>25</v>
      </c>
      <c r="R667" s="14" t="s">
        <v>410</v>
      </c>
    </row>
    <row r="668" spans="1:18" s="14" customFormat="1" x14ac:dyDescent="0.25">
      <c r="A668" s="14" t="str">
        <f>"30015"</f>
        <v>30015</v>
      </c>
      <c r="B668" s="14" t="str">
        <f>"06110"</f>
        <v>06110</v>
      </c>
      <c r="C668" s="14" t="str">
        <f>"1800"</f>
        <v>1800</v>
      </c>
      <c r="D668" s="14" t="str">
        <f>"06110B"</f>
        <v>06110B</v>
      </c>
      <c r="E668" s="14" t="s">
        <v>950</v>
      </c>
      <c r="F668" s="14" t="s">
        <v>428</v>
      </c>
      <c r="G668" s="14" t="str">
        <f>""</f>
        <v/>
      </c>
      <c r="H668" s="14" t="str">
        <f>" 10"</f>
        <v xml:space="preserve"> 10</v>
      </c>
      <c r="I668" s="14">
        <v>0.01</v>
      </c>
      <c r="J668" s="14">
        <v>500</v>
      </c>
      <c r="K668" s="14" t="s">
        <v>410</v>
      </c>
      <c r="L668" s="14" t="s">
        <v>411</v>
      </c>
      <c r="M668" s="14" t="s">
        <v>412</v>
      </c>
      <c r="N668" s="14" t="s">
        <v>413</v>
      </c>
      <c r="P668" s="14" t="s">
        <v>39</v>
      </c>
      <c r="Q668" s="14" t="s">
        <v>25</v>
      </c>
      <c r="R668" s="14" t="s">
        <v>410</v>
      </c>
    </row>
    <row r="669" spans="1:18" s="14" customFormat="1" x14ac:dyDescent="0.25">
      <c r="A669" s="14" t="str">
        <f>"30015"</f>
        <v>30015</v>
      </c>
      <c r="B669" s="14" t="str">
        <f>"06120"</f>
        <v>06120</v>
      </c>
      <c r="C669" s="14" t="str">
        <f>"1800"</f>
        <v>1800</v>
      </c>
      <c r="D669" s="14" t="str">
        <f>"06120B"</f>
        <v>06120B</v>
      </c>
      <c r="E669" s="14" t="s">
        <v>950</v>
      </c>
      <c r="F669" s="14" t="s">
        <v>429</v>
      </c>
      <c r="G669" s="14" t="str">
        <f>""</f>
        <v/>
      </c>
      <c r="H669" s="14" t="str">
        <f>" 10"</f>
        <v xml:space="preserve"> 10</v>
      </c>
      <c r="I669" s="14">
        <v>0.01</v>
      </c>
      <c r="J669" s="14">
        <v>500</v>
      </c>
      <c r="K669" s="14" t="s">
        <v>410</v>
      </c>
      <c r="L669" s="14" t="s">
        <v>411</v>
      </c>
      <c r="M669" s="14" t="s">
        <v>412</v>
      </c>
      <c r="N669" s="14" t="s">
        <v>413</v>
      </c>
      <c r="P669" s="14" t="s">
        <v>39</v>
      </c>
      <c r="Q669" s="14" t="s">
        <v>25</v>
      </c>
      <c r="R669" s="14" t="s">
        <v>410</v>
      </c>
    </row>
    <row r="670" spans="1:18" s="14" customFormat="1" x14ac:dyDescent="0.25">
      <c r="A670" s="14" t="str">
        <f>"30015"</f>
        <v>30015</v>
      </c>
      <c r="B670" s="14" t="str">
        <f>"06130"</f>
        <v>06130</v>
      </c>
      <c r="C670" s="14" t="str">
        <f>"1800"</f>
        <v>1800</v>
      </c>
      <c r="D670" s="14" t="str">
        <f>"06130B"</f>
        <v>06130B</v>
      </c>
      <c r="E670" s="14" t="s">
        <v>950</v>
      </c>
      <c r="F670" s="14" t="s">
        <v>430</v>
      </c>
      <c r="G670" s="14" t="str">
        <f>""</f>
        <v/>
      </c>
      <c r="H670" s="14" t="str">
        <f>" 10"</f>
        <v xml:space="preserve"> 10</v>
      </c>
      <c r="I670" s="14">
        <v>0.01</v>
      </c>
      <c r="J670" s="14">
        <v>500</v>
      </c>
      <c r="K670" s="14" t="s">
        <v>410</v>
      </c>
      <c r="L670" s="14" t="s">
        <v>411</v>
      </c>
      <c r="M670" s="14" t="s">
        <v>412</v>
      </c>
      <c r="N670" s="14" t="s">
        <v>413</v>
      </c>
      <c r="P670" s="14" t="s">
        <v>39</v>
      </c>
      <c r="Q670" s="14" t="s">
        <v>25</v>
      </c>
      <c r="R670" s="14" t="s">
        <v>410</v>
      </c>
    </row>
    <row r="671" spans="1:18" s="14" customFormat="1" x14ac:dyDescent="0.25">
      <c r="A671" s="14" t="str">
        <f>"30015"</f>
        <v>30015</v>
      </c>
      <c r="B671" s="14" t="str">
        <f>"06140"</f>
        <v>06140</v>
      </c>
      <c r="C671" s="14" t="str">
        <f>"1800"</f>
        <v>1800</v>
      </c>
      <c r="D671" s="14" t="str">
        <f>"06140B"</f>
        <v>06140B</v>
      </c>
      <c r="E671" s="14" t="s">
        <v>950</v>
      </c>
      <c r="F671" s="14" t="s">
        <v>431</v>
      </c>
      <c r="G671" s="14" t="str">
        <f>""</f>
        <v/>
      </c>
      <c r="H671" s="14" t="str">
        <f>" 10"</f>
        <v xml:space="preserve"> 10</v>
      </c>
      <c r="I671" s="14">
        <v>0.01</v>
      </c>
      <c r="J671" s="14">
        <v>500</v>
      </c>
      <c r="K671" s="14" t="s">
        <v>410</v>
      </c>
      <c r="L671" s="14" t="s">
        <v>411</v>
      </c>
      <c r="M671" s="14" t="s">
        <v>412</v>
      </c>
      <c r="N671" s="14" t="s">
        <v>413</v>
      </c>
      <c r="P671" s="14" t="s">
        <v>39</v>
      </c>
      <c r="Q671" s="14" t="s">
        <v>25</v>
      </c>
      <c r="R671" s="14" t="s">
        <v>410</v>
      </c>
    </row>
    <row r="672" spans="1:18" s="14" customFormat="1" x14ac:dyDescent="0.25">
      <c r="A672" s="14" t="str">
        <f>"30015"</f>
        <v>30015</v>
      </c>
      <c r="B672" s="14" t="str">
        <f>"06150"</f>
        <v>06150</v>
      </c>
      <c r="C672" s="14" t="str">
        <f>"1800"</f>
        <v>1800</v>
      </c>
      <c r="D672" s="14" t="str">
        <f>"06150B"</f>
        <v>06150B</v>
      </c>
      <c r="E672" s="14" t="s">
        <v>950</v>
      </c>
      <c r="F672" s="14" t="s">
        <v>432</v>
      </c>
      <c r="G672" s="14" t="str">
        <f>""</f>
        <v/>
      </c>
      <c r="H672" s="14" t="str">
        <f>" 10"</f>
        <v xml:space="preserve"> 10</v>
      </c>
      <c r="I672" s="14">
        <v>0.01</v>
      </c>
      <c r="J672" s="14">
        <v>500</v>
      </c>
      <c r="K672" s="14" t="s">
        <v>410</v>
      </c>
      <c r="L672" s="14" t="s">
        <v>411</v>
      </c>
      <c r="M672" s="14" t="s">
        <v>412</v>
      </c>
      <c r="N672" s="14" t="s">
        <v>413</v>
      </c>
      <c r="P672" s="14" t="s">
        <v>39</v>
      </c>
      <c r="Q672" s="14" t="s">
        <v>25</v>
      </c>
      <c r="R672" s="14" t="s">
        <v>410</v>
      </c>
    </row>
    <row r="673" spans="1:18" s="14" customFormat="1" x14ac:dyDescent="0.25">
      <c r="A673" s="14" t="str">
        <f>"30015"</f>
        <v>30015</v>
      </c>
      <c r="B673" s="14" t="str">
        <f>"06151"</f>
        <v>06151</v>
      </c>
      <c r="C673" s="14" t="str">
        <f>"1800"</f>
        <v>1800</v>
      </c>
      <c r="D673" s="14" t="str">
        <f>"06151B"</f>
        <v>06151B</v>
      </c>
      <c r="E673" s="14" t="s">
        <v>950</v>
      </c>
      <c r="F673" s="14" t="s">
        <v>433</v>
      </c>
      <c r="G673" s="14" t="str">
        <f>""</f>
        <v/>
      </c>
      <c r="H673" s="14" t="str">
        <f>" 10"</f>
        <v xml:space="preserve"> 10</v>
      </c>
      <c r="I673" s="14">
        <v>0.01</v>
      </c>
      <c r="J673" s="14">
        <v>500</v>
      </c>
      <c r="K673" s="14" t="s">
        <v>410</v>
      </c>
      <c r="L673" s="14" t="s">
        <v>411</v>
      </c>
      <c r="M673" s="14" t="s">
        <v>412</v>
      </c>
      <c r="N673" s="14" t="s">
        <v>413</v>
      </c>
      <c r="P673" s="14" t="s">
        <v>39</v>
      </c>
      <c r="Q673" s="14" t="s">
        <v>25</v>
      </c>
      <c r="R673" s="14" t="s">
        <v>410</v>
      </c>
    </row>
    <row r="674" spans="1:18" s="14" customFormat="1" x14ac:dyDescent="0.25">
      <c r="A674" s="14" t="str">
        <f>"30015"</f>
        <v>30015</v>
      </c>
      <c r="B674" s="14" t="str">
        <f>"06152"</f>
        <v>06152</v>
      </c>
      <c r="C674" s="14" t="str">
        <f>"1800"</f>
        <v>1800</v>
      </c>
      <c r="D674" s="14" t="str">
        <f>"06152B"</f>
        <v>06152B</v>
      </c>
      <c r="E674" s="14" t="s">
        <v>950</v>
      </c>
      <c r="F674" s="14" t="s">
        <v>434</v>
      </c>
      <c r="G674" s="14" t="str">
        <f>""</f>
        <v/>
      </c>
      <c r="H674" s="14" t="str">
        <f>" 10"</f>
        <v xml:space="preserve"> 10</v>
      </c>
      <c r="I674" s="14">
        <v>0.01</v>
      </c>
      <c r="J674" s="14">
        <v>500</v>
      </c>
      <c r="K674" s="14" t="s">
        <v>410</v>
      </c>
      <c r="L674" s="14" t="s">
        <v>411</v>
      </c>
      <c r="M674" s="14" t="s">
        <v>412</v>
      </c>
      <c r="N674" s="14" t="s">
        <v>413</v>
      </c>
      <c r="P674" s="14" t="s">
        <v>39</v>
      </c>
      <c r="Q674" s="14" t="s">
        <v>25</v>
      </c>
      <c r="R674" s="14" t="s">
        <v>410</v>
      </c>
    </row>
    <row r="675" spans="1:18" s="14" customFormat="1" x14ac:dyDescent="0.25">
      <c r="A675" s="14" t="str">
        <f>"35021"</f>
        <v>35021</v>
      </c>
      <c r="B675" s="14" t="str">
        <f>"06020"</f>
        <v>06020</v>
      </c>
      <c r="C675" s="14" t="str">
        <f>"1930"</f>
        <v>1930</v>
      </c>
      <c r="D675" s="14" t="str">
        <f>"35021"</f>
        <v>35021</v>
      </c>
      <c r="E675" s="14" t="s">
        <v>986</v>
      </c>
      <c r="F675" s="14" t="s">
        <v>417</v>
      </c>
      <c r="G675" s="14" t="str">
        <f>""</f>
        <v/>
      </c>
      <c r="H675" s="14" t="str">
        <f>" 10"</f>
        <v xml:space="preserve"> 10</v>
      </c>
      <c r="I675" s="14">
        <v>0.01</v>
      </c>
      <c r="J675" s="14">
        <v>500</v>
      </c>
      <c r="K675" s="14" t="s">
        <v>410</v>
      </c>
      <c r="L675" s="14" t="s">
        <v>411</v>
      </c>
      <c r="M675" s="14" t="s">
        <v>412</v>
      </c>
      <c r="N675" s="14" t="s">
        <v>413</v>
      </c>
      <c r="P675" s="14" t="s">
        <v>39</v>
      </c>
      <c r="Q675" s="14" t="s">
        <v>25</v>
      </c>
      <c r="R675" s="14" t="s">
        <v>410</v>
      </c>
    </row>
    <row r="676" spans="1:18" s="14" customFormat="1" x14ac:dyDescent="0.25">
      <c r="A676" s="14" t="str">
        <f>"85008"</f>
        <v>85008</v>
      </c>
      <c r="B676" s="14" t="str">
        <f>"07030"</f>
        <v>07030</v>
      </c>
      <c r="C676" s="14" t="str">
        <f>"8000"</f>
        <v>8000</v>
      </c>
      <c r="D676" s="14" t="str">
        <f>"85008"</f>
        <v>85008</v>
      </c>
      <c r="E676" s="14" t="s">
        <v>1775</v>
      </c>
      <c r="F676" s="14" t="s">
        <v>1776</v>
      </c>
      <c r="G676" s="14" t="str">
        <f>""</f>
        <v/>
      </c>
      <c r="H676" s="14" t="str">
        <f>" 10"</f>
        <v xml:space="preserve"> 10</v>
      </c>
      <c r="I676" s="14">
        <v>0.01</v>
      </c>
      <c r="J676" s="14">
        <v>500</v>
      </c>
      <c r="K676" s="14" t="s">
        <v>410</v>
      </c>
      <c r="L676" s="14" t="s">
        <v>411</v>
      </c>
      <c r="M676" s="14" t="s">
        <v>412</v>
      </c>
      <c r="N676" s="14" t="s">
        <v>413</v>
      </c>
      <c r="P676" s="14" t="s">
        <v>39</v>
      </c>
      <c r="Q676" s="14" t="s">
        <v>39</v>
      </c>
      <c r="R676" s="14" t="s">
        <v>410</v>
      </c>
    </row>
    <row r="677" spans="1:18" s="14" customFormat="1" x14ac:dyDescent="0.25">
      <c r="A677" s="14" t="str">
        <f>"16018"</f>
        <v>16018</v>
      </c>
      <c r="B677" s="14" t="str">
        <f>"05150"</f>
        <v>05150</v>
      </c>
      <c r="C677" s="14" t="str">
        <f>"1700"</f>
        <v>1700</v>
      </c>
      <c r="D677" s="14" t="str">
        <f>"16018"</f>
        <v>16018</v>
      </c>
      <c r="E677" s="14" t="s">
        <v>538</v>
      </c>
      <c r="F677" s="14" t="s">
        <v>402</v>
      </c>
      <c r="G677" s="14" t="str">
        <f>""</f>
        <v/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405</v>
      </c>
      <c r="L677" s="14" t="s">
        <v>404</v>
      </c>
      <c r="P677" s="14" t="s">
        <v>39</v>
      </c>
      <c r="Q677" s="14" t="s">
        <v>25</v>
      </c>
      <c r="R677" s="14" t="s">
        <v>403</v>
      </c>
    </row>
    <row r="678" spans="1:18" s="14" customFormat="1" x14ac:dyDescent="0.25">
      <c r="A678" s="14" t="str">
        <f>"16019"</f>
        <v>16019</v>
      </c>
      <c r="B678" s="14" t="str">
        <f>"05150"</f>
        <v>05150</v>
      </c>
      <c r="C678" s="14" t="str">
        <f>"1700"</f>
        <v>1700</v>
      </c>
      <c r="D678" s="14" t="str">
        <f>"16019"</f>
        <v>16019</v>
      </c>
      <c r="E678" s="14" t="s">
        <v>539</v>
      </c>
      <c r="F678" s="14" t="s">
        <v>402</v>
      </c>
      <c r="G678" s="14" t="str">
        <f>""</f>
        <v/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405</v>
      </c>
      <c r="L678" s="14" t="s">
        <v>404</v>
      </c>
      <c r="P678" s="14" t="s">
        <v>39</v>
      </c>
      <c r="Q678" s="14" t="s">
        <v>25</v>
      </c>
      <c r="R678" s="14" t="s">
        <v>403</v>
      </c>
    </row>
    <row r="679" spans="1:18" s="14" customFormat="1" x14ac:dyDescent="0.25">
      <c r="A679" s="14" t="str">
        <f>"16024"</f>
        <v>16024</v>
      </c>
      <c r="B679" s="14" t="str">
        <f>"05150"</f>
        <v>05150</v>
      </c>
      <c r="C679" s="14" t="str">
        <f>"1100"</f>
        <v>1100</v>
      </c>
      <c r="D679" s="14" t="str">
        <f>"16024"</f>
        <v>16024</v>
      </c>
      <c r="E679" s="14" t="s">
        <v>546</v>
      </c>
      <c r="F679" s="14" t="s">
        <v>402</v>
      </c>
      <c r="G679" s="14" t="str">
        <f>""</f>
        <v/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405</v>
      </c>
      <c r="L679" s="14" t="s">
        <v>404</v>
      </c>
      <c r="P679" s="14" t="s">
        <v>39</v>
      </c>
      <c r="Q679" s="14" t="s">
        <v>25</v>
      </c>
      <c r="R679" s="14" t="s">
        <v>403</v>
      </c>
    </row>
    <row r="680" spans="1:18" s="14" customFormat="1" x14ac:dyDescent="0.25">
      <c r="A680" s="14" t="str">
        <f>"16025"</f>
        <v>16025</v>
      </c>
      <c r="B680" s="14" t="str">
        <f>"05150"</f>
        <v>05150</v>
      </c>
      <c r="C680" s="14" t="str">
        <f>"1100"</f>
        <v>1100</v>
      </c>
      <c r="D680" s="14" t="str">
        <f>"16025"</f>
        <v>16025</v>
      </c>
      <c r="E680" s="14" t="s">
        <v>547</v>
      </c>
      <c r="F680" s="14" t="s">
        <v>402</v>
      </c>
      <c r="G680" s="14" t="str">
        <f>""</f>
        <v/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405</v>
      </c>
      <c r="L680" s="14" t="s">
        <v>404</v>
      </c>
      <c r="P680" s="14" t="s">
        <v>39</v>
      </c>
      <c r="Q680" s="14" t="s">
        <v>25</v>
      </c>
      <c r="R680" s="14" t="s">
        <v>403</v>
      </c>
    </row>
    <row r="681" spans="1:18" s="14" customFormat="1" x14ac:dyDescent="0.25">
      <c r="A681" s="14" t="str">
        <f>"16026"</f>
        <v>16026</v>
      </c>
      <c r="B681" s="14" t="str">
        <f>"05150"</f>
        <v>05150</v>
      </c>
      <c r="C681" s="14" t="str">
        <f>"1100"</f>
        <v>1100</v>
      </c>
      <c r="D681" s="14" t="str">
        <f>"16026"</f>
        <v>16026</v>
      </c>
      <c r="E681" s="14" t="s">
        <v>548</v>
      </c>
      <c r="F681" s="14" t="s">
        <v>402</v>
      </c>
      <c r="G681" s="14" t="str">
        <f>""</f>
        <v/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405</v>
      </c>
      <c r="L681" s="14" t="s">
        <v>404</v>
      </c>
      <c r="P681" s="14" t="s">
        <v>39</v>
      </c>
      <c r="Q681" s="14" t="s">
        <v>25</v>
      </c>
      <c r="R681" s="14" t="s">
        <v>403</v>
      </c>
    </row>
    <row r="682" spans="1:18" s="14" customFormat="1" x14ac:dyDescent="0.25">
      <c r="A682" s="14" t="str">
        <f>"16028"</f>
        <v>16028</v>
      </c>
      <c r="B682" s="14" t="str">
        <f>"05150"</f>
        <v>05150</v>
      </c>
      <c r="C682" s="14" t="str">
        <f>"1100"</f>
        <v>1100</v>
      </c>
      <c r="D682" s="14" t="str">
        <f>"16028"</f>
        <v>16028</v>
      </c>
      <c r="E682" s="14" t="s">
        <v>549</v>
      </c>
      <c r="F682" s="14" t="s">
        <v>402</v>
      </c>
      <c r="G682" s="14" t="str">
        <f>""</f>
        <v/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405</v>
      </c>
      <c r="L682" s="14" t="s">
        <v>404</v>
      </c>
      <c r="P682" s="14" t="s">
        <v>39</v>
      </c>
      <c r="Q682" s="14" t="s">
        <v>25</v>
      </c>
      <c r="R682" s="14" t="s">
        <v>403</v>
      </c>
    </row>
    <row r="683" spans="1:18" s="14" customFormat="1" x14ac:dyDescent="0.25">
      <c r="A683" s="14" t="str">
        <f>"16029"</f>
        <v>16029</v>
      </c>
      <c r="B683" s="14" t="str">
        <f>"05150"</f>
        <v>05150</v>
      </c>
      <c r="C683" s="14" t="str">
        <f>"1800"</f>
        <v>1800</v>
      </c>
      <c r="D683" s="14" t="str">
        <f>"16029"</f>
        <v>16029</v>
      </c>
      <c r="E683" s="14" t="s">
        <v>550</v>
      </c>
      <c r="F683" s="14" t="s">
        <v>402</v>
      </c>
      <c r="G683" s="14" t="str">
        <f>""</f>
        <v/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405</v>
      </c>
      <c r="L683" s="14" t="s">
        <v>404</v>
      </c>
      <c r="P683" s="14" t="s">
        <v>39</v>
      </c>
      <c r="Q683" s="14" t="s">
        <v>25</v>
      </c>
      <c r="R683" s="14" t="s">
        <v>403</v>
      </c>
    </row>
    <row r="684" spans="1:18" s="14" customFormat="1" x14ac:dyDescent="0.25">
      <c r="A684" s="14" t="str">
        <f>"16030"</f>
        <v>16030</v>
      </c>
      <c r="B684" s="14" t="str">
        <f>"05150"</f>
        <v>05150</v>
      </c>
      <c r="C684" s="14" t="str">
        <f>"1800"</f>
        <v>1800</v>
      </c>
      <c r="D684" s="14" t="str">
        <f>"16030"</f>
        <v>16030</v>
      </c>
      <c r="E684" s="14" t="s">
        <v>551</v>
      </c>
      <c r="F684" s="14" t="s">
        <v>402</v>
      </c>
      <c r="G684" s="14" t="str">
        <f>""</f>
        <v/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405</v>
      </c>
      <c r="L684" s="14" t="s">
        <v>404</v>
      </c>
      <c r="P684" s="14" t="s">
        <v>39</v>
      </c>
      <c r="Q684" s="14" t="s">
        <v>25</v>
      </c>
      <c r="R684" s="14" t="s">
        <v>403</v>
      </c>
    </row>
    <row r="685" spans="1:18" s="14" customFormat="1" x14ac:dyDescent="0.25">
      <c r="A685" s="14" t="str">
        <f>"16033"</f>
        <v>16033</v>
      </c>
      <c r="B685" s="14" t="str">
        <f>"05150"</f>
        <v>05150</v>
      </c>
      <c r="C685" s="14" t="str">
        <f>"1800"</f>
        <v>1800</v>
      </c>
      <c r="D685" s="14" t="str">
        <f>"16033"</f>
        <v>16033</v>
      </c>
      <c r="E685" s="14" t="s">
        <v>552</v>
      </c>
      <c r="F685" s="14" t="s">
        <v>402</v>
      </c>
      <c r="G685" s="14" t="str">
        <f>""</f>
        <v/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405</v>
      </c>
      <c r="L685" s="14" t="s">
        <v>404</v>
      </c>
      <c r="P685" s="14" t="s">
        <v>39</v>
      </c>
      <c r="Q685" s="14" t="s">
        <v>25</v>
      </c>
      <c r="R685" s="14" t="s">
        <v>403</v>
      </c>
    </row>
    <row r="686" spans="1:18" s="14" customFormat="1" x14ac:dyDescent="0.25">
      <c r="A686" s="14" t="str">
        <f>"16034"</f>
        <v>16034</v>
      </c>
      <c r="B686" s="14" t="str">
        <f>"05150"</f>
        <v>05150</v>
      </c>
      <c r="C686" s="14" t="str">
        <f>"1800"</f>
        <v>1800</v>
      </c>
      <c r="D686" s="14" t="str">
        <f>"16034"</f>
        <v>16034</v>
      </c>
      <c r="E686" s="14" t="s">
        <v>553</v>
      </c>
      <c r="F686" s="14" t="s">
        <v>402</v>
      </c>
      <c r="G686" s="14" t="str">
        <f>""</f>
        <v/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405</v>
      </c>
      <c r="L686" s="14" t="s">
        <v>404</v>
      </c>
      <c r="P686" s="14" t="s">
        <v>39</v>
      </c>
      <c r="Q686" s="14" t="s">
        <v>25</v>
      </c>
      <c r="R686" s="14" t="s">
        <v>403</v>
      </c>
    </row>
    <row r="687" spans="1:18" s="14" customFormat="1" x14ac:dyDescent="0.25">
      <c r="A687" s="14" t="str">
        <f>"16035"</f>
        <v>16035</v>
      </c>
      <c r="B687" s="14" t="str">
        <f>"05150"</f>
        <v>05150</v>
      </c>
      <c r="C687" s="14" t="str">
        <f>"1100"</f>
        <v>1100</v>
      </c>
      <c r="D687" s="14" t="str">
        <f>"16035"</f>
        <v>16035</v>
      </c>
      <c r="E687" s="14" t="s">
        <v>554</v>
      </c>
      <c r="F687" s="14" t="s">
        <v>402</v>
      </c>
      <c r="G687" s="14" t="str">
        <f>""</f>
        <v/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405</v>
      </c>
      <c r="L687" s="14" t="s">
        <v>404</v>
      </c>
      <c r="P687" s="14" t="s">
        <v>39</v>
      </c>
      <c r="Q687" s="14" t="s">
        <v>25</v>
      </c>
      <c r="R687" s="14" t="s">
        <v>403</v>
      </c>
    </row>
    <row r="688" spans="1:18" s="14" customFormat="1" x14ac:dyDescent="0.25">
      <c r="A688" s="14" t="str">
        <f>"16036"</f>
        <v>16036</v>
      </c>
      <c r="B688" s="14" t="str">
        <f>"05150"</f>
        <v>05150</v>
      </c>
      <c r="C688" s="14" t="str">
        <f>"1800"</f>
        <v>1800</v>
      </c>
      <c r="D688" s="14" t="str">
        <f>"16036"</f>
        <v>16036</v>
      </c>
      <c r="E688" s="14" t="s">
        <v>555</v>
      </c>
      <c r="F688" s="14" t="s">
        <v>402</v>
      </c>
      <c r="G688" s="14" t="str">
        <f>""</f>
        <v/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405</v>
      </c>
      <c r="L688" s="14" t="s">
        <v>404</v>
      </c>
      <c r="P688" s="14" t="s">
        <v>39</v>
      </c>
      <c r="Q688" s="14" t="s">
        <v>25</v>
      </c>
      <c r="R688" s="14" t="s">
        <v>403</v>
      </c>
    </row>
    <row r="689" spans="1:18" s="14" customFormat="1" x14ac:dyDescent="0.25">
      <c r="A689" s="14" t="str">
        <f>"16037"</f>
        <v>16037</v>
      </c>
      <c r="B689" s="14" t="str">
        <f>"05150"</f>
        <v>05150</v>
      </c>
      <c r="C689" s="14" t="str">
        <f>"1100"</f>
        <v>1100</v>
      </c>
      <c r="D689" s="14" t="str">
        <f>"16037"</f>
        <v>16037</v>
      </c>
      <c r="E689" s="14" t="s">
        <v>556</v>
      </c>
      <c r="F689" s="14" t="s">
        <v>402</v>
      </c>
      <c r="G689" s="14" t="str">
        <f>""</f>
        <v/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405</v>
      </c>
      <c r="L689" s="14" t="s">
        <v>404</v>
      </c>
      <c r="P689" s="14" t="s">
        <v>39</v>
      </c>
      <c r="Q689" s="14" t="s">
        <v>25</v>
      </c>
      <c r="R689" s="14" t="s">
        <v>403</v>
      </c>
    </row>
    <row r="690" spans="1:18" s="14" customFormat="1" x14ac:dyDescent="0.25">
      <c r="A690" s="14" t="str">
        <f>"16041"</f>
        <v>16041</v>
      </c>
      <c r="B690" s="14" t="str">
        <f>"05150"</f>
        <v>05150</v>
      </c>
      <c r="C690" s="14" t="str">
        <f>"1100"</f>
        <v>1100</v>
      </c>
      <c r="D690" s="14" t="str">
        <f>"16041"</f>
        <v>16041</v>
      </c>
      <c r="E690" s="14" t="s">
        <v>557</v>
      </c>
      <c r="F690" s="14" t="s">
        <v>402</v>
      </c>
      <c r="G690" s="14" t="str">
        <f>""</f>
        <v/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405</v>
      </c>
      <c r="L690" s="14" t="s">
        <v>404</v>
      </c>
      <c r="P690" s="14" t="s">
        <v>39</v>
      </c>
      <c r="Q690" s="14" t="s">
        <v>25</v>
      </c>
      <c r="R690" s="14" t="s">
        <v>403</v>
      </c>
    </row>
    <row r="691" spans="1:18" s="14" customFormat="1" x14ac:dyDescent="0.25">
      <c r="A691" s="14" t="str">
        <f>"16049"</f>
        <v>16049</v>
      </c>
      <c r="B691" s="14" t="str">
        <f>"05150"</f>
        <v>05150</v>
      </c>
      <c r="C691" s="14" t="str">
        <f>"1100"</f>
        <v>1100</v>
      </c>
      <c r="D691" s="14" t="str">
        <f>"16049"</f>
        <v>16049</v>
      </c>
      <c r="E691" s="14" t="s">
        <v>564</v>
      </c>
      <c r="F691" s="14" t="s">
        <v>402</v>
      </c>
      <c r="G691" s="14" t="str">
        <f>""</f>
        <v/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405</v>
      </c>
      <c r="L691" s="14" t="s">
        <v>404</v>
      </c>
      <c r="P691" s="14" t="s">
        <v>39</v>
      </c>
      <c r="Q691" s="14" t="s">
        <v>25</v>
      </c>
      <c r="R691" s="14" t="s">
        <v>403</v>
      </c>
    </row>
    <row r="692" spans="1:18" s="14" customFormat="1" x14ac:dyDescent="0.25">
      <c r="A692" s="14" t="str">
        <f>"16050"</f>
        <v>16050</v>
      </c>
      <c r="B692" s="14" t="str">
        <f>"05150"</f>
        <v>05150</v>
      </c>
      <c r="C692" s="14" t="str">
        <f>"1100"</f>
        <v>1100</v>
      </c>
      <c r="D692" s="14" t="str">
        <f>"16050"</f>
        <v>16050</v>
      </c>
      <c r="E692" s="14" t="s">
        <v>565</v>
      </c>
      <c r="F692" s="14" t="s">
        <v>402</v>
      </c>
      <c r="G692" s="14" t="str">
        <f>""</f>
        <v/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405</v>
      </c>
      <c r="L692" s="14" t="s">
        <v>404</v>
      </c>
      <c r="P692" s="14" t="s">
        <v>39</v>
      </c>
      <c r="Q692" s="14" t="s">
        <v>25</v>
      </c>
      <c r="R692" s="14" t="s">
        <v>403</v>
      </c>
    </row>
    <row r="693" spans="1:18" s="14" customFormat="1" x14ac:dyDescent="0.25">
      <c r="A693" s="14" t="str">
        <f>"16051"</f>
        <v>16051</v>
      </c>
      <c r="B693" s="14" t="str">
        <f>"05150"</f>
        <v>05150</v>
      </c>
      <c r="C693" s="14" t="str">
        <f>"1800"</f>
        <v>1800</v>
      </c>
      <c r="D693" s="14" t="str">
        <f>"16051"</f>
        <v>16051</v>
      </c>
      <c r="E693" s="14" t="s">
        <v>566</v>
      </c>
      <c r="F693" s="14" t="s">
        <v>402</v>
      </c>
      <c r="G693" s="14" t="str">
        <f>""</f>
        <v/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405</v>
      </c>
      <c r="L693" s="14" t="s">
        <v>404</v>
      </c>
      <c r="P693" s="14" t="s">
        <v>39</v>
      </c>
      <c r="Q693" s="14" t="s">
        <v>25</v>
      </c>
      <c r="R693" s="14" t="s">
        <v>403</v>
      </c>
    </row>
    <row r="694" spans="1:18" s="14" customFormat="1" x14ac:dyDescent="0.25">
      <c r="A694" s="14" t="str">
        <f>"18056"</f>
        <v>18056</v>
      </c>
      <c r="B694" s="14" t="str">
        <f>"01780"</f>
        <v>01780</v>
      </c>
      <c r="C694" s="14" t="str">
        <f>"1600"</f>
        <v>1600</v>
      </c>
      <c r="D694" s="14" t="str">
        <f>"18056"</f>
        <v>18056</v>
      </c>
      <c r="E694" s="14" t="s">
        <v>646</v>
      </c>
      <c r="F694" s="14" t="s">
        <v>175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647</v>
      </c>
      <c r="L694" s="14" t="s">
        <v>112</v>
      </c>
      <c r="M694" s="14" t="s">
        <v>113</v>
      </c>
      <c r="N694" s="14" t="s">
        <v>114</v>
      </c>
      <c r="P694" s="14" t="s">
        <v>31</v>
      </c>
      <c r="Q694" s="14" t="s">
        <v>25</v>
      </c>
      <c r="R694" s="14" t="s">
        <v>115</v>
      </c>
    </row>
    <row r="695" spans="1:18" s="14" customFormat="1" x14ac:dyDescent="0.25">
      <c r="A695" s="14" t="str">
        <f>"18084"</f>
        <v>18084</v>
      </c>
      <c r="B695" s="14" t="str">
        <f>"01780"</f>
        <v>01780</v>
      </c>
      <c r="C695" s="14" t="str">
        <f>"1600"</f>
        <v>1600</v>
      </c>
      <c r="D695" s="14" t="str">
        <f>"18084"</f>
        <v>18084</v>
      </c>
      <c r="E695" s="14" t="s">
        <v>664</v>
      </c>
      <c r="F695" s="14" t="s">
        <v>175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647</v>
      </c>
      <c r="L695" s="14" t="s">
        <v>112</v>
      </c>
      <c r="M695" s="14" t="s">
        <v>113</v>
      </c>
      <c r="N695" s="14" t="s">
        <v>114</v>
      </c>
      <c r="P695" s="14" t="s">
        <v>31</v>
      </c>
      <c r="Q695" s="14" t="s">
        <v>25</v>
      </c>
      <c r="R695" s="14" t="s">
        <v>115</v>
      </c>
    </row>
    <row r="696" spans="1:18" s="14" customFormat="1" x14ac:dyDescent="0.25">
      <c r="A696" s="14" t="str">
        <f>"16052"</f>
        <v>16052</v>
      </c>
      <c r="B696" s="14" t="str">
        <f>"05060"</f>
        <v>05060</v>
      </c>
      <c r="C696" s="14" t="str">
        <f>"1700"</f>
        <v>1700</v>
      </c>
      <c r="D696" s="14" t="str">
        <f>"05060B"</f>
        <v>05060B</v>
      </c>
      <c r="E696" s="14" t="s">
        <v>567</v>
      </c>
      <c r="F696" s="14" t="s">
        <v>380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382</v>
      </c>
      <c r="L696" s="14" t="s">
        <v>381</v>
      </c>
      <c r="P696" s="14" t="s">
        <v>31</v>
      </c>
      <c r="Q696" s="14" t="s">
        <v>25</v>
      </c>
      <c r="R696" s="14" t="s">
        <v>383</v>
      </c>
    </row>
    <row r="697" spans="1:18" s="14" customFormat="1" x14ac:dyDescent="0.25">
      <c r="A697" s="14" t="str">
        <f>"16052"</f>
        <v>16052</v>
      </c>
      <c r="B697" s="14" t="str">
        <f>"05061"</f>
        <v>05061</v>
      </c>
      <c r="C697" s="14" t="str">
        <f>"1700"</f>
        <v>1700</v>
      </c>
      <c r="D697" s="14" t="str">
        <f>"05061"</f>
        <v>05061</v>
      </c>
      <c r="E697" s="14" t="s">
        <v>567</v>
      </c>
      <c r="F697" s="14" t="s">
        <v>568</v>
      </c>
      <c r="G697" s="14" t="str">
        <f>""</f>
        <v/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382</v>
      </c>
      <c r="L697" s="14" t="s">
        <v>381</v>
      </c>
      <c r="P697" s="14" t="s">
        <v>31</v>
      </c>
      <c r="Q697" s="14" t="s">
        <v>25</v>
      </c>
      <c r="R697" s="14" t="s">
        <v>383</v>
      </c>
    </row>
    <row r="698" spans="1:18" s="14" customFormat="1" x14ac:dyDescent="0.25">
      <c r="A698" s="14" t="str">
        <f>"16053"</f>
        <v>16053</v>
      </c>
      <c r="B698" s="14" t="str">
        <f>"05060"</f>
        <v>05060</v>
      </c>
      <c r="C698" s="14" t="str">
        <f>"1700"</f>
        <v>1700</v>
      </c>
      <c r="D698" s="14" t="str">
        <f>"16053"</f>
        <v>16053</v>
      </c>
      <c r="E698" s="14" t="s">
        <v>569</v>
      </c>
      <c r="F698" s="14" t="s">
        <v>380</v>
      </c>
      <c r="G698" s="14" t="str">
        <f>""</f>
        <v/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382</v>
      </c>
      <c r="L698" s="14" t="s">
        <v>381</v>
      </c>
      <c r="P698" s="14" t="s">
        <v>31</v>
      </c>
      <c r="Q698" s="14" t="s">
        <v>25</v>
      </c>
      <c r="R698" s="14" t="s">
        <v>383</v>
      </c>
    </row>
    <row r="699" spans="1:18" s="14" customFormat="1" x14ac:dyDescent="0.25">
      <c r="A699" s="14" t="str">
        <f>"84240"</f>
        <v>84240</v>
      </c>
      <c r="B699" s="14" t="str">
        <f>"07020"</f>
        <v>07020</v>
      </c>
      <c r="C699" s="14" t="str">
        <f>"1700"</f>
        <v>1700</v>
      </c>
      <c r="D699" s="14" t="str">
        <f>"84240"</f>
        <v>84240</v>
      </c>
      <c r="E699" s="14" t="s">
        <v>1756</v>
      </c>
      <c r="F699" s="14" t="s">
        <v>1532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1757</v>
      </c>
      <c r="L699" s="14" t="s">
        <v>392</v>
      </c>
      <c r="P699" s="14" t="s">
        <v>31</v>
      </c>
      <c r="Q699" s="14" t="s">
        <v>31</v>
      </c>
      <c r="R699" s="14" t="s">
        <v>1757</v>
      </c>
    </row>
    <row r="700" spans="1:18" s="14" customFormat="1" x14ac:dyDescent="0.25">
      <c r="A700" s="14" t="str">
        <f>"84200"</f>
        <v>84200</v>
      </c>
      <c r="B700" s="14" t="str">
        <f>"07020"</f>
        <v>07020</v>
      </c>
      <c r="C700" s="14" t="str">
        <f>"1700"</f>
        <v>1700</v>
      </c>
      <c r="D700" s="14" t="str">
        <f>"84200"</f>
        <v>84200</v>
      </c>
      <c r="E700" s="14" t="s">
        <v>1705</v>
      </c>
      <c r="F700" s="14" t="s">
        <v>1532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1706</v>
      </c>
      <c r="P700" s="14" t="s">
        <v>31</v>
      </c>
      <c r="Q700" s="14" t="s">
        <v>31</v>
      </c>
      <c r="R700" s="14" t="s">
        <v>383</v>
      </c>
    </row>
    <row r="701" spans="1:18" s="14" customFormat="1" x14ac:dyDescent="0.25">
      <c r="A701" s="14" t="str">
        <f>"84246"</f>
        <v>84246</v>
      </c>
      <c r="B701" s="14" t="str">
        <f>"07020"</f>
        <v>07020</v>
      </c>
      <c r="C701" s="14" t="str">
        <f>"1700"</f>
        <v>1700</v>
      </c>
      <c r="D701" s="14" t="str">
        <f>"84246"</f>
        <v>84246</v>
      </c>
      <c r="E701" s="14" t="s">
        <v>1764</v>
      </c>
      <c r="F701" s="14" t="s">
        <v>1532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1706</v>
      </c>
      <c r="L701" s="14" t="s">
        <v>392</v>
      </c>
      <c r="P701" s="14" t="s">
        <v>31</v>
      </c>
      <c r="Q701" s="14" t="s">
        <v>31</v>
      </c>
      <c r="R701" s="14" t="s">
        <v>1706</v>
      </c>
    </row>
    <row r="702" spans="1:18" s="14" customFormat="1" x14ac:dyDescent="0.25">
      <c r="A702" s="14" t="str">
        <f>"84224"</f>
        <v>84224</v>
      </c>
      <c r="B702" s="14" t="str">
        <f>"07020"</f>
        <v>07020</v>
      </c>
      <c r="C702" s="14" t="str">
        <f>"1700"</f>
        <v>1700</v>
      </c>
      <c r="D702" s="14" t="str">
        <f>"84224"</f>
        <v>84224</v>
      </c>
      <c r="E702" s="14" t="s">
        <v>1731</v>
      </c>
      <c r="F702" s="14" t="s">
        <v>1532</v>
      </c>
      <c r="G702" s="14" t="str">
        <f>""</f>
        <v/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1677</v>
      </c>
      <c r="L702" s="14" t="s">
        <v>72</v>
      </c>
      <c r="P702" s="14" t="s">
        <v>31</v>
      </c>
      <c r="Q702" s="14" t="s">
        <v>31</v>
      </c>
      <c r="R702" s="14" t="s">
        <v>1597</v>
      </c>
    </row>
    <row r="703" spans="1:18" s="14" customFormat="1" x14ac:dyDescent="0.25">
      <c r="A703" s="14" t="str">
        <f>"18006"</f>
        <v>18006</v>
      </c>
      <c r="B703" s="14" t="str">
        <f>"01687"</f>
        <v>01687</v>
      </c>
      <c r="C703" s="14" t="str">
        <f>"1600"</f>
        <v>1600</v>
      </c>
      <c r="D703" s="14" t="str">
        <f>"18006"</f>
        <v>18006</v>
      </c>
      <c r="E703" s="14" t="s">
        <v>589</v>
      </c>
      <c r="F703" s="14" t="s">
        <v>590</v>
      </c>
      <c r="G703" s="14" t="str">
        <f>""</f>
        <v/>
      </c>
      <c r="H703" s="14" t="str">
        <f>" 20"</f>
        <v xml:space="preserve"> 20</v>
      </c>
      <c r="I703" s="14">
        <v>500.01</v>
      </c>
      <c r="J703" s="14">
        <v>9999999.9900000002</v>
      </c>
      <c r="K703" s="14" t="s">
        <v>591</v>
      </c>
      <c r="L703" s="14" t="s">
        <v>147</v>
      </c>
      <c r="P703" s="14" t="s">
        <v>39</v>
      </c>
      <c r="Q703" s="14" t="s">
        <v>25</v>
      </c>
      <c r="R703" s="14" t="s">
        <v>146</v>
      </c>
    </row>
    <row r="704" spans="1:18" s="14" customFormat="1" x14ac:dyDescent="0.25">
      <c r="A704" s="14" t="str">
        <f>"18010"</f>
        <v>18010</v>
      </c>
      <c r="B704" s="14" t="str">
        <f>"01687"</f>
        <v>01687</v>
      </c>
      <c r="C704" s="14" t="str">
        <f>"1600"</f>
        <v>1600</v>
      </c>
      <c r="D704" s="14" t="str">
        <f>"18010"</f>
        <v>18010</v>
      </c>
      <c r="E704" s="14" t="s">
        <v>595</v>
      </c>
      <c r="F704" s="14" t="s">
        <v>590</v>
      </c>
      <c r="G704" s="14" t="str">
        <f>""</f>
        <v/>
      </c>
      <c r="H704" s="14" t="str">
        <f>" 20"</f>
        <v xml:space="preserve"> 20</v>
      </c>
      <c r="I704" s="14">
        <v>500.01</v>
      </c>
      <c r="J704" s="14">
        <v>9999999.9900000002</v>
      </c>
      <c r="K704" s="14" t="s">
        <v>591</v>
      </c>
      <c r="L704" s="14" t="s">
        <v>147</v>
      </c>
      <c r="P704" s="14" t="s">
        <v>39</v>
      </c>
      <c r="Q704" s="14" t="s">
        <v>25</v>
      </c>
      <c r="R704" s="14" t="s">
        <v>146</v>
      </c>
    </row>
    <row r="705" spans="1:18" s="14" customFormat="1" x14ac:dyDescent="0.25">
      <c r="A705" s="14" t="str">
        <f>"18049"</f>
        <v>18049</v>
      </c>
      <c r="B705" s="14" t="str">
        <f>"01687"</f>
        <v>01687</v>
      </c>
      <c r="C705" s="14" t="str">
        <f>"1600"</f>
        <v>1600</v>
      </c>
      <c r="D705" s="14" t="str">
        <f>"18049"</f>
        <v>18049</v>
      </c>
      <c r="E705" s="14" t="s">
        <v>614</v>
      </c>
      <c r="F705" s="14" t="s">
        <v>590</v>
      </c>
      <c r="G705" s="14" t="str">
        <f>""</f>
        <v/>
      </c>
      <c r="H705" s="14" t="str">
        <f>" 20"</f>
        <v xml:space="preserve"> 20</v>
      </c>
      <c r="I705" s="14">
        <v>500.01</v>
      </c>
      <c r="J705" s="14">
        <v>9999999.9900000002</v>
      </c>
      <c r="K705" s="14" t="s">
        <v>591</v>
      </c>
      <c r="L705" s="14" t="s">
        <v>147</v>
      </c>
      <c r="P705" s="14" t="s">
        <v>39</v>
      </c>
      <c r="Q705" s="14" t="s">
        <v>25</v>
      </c>
      <c r="R705" s="14" t="s">
        <v>146</v>
      </c>
    </row>
    <row r="706" spans="1:18" s="14" customFormat="1" x14ac:dyDescent="0.25">
      <c r="A706" s="14" t="str">
        <f>"18054"</f>
        <v>18054</v>
      </c>
      <c r="B706" s="14" t="str">
        <f>"01662"</f>
        <v>01662</v>
      </c>
      <c r="C706" s="14" t="str">
        <f>"1100"</f>
        <v>1100</v>
      </c>
      <c r="D706" s="14" t="str">
        <f>"01662"</f>
        <v>01662</v>
      </c>
      <c r="E706" s="14" t="s">
        <v>615</v>
      </c>
      <c r="F706" s="14" t="s">
        <v>615</v>
      </c>
      <c r="G706" s="14" t="str">
        <f>""</f>
        <v/>
      </c>
      <c r="H706" s="14" t="str">
        <f>" 20"</f>
        <v xml:space="preserve"> 20</v>
      </c>
      <c r="I706" s="14">
        <v>500.01</v>
      </c>
      <c r="J706" s="14">
        <v>9999999.9900000002</v>
      </c>
      <c r="K706" s="14" t="s">
        <v>591</v>
      </c>
      <c r="L706" s="14" t="s">
        <v>147</v>
      </c>
      <c r="P706" s="14" t="s">
        <v>39</v>
      </c>
      <c r="Q706" s="14" t="s">
        <v>25</v>
      </c>
      <c r="R706" s="14" t="s">
        <v>146</v>
      </c>
    </row>
    <row r="707" spans="1:18" s="14" customFormat="1" x14ac:dyDescent="0.25">
      <c r="A707" s="14" t="str">
        <f>"18054"</f>
        <v>18054</v>
      </c>
      <c r="B707" s="14" t="str">
        <f>"01663"</f>
        <v>01663</v>
      </c>
      <c r="C707" s="14" t="str">
        <f>"1100"</f>
        <v>1100</v>
      </c>
      <c r="D707" s="14" t="str">
        <f>"01663"</f>
        <v>01663</v>
      </c>
      <c r="E707" s="14" t="s">
        <v>615</v>
      </c>
      <c r="F707" s="14" t="s">
        <v>616</v>
      </c>
      <c r="G707" s="14" t="str">
        <f>""</f>
        <v/>
      </c>
      <c r="H707" s="14" t="str">
        <f>" 20"</f>
        <v xml:space="preserve"> 20</v>
      </c>
      <c r="I707" s="14">
        <v>500.01</v>
      </c>
      <c r="J707" s="14">
        <v>9999999.9900000002</v>
      </c>
      <c r="K707" s="14" t="s">
        <v>591</v>
      </c>
      <c r="L707" s="14" t="s">
        <v>147</v>
      </c>
      <c r="P707" s="14" t="s">
        <v>39</v>
      </c>
      <c r="Q707" s="14" t="s">
        <v>25</v>
      </c>
      <c r="R707" s="14" t="s">
        <v>146</v>
      </c>
    </row>
    <row r="708" spans="1:18" s="14" customFormat="1" x14ac:dyDescent="0.25">
      <c r="A708" s="14" t="str">
        <f>"18054"</f>
        <v>18054</v>
      </c>
      <c r="B708" s="14" t="str">
        <f>"01664"</f>
        <v>01664</v>
      </c>
      <c r="C708" s="14" t="str">
        <f>"1100"</f>
        <v>1100</v>
      </c>
      <c r="D708" s="14" t="str">
        <f>"01664"</f>
        <v>01664</v>
      </c>
      <c r="E708" s="14" t="s">
        <v>615</v>
      </c>
      <c r="F708" s="14" t="s">
        <v>617</v>
      </c>
      <c r="G708" s="14" t="str">
        <f>""</f>
        <v/>
      </c>
      <c r="H708" s="14" t="str">
        <f>" 20"</f>
        <v xml:space="preserve"> 20</v>
      </c>
      <c r="I708" s="14">
        <v>500.01</v>
      </c>
      <c r="J708" s="14">
        <v>9999999.9900000002</v>
      </c>
      <c r="K708" s="14" t="s">
        <v>591</v>
      </c>
      <c r="L708" s="14" t="s">
        <v>147</v>
      </c>
      <c r="P708" s="14" t="s">
        <v>39</v>
      </c>
      <c r="Q708" s="14" t="s">
        <v>25</v>
      </c>
      <c r="R708" s="14" t="s">
        <v>146</v>
      </c>
    </row>
    <row r="709" spans="1:18" s="14" customFormat="1" x14ac:dyDescent="0.25">
      <c r="A709" s="14" t="str">
        <f>"18054"</f>
        <v>18054</v>
      </c>
      <c r="B709" s="14" t="str">
        <f>"01665"</f>
        <v>01665</v>
      </c>
      <c r="C709" s="14" t="str">
        <f>"1100"</f>
        <v>1100</v>
      </c>
      <c r="D709" s="14" t="str">
        <f>"01665"</f>
        <v>01665</v>
      </c>
      <c r="E709" s="14" t="s">
        <v>615</v>
      </c>
      <c r="F709" s="14" t="s">
        <v>618</v>
      </c>
      <c r="G709" s="14" t="str">
        <f>""</f>
        <v/>
      </c>
      <c r="H709" s="14" t="str">
        <f>" 20"</f>
        <v xml:space="preserve"> 20</v>
      </c>
      <c r="I709" s="14">
        <v>500.01</v>
      </c>
      <c r="J709" s="14">
        <v>9999999.9900000002</v>
      </c>
      <c r="K709" s="14" t="s">
        <v>591</v>
      </c>
      <c r="L709" s="14" t="s">
        <v>147</v>
      </c>
      <c r="P709" s="14" t="s">
        <v>39</v>
      </c>
      <c r="Q709" s="14" t="s">
        <v>25</v>
      </c>
      <c r="R709" s="14" t="s">
        <v>146</v>
      </c>
    </row>
    <row r="710" spans="1:18" s="14" customFormat="1" x14ac:dyDescent="0.25">
      <c r="A710" s="14" t="str">
        <f>"18054"</f>
        <v>18054</v>
      </c>
      <c r="B710" s="14" t="str">
        <f>"01666"</f>
        <v>01666</v>
      </c>
      <c r="C710" s="14" t="str">
        <f>"1100"</f>
        <v>1100</v>
      </c>
      <c r="D710" s="14" t="str">
        <f>"01666"</f>
        <v>01666</v>
      </c>
      <c r="E710" s="14" t="s">
        <v>615</v>
      </c>
      <c r="F710" s="14" t="s">
        <v>619</v>
      </c>
      <c r="G710" s="14" t="str">
        <f>""</f>
        <v/>
      </c>
      <c r="H710" s="14" t="str">
        <f>" 20"</f>
        <v xml:space="preserve"> 20</v>
      </c>
      <c r="I710" s="14">
        <v>500.01</v>
      </c>
      <c r="J710" s="14">
        <v>9999999.9900000002</v>
      </c>
      <c r="K710" s="14" t="s">
        <v>591</v>
      </c>
      <c r="L710" s="14" t="s">
        <v>147</v>
      </c>
      <c r="P710" s="14" t="s">
        <v>39</v>
      </c>
      <c r="Q710" s="14" t="s">
        <v>25</v>
      </c>
      <c r="R710" s="14" t="s">
        <v>146</v>
      </c>
    </row>
    <row r="711" spans="1:18" s="14" customFormat="1" x14ac:dyDescent="0.25">
      <c r="A711" s="14" t="str">
        <f>"18054"</f>
        <v>18054</v>
      </c>
      <c r="B711" s="14" t="str">
        <f>"01667"</f>
        <v>01667</v>
      </c>
      <c r="C711" s="14" t="str">
        <f>"1100"</f>
        <v>1100</v>
      </c>
      <c r="D711" s="14" t="str">
        <f>"01667"</f>
        <v>01667</v>
      </c>
      <c r="E711" s="14" t="s">
        <v>615</v>
      </c>
      <c r="F711" s="14" t="s">
        <v>620</v>
      </c>
      <c r="G711" s="14" t="str">
        <f>""</f>
        <v/>
      </c>
      <c r="H711" s="14" t="str">
        <f>" 20"</f>
        <v xml:space="preserve"> 20</v>
      </c>
      <c r="I711" s="14">
        <v>500.01</v>
      </c>
      <c r="J711" s="14">
        <v>9999999.9900000002</v>
      </c>
      <c r="K711" s="14" t="s">
        <v>591</v>
      </c>
      <c r="L711" s="14" t="s">
        <v>147</v>
      </c>
      <c r="P711" s="14" t="s">
        <v>39</v>
      </c>
      <c r="Q711" s="14" t="s">
        <v>25</v>
      </c>
      <c r="R711" s="14" t="s">
        <v>146</v>
      </c>
    </row>
    <row r="712" spans="1:18" s="14" customFormat="1" x14ac:dyDescent="0.25">
      <c r="A712" s="14" t="str">
        <f>"18054"</f>
        <v>18054</v>
      </c>
      <c r="B712" s="14" t="str">
        <f>"01668"</f>
        <v>01668</v>
      </c>
      <c r="C712" s="14" t="str">
        <f>"1100"</f>
        <v>1100</v>
      </c>
      <c r="D712" s="14" t="str">
        <f>"01668"</f>
        <v>01668</v>
      </c>
      <c r="E712" s="14" t="s">
        <v>615</v>
      </c>
      <c r="F712" s="14" t="s">
        <v>621</v>
      </c>
      <c r="G712" s="14" t="str">
        <f>""</f>
        <v/>
      </c>
      <c r="H712" s="14" t="str">
        <f>" 20"</f>
        <v xml:space="preserve"> 20</v>
      </c>
      <c r="I712" s="14">
        <v>500.01</v>
      </c>
      <c r="J712" s="14">
        <v>9999999.9900000002</v>
      </c>
      <c r="K712" s="14" t="s">
        <v>591</v>
      </c>
      <c r="L712" s="14" t="s">
        <v>147</v>
      </c>
      <c r="P712" s="14" t="s">
        <v>39</v>
      </c>
      <c r="Q712" s="14" t="s">
        <v>25</v>
      </c>
      <c r="R712" s="14" t="s">
        <v>146</v>
      </c>
    </row>
    <row r="713" spans="1:18" s="14" customFormat="1" x14ac:dyDescent="0.25">
      <c r="A713" s="14" t="str">
        <f>"18054"</f>
        <v>18054</v>
      </c>
      <c r="B713" s="14" t="str">
        <f>"01669"</f>
        <v>01669</v>
      </c>
      <c r="C713" s="14" t="str">
        <f>"1100"</f>
        <v>1100</v>
      </c>
      <c r="D713" s="14" t="str">
        <f>"01669"</f>
        <v>01669</v>
      </c>
      <c r="E713" s="14" t="s">
        <v>615</v>
      </c>
      <c r="F713" s="14" t="s">
        <v>622</v>
      </c>
      <c r="G713" s="14" t="str">
        <f>""</f>
        <v/>
      </c>
      <c r="H713" s="14" t="str">
        <f>" 20"</f>
        <v xml:space="preserve"> 20</v>
      </c>
      <c r="I713" s="14">
        <v>500.01</v>
      </c>
      <c r="J713" s="14">
        <v>9999999.9900000002</v>
      </c>
      <c r="K713" s="14" t="s">
        <v>591</v>
      </c>
      <c r="L713" s="14" t="s">
        <v>147</v>
      </c>
      <c r="P713" s="14" t="s">
        <v>39</v>
      </c>
      <c r="Q713" s="14" t="s">
        <v>25</v>
      </c>
      <c r="R713" s="14" t="s">
        <v>146</v>
      </c>
    </row>
    <row r="714" spans="1:18" s="14" customFormat="1" x14ac:dyDescent="0.25">
      <c r="A714" s="14" t="str">
        <f>"18054"</f>
        <v>18054</v>
      </c>
      <c r="B714" s="14" t="str">
        <f>"01671"</f>
        <v>01671</v>
      </c>
      <c r="C714" s="14" t="str">
        <f>"1100"</f>
        <v>1100</v>
      </c>
      <c r="D714" s="14" t="str">
        <f>"01671"</f>
        <v>01671</v>
      </c>
      <c r="E714" s="14" t="s">
        <v>615</v>
      </c>
      <c r="F714" s="14" t="s">
        <v>623</v>
      </c>
      <c r="G714" s="14" t="str">
        <f>""</f>
        <v/>
      </c>
      <c r="H714" s="14" t="str">
        <f>" 20"</f>
        <v xml:space="preserve"> 20</v>
      </c>
      <c r="I714" s="14">
        <v>500.01</v>
      </c>
      <c r="J714" s="14">
        <v>9999999.9900000002</v>
      </c>
      <c r="K714" s="14" t="s">
        <v>591</v>
      </c>
      <c r="L714" s="14" t="s">
        <v>147</v>
      </c>
      <c r="P714" s="14" t="s">
        <v>39</v>
      </c>
      <c r="Q714" s="14" t="s">
        <v>25</v>
      </c>
      <c r="R714" s="14" t="s">
        <v>146</v>
      </c>
    </row>
    <row r="715" spans="1:18" s="14" customFormat="1" x14ac:dyDescent="0.25">
      <c r="A715" s="14" t="str">
        <f>"18054"</f>
        <v>18054</v>
      </c>
      <c r="B715" s="14" t="str">
        <f>"01672"</f>
        <v>01672</v>
      </c>
      <c r="C715" s="14" t="str">
        <f>"1100"</f>
        <v>1100</v>
      </c>
      <c r="D715" s="14" t="str">
        <f>"01672"</f>
        <v>01672</v>
      </c>
      <c r="E715" s="14" t="s">
        <v>615</v>
      </c>
      <c r="F715" s="14" t="s">
        <v>624</v>
      </c>
      <c r="G715" s="14" t="str">
        <f>""</f>
        <v/>
      </c>
      <c r="H715" s="14" t="str">
        <f>" 20"</f>
        <v xml:space="preserve"> 20</v>
      </c>
      <c r="I715" s="14">
        <v>500.01</v>
      </c>
      <c r="J715" s="14">
        <v>9999999.9900000002</v>
      </c>
      <c r="K715" s="14" t="s">
        <v>591</v>
      </c>
      <c r="L715" s="14" t="s">
        <v>147</v>
      </c>
      <c r="P715" s="14" t="s">
        <v>39</v>
      </c>
      <c r="Q715" s="14" t="s">
        <v>25</v>
      </c>
      <c r="R715" s="14" t="s">
        <v>146</v>
      </c>
    </row>
    <row r="716" spans="1:18" s="14" customFormat="1" x14ac:dyDescent="0.25">
      <c r="A716" s="14" t="str">
        <f>"18054"</f>
        <v>18054</v>
      </c>
      <c r="B716" s="14" t="str">
        <f>"01674"</f>
        <v>01674</v>
      </c>
      <c r="C716" s="14" t="str">
        <f>"1100"</f>
        <v>1100</v>
      </c>
      <c r="D716" s="14" t="str">
        <f>"01674"</f>
        <v>01674</v>
      </c>
      <c r="E716" s="14" t="s">
        <v>615</v>
      </c>
      <c r="F716" s="14" t="s">
        <v>625</v>
      </c>
      <c r="G716" s="14" t="str">
        <f>""</f>
        <v/>
      </c>
      <c r="H716" s="14" t="str">
        <f>" 20"</f>
        <v xml:space="preserve"> 20</v>
      </c>
      <c r="I716" s="14">
        <v>500.01</v>
      </c>
      <c r="J716" s="14">
        <v>9999999.9900000002</v>
      </c>
      <c r="K716" s="14" t="s">
        <v>591</v>
      </c>
      <c r="L716" s="14" t="s">
        <v>147</v>
      </c>
      <c r="P716" s="14" t="s">
        <v>39</v>
      </c>
      <c r="Q716" s="14" t="s">
        <v>25</v>
      </c>
      <c r="R716" s="14" t="s">
        <v>146</v>
      </c>
    </row>
    <row r="717" spans="1:18" s="14" customFormat="1" x14ac:dyDescent="0.25">
      <c r="A717" s="14" t="str">
        <f>"18054"</f>
        <v>18054</v>
      </c>
      <c r="B717" s="14" t="str">
        <f>"01675"</f>
        <v>01675</v>
      </c>
      <c r="C717" s="14" t="str">
        <f>"1100"</f>
        <v>1100</v>
      </c>
      <c r="D717" s="14" t="str">
        <f>"01675"</f>
        <v>01675</v>
      </c>
      <c r="E717" s="14" t="s">
        <v>615</v>
      </c>
      <c r="F717" s="14" t="s">
        <v>626</v>
      </c>
      <c r="G717" s="14" t="str">
        <f>""</f>
        <v/>
      </c>
      <c r="H717" s="14" t="str">
        <f>" 20"</f>
        <v xml:space="preserve"> 20</v>
      </c>
      <c r="I717" s="14">
        <v>500.01</v>
      </c>
      <c r="J717" s="14">
        <v>9999999.9900000002</v>
      </c>
      <c r="K717" s="14" t="s">
        <v>591</v>
      </c>
      <c r="L717" s="14" t="s">
        <v>147</v>
      </c>
      <c r="P717" s="14" t="s">
        <v>39</v>
      </c>
      <c r="Q717" s="14" t="s">
        <v>25</v>
      </c>
      <c r="R717" s="14" t="s">
        <v>146</v>
      </c>
    </row>
    <row r="718" spans="1:18" s="14" customFormat="1" x14ac:dyDescent="0.25">
      <c r="A718" s="14" t="str">
        <f>"18054"</f>
        <v>18054</v>
      </c>
      <c r="B718" s="14" t="str">
        <f>"01676"</f>
        <v>01676</v>
      </c>
      <c r="C718" s="14" t="str">
        <f>"1100"</f>
        <v>1100</v>
      </c>
      <c r="D718" s="14" t="str">
        <f>"01676"</f>
        <v>01676</v>
      </c>
      <c r="E718" s="14" t="s">
        <v>615</v>
      </c>
      <c r="F718" s="14" t="s">
        <v>627</v>
      </c>
      <c r="G718" s="14" t="str">
        <f>""</f>
        <v/>
      </c>
      <c r="H718" s="14" t="str">
        <f>" 20"</f>
        <v xml:space="preserve"> 20</v>
      </c>
      <c r="I718" s="14">
        <v>500.01</v>
      </c>
      <c r="J718" s="14">
        <v>9999999.9900000002</v>
      </c>
      <c r="K718" s="14" t="s">
        <v>591</v>
      </c>
      <c r="L718" s="14" t="s">
        <v>147</v>
      </c>
      <c r="P718" s="14" t="s">
        <v>39</v>
      </c>
      <c r="Q718" s="14" t="s">
        <v>25</v>
      </c>
      <c r="R718" s="14" t="s">
        <v>146</v>
      </c>
    </row>
    <row r="719" spans="1:18" s="14" customFormat="1" x14ac:dyDescent="0.25">
      <c r="A719" s="14" t="str">
        <f>"18054"</f>
        <v>18054</v>
      </c>
      <c r="B719" s="14" t="str">
        <f>"01678"</f>
        <v>01678</v>
      </c>
      <c r="C719" s="14" t="str">
        <f>"1100"</f>
        <v>1100</v>
      </c>
      <c r="D719" s="14" t="str">
        <f>"01678"</f>
        <v>01678</v>
      </c>
      <c r="E719" s="14" t="s">
        <v>615</v>
      </c>
      <c r="F719" s="14" t="s">
        <v>628</v>
      </c>
      <c r="G719" s="14" t="str">
        <f>""</f>
        <v/>
      </c>
      <c r="H719" s="14" t="str">
        <f>" 20"</f>
        <v xml:space="preserve"> 20</v>
      </c>
      <c r="I719" s="14">
        <v>500.01</v>
      </c>
      <c r="J719" s="14">
        <v>9999999.9900000002</v>
      </c>
      <c r="K719" s="14" t="s">
        <v>591</v>
      </c>
      <c r="L719" s="14" t="s">
        <v>147</v>
      </c>
      <c r="P719" s="14" t="s">
        <v>39</v>
      </c>
      <c r="Q719" s="14" t="s">
        <v>25</v>
      </c>
      <c r="R719" s="14" t="s">
        <v>146</v>
      </c>
    </row>
    <row r="720" spans="1:18" s="14" customFormat="1" x14ac:dyDescent="0.25">
      <c r="A720" s="14" t="str">
        <f>"18054"</f>
        <v>18054</v>
      </c>
      <c r="B720" s="14" t="str">
        <f>"01679"</f>
        <v>01679</v>
      </c>
      <c r="C720" s="14" t="str">
        <f>"1100"</f>
        <v>1100</v>
      </c>
      <c r="D720" s="14" t="str">
        <f>"01679"</f>
        <v>01679</v>
      </c>
      <c r="E720" s="14" t="s">
        <v>615</v>
      </c>
      <c r="F720" s="14" t="s">
        <v>629</v>
      </c>
      <c r="G720" s="14" t="str">
        <f>""</f>
        <v/>
      </c>
      <c r="H720" s="14" t="str">
        <f>" 20"</f>
        <v xml:space="preserve"> 20</v>
      </c>
      <c r="I720" s="14">
        <v>500.01</v>
      </c>
      <c r="J720" s="14">
        <v>9999999.9900000002</v>
      </c>
      <c r="K720" s="14" t="s">
        <v>591</v>
      </c>
      <c r="L720" s="14" t="s">
        <v>147</v>
      </c>
      <c r="P720" s="14" t="s">
        <v>39</v>
      </c>
      <c r="Q720" s="14" t="s">
        <v>25</v>
      </c>
      <c r="R720" s="14" t="s">
        <v>146</v>
      </c>
    </row>
    <row r="721" spans="1:18" s="14" customFormat="1" x14ac:dyDescent="0.25">
      <c r="A721" s="14" t="str">
        <f>"18054"</f>
        <v>18054</v>
      </c>
      <c r="B721" s="14" t="str">
        <f>"01681"</f>
        <v>01681</v>
      </c>
      <c r="C721" s="14" t="str">
        <f>"1100"</f>
        <v>1100</v>
      </c>
      <c r="D721" s="14" t="str">
        <f>"01681"</f>
        <v>01681</v>
      </c>
      <c r="E721" s="14" t="s">
        <v>615</v>
      </c>
      <c r="F721" s="14" t="s">
        <v>630</v>
      </c>
      <c r="G721" s="14" t="str">
        <f>""</f>
        <v/>
      </c>
      <c r="H721" s="14" t="str">
        <f>" 20"</f>
        <v xml:space="preserve"> 20</v>
      </c>
      <c r="I721" s="14">
        <v>500.01</v>
      </c>
      <c r="J721" s="14">
        <v>9999999.9900000002</v>
      </c>
      <c r="K721" s="14" t="s">
        <v>591</v>
      </c>
      <c r="L721" s="14" t="s">
        <v>147</v>
      </c>
      <c r="P721" s="14" t="s">
        <v>39</v>
      </c>
      <c r="Q721" s="14" t="s">
        <v>25</v>
      </c>
      <c r="R721" s="14" t="s">
        <v>146</v>
      </c>
    </row>
    <row r="722" spans="1:18" s="14" customFormat="1" x14ac:dyDescent="0.25">
      <c r="A722" s="14" t="str">
        <f>"18054"</f>
        <v>18054</v>
      </c>
      <c r="B722" s="14" t="str">
        <f>"01683"</f>
        <v>01683</v>
      </c>
      <c r="C722" s="14" t="str">
        <f>"1100"</f>
        <v>1100</v>
      </c>
      <c r="D722" s="14" t="str">
        <f>"01683"</f>
        <v>01683</v>
      </c>
      <c r="E722" s="14" t="s">
        <v>615</v>
      </c>
      <c r="F722" s="14" t="s">
        <v>631</v>
      </c>
      <c r="G722" s="14" t="str">
        <f>""</f>
        <v/>
      </c>
      <c r="H722" s="14" t="str">
        <f>" 20"</f>
        <v xml:space="preserve"> 20</v>
      </c>
      <c r="I722" s="14">
        <v>500.01</v>
      </c>
      <c r="J722" s="14">
        <v>9999999.9900000002</v>
      </c>
      <c r="K722" s="14" t="s">
        <v>591</v>
      </c>
      <c r="L722" s="14" t="s">
        <v>147</v>
      </c>
      <c r="P722" s="14" t="s">
        <v>39</v>
      </c>
      <c r="Q722" s="14" t="s">
        <v>25</v>
      </c>
      <c r="R722" s="14" t="s">
        <v>146</v>
      </c>
    </row>
    <row r="723" spans="1:18" s="14" customFormat="1" x14ac:dyDescent="0.25">
      <c r="A723" s="14" t="str">
        <f>"18054"</f>
        <v>18054</v>
      </c>
      <c r="B723" s="14" t="str">
        <f>"01684"</f>
        <v>01684</v>
      </c>
      <c r="C723" s="14" t="str">
        <f>"1100"</f>
        <v>1100</v>
      </c>
      <c r="D723" s="14" t="str">
        <f>"01684"</f>
        <v>01684</v>
      </c>
      <c r="E723" s="14" t="s">
        <v>615</v>
      </c>
      <c r="F723" s="14" t="s">
        <v>632</v>
      </c>
      <c r="G723" s="14" t="str">
        <f>""</f>
        <v/>
      </c>
      <c r="H723" s="14" t="str">
        <f>" 20"</f>
        <v xml:space="preserve"> 20</v>
      </c>
      <c r="I723" s="14">
        <v>500.01</v>
      </c>
      <c r="J723" s="14">
        <v>9999999.9900000002</v>
      </c>
      <c r="K723" s="14" t="s">
        <v>591</v>
      </c>
      <c r="L723" s="14" t="s">
        <v>147</v>
      </c>
      <c r="P723" s="14" t="s">
        <v>39</v>
      </c>
      <c r="Q723" s="14" t="s">
        <v>25</v>
      </c>
      <c r="R723" s="14" t="s">
        <v>146</v>
      </c>
    </row>
    <row r="724" spans="1:18" s="14" customFormat="1" x14ac:dyDescent="0.25">
      <c r="A724" s="14" t="str">
        <f>"18054"</f>
        <v>18054</v>
      </c>
      <c r="B724" s="14" t="str">
        <f>"01685"</f>
        <v>01685</v>
      </c>
      <c r="C724" s="14" t="str">
        <f>"1100"</f>
        <v>1100</v>
      </c>
      <c r="D724" s="14" t="str">
        <f>"01685"</f>
        <v>01685</v>
      </c>
      <c r="E724" s="14" t="s">
        <v>615</v>
      </c>
      <c r="F724" s="14" t="s">
        <v>633</v>
      </c>
      <c r="G724" s="14" t="str">
        <f>""</f>
        <v/>
      </c>
      <c r="H724" s="14" t="str">
        <f>" 20"</f>
        <v xml:space="preserve"> 20</v>
      </c>
      <c r="I724" s="14">
        <v>500.01</v>
      </c>
      <c r="J724" s="14">
        <v>9999999.9900000002</v>
      </c>
      <c r="K724" s="14" t="s">
        <v>591</v>
      </c>
      <c r="L724" s="14" t="s">
        <v>147</v>
      </c>
      <c r="P724" s="14" t="s">
        <v>39</v>
      </c>
      <c r="Q724" s="14" t="s">
        <v>25</v>
      </c>
      <c r="R724" s="14" t="s">
        <v>146</v>
      </c>
    </row>
    <row r="725" spans="1:18" s="14" customFormat="1" x14ac:dyDescent="0.25">
      <c r="A725" s="14" t="str">
        <f>"18054"</f>
        <v>18054</v>
      </c>
      <c r="B725" s="14" t="str">
        <f>"01688"</f>
        <v>01688</v>
      </c>
      <c r="C725" s="14" t="str">
        <f>"1100"</f>
        <v>1100</v>
      </c>
      <c r="D725" s="14" t="str">
        <f>"01688"</f>
        <v>01688</v>
      </c>
      <c r="E725" s="14" t="s">
        <v>615</v>
      </c>
      <c r="F725" s="14" t="s">
        <v>634</v>
      </c>
      <c r="G725" s="14" t="str">
        <f>""</f>
        <v/>
      </c>
      <c r="H725" s="14" t="str">
        <f>" 20"</f>
        <v xml:space="preserve"> 20</v>
      </c>
      <c r="I725" s="14">
        <v>500.01</v>
      </c>
      <c r="J725" s="14">
        <v>9999999.9900000002</v>
      </c>
      <c r="K725" s="14" t="s">
        <v>591</v>
      </c>
      <c r="L725" s="14" t="s">
        <v>147</v>
      </c>
      <c r="P725" s="14" t="s">
        <v>39</v>
      </c>
      <c r="Q725" s="14" t="s">
        <v>25</v>
      </c>
      <c r="R725" s="14" t="s">
        <v>146</v>
      </c>
    </row>
    <row r="726" spans="1:18" s="14" customFormat="1" x14ac:dyDescent="0.25">
      <c r="A726" s="14" t="str">
        <f>"18054"</f>
        <v>18054</v>
      </c>
      <c r="B726" s="14" t="str">
        <f>"01691"</f>
        <v>01691</v>
      </c>
      <c r="C726" s="14" t="str">
        <f>"1100"</f>
        <v>1100</v>
      </c>
      <c r="D726" s="14" t="str">
        <f>"01691"</f>
        <v>01691</v>
      </c>
      <c r="E726" s="14" t="s">
        <v>615</v>
      </c>
      <c r="F726" s="14" t="s">
        <v>635</v>
      </c>
      <c r="G726" s="14" t="str">
        <f>""</f>
        <v/>
      </c>
      <c r="H726" s="14" t="str">
        <f>" 20"</f>
        <v xml:space="preserve"> 20</v>
      </c>
      <c r="I726" s="14">
        <v>500.01</v>
      </c>
      <c r="J726" s="14">
        <v>9999999.9900000002</v>
      </c>
      <c r="K726" s="14" t="s">
        <v>591</v>
      </c>
      <c r="L726" s="14" t="s">
        <v>147</v>
      </c>
      <c r="P726" s="14" t="s">
        <v>39</v>
      </c>
      <c r="Q726" s="14" t="s">
        <v>25</v>
      </c>
      <c r="R726" s="14" t="s">
        <v>146</v>
      </c>
    </row>
    <row r="727" spans="1:18" s="14" customFormat="1" x14ac:dyDescent="0.25">
      <c r="A727" s="14" t="str">
        <f>"18054"</f>
        <v>18054</v>
      </c>
      <c r="B727" s="14" t="str">
        <f>"01692"</f>
        <v>01692</v>
      </c>
      <c r="C727" s="14" t="str">
        <f>"1100"</f>
        <v>1100</v>
      </c>
      <c r="D727" s="14" t="str">
        <f>"01692"</f>
        <v>01692</v>
      </c>
      <c r="E727" s="14" t="s">
        <v>615</v>
      </c>
      <c r="F727" s="14" t="s">
        <v>636</v>
      </c>
      <c r="G727" s="14" t="str">
        <f>""</f>
        <v/>
      </c>
      <c r="H727" s="14" t="str">
        <f>" 20"</f>
        <v xml:space="preserve"> 20</v>
      </c>
      <c r="I727" s="14">
        <v>500.01</v>
      </c>
      <c r="J727" s="14">
        <v>9999999.9900000002</v>
      </c>
      <c r="K727" s="14" t="s">
        <v>591</v>
      </c>
      <c r="L727" s="14" t="s">
        <v>147</v>
      </c>
      <c r="P727" s="14" t="s">
        <v>39</v>
      </c>
      <c r="Q727" s="14" t="s">
        <v>25</v>
      </c>
      <c r="R727" s="14" t="s">
        <v>146</v>
      </c>
    </row>
    <row r="728" spans="1:18" s="14" customFormat="1" x14ac:dyDescent="0.25">
      <c r="A728" s="14" t="str">
        <f>"18054"</f>
        <v>18054</v>
      </c>
      <c r="B728" s="14" t="str">
        <f>"01696"</f>
        <v>01696</v>
      </c>
      <c r="C728" s="14" t="str">
        <f>"1100"</f>
        <v>1100</v>
      </c>
      <c r="D728" s="14" t="str">
        <f>"01696"</f>
        <v>01696</v>
      </c>
      <c r="E728" s="14" t="s">
        <v>615</v>
      </c>
      <c r="F728" s="14" t="s">
        <v>637</v>
      </c>
      <c r="G728" s="14" t="str">
        <f>""</f>
        <v/>
      </c>
      <c r="H728" s="14" t="str">
        <f>" 20"</f>
        <v xml:space="preserve"> 20</v>
      </c>
      <c r="I728" s="14">
        <v>500.01</v>
      </c>
      <c r="J728" s="14">
        <v>9999999.9900000002</v>
      </c>
      <c r="K728" s="14" t="s">
        <v>591</v>
      </c>
      <c r="L728" s="14" t="s">
        <v>147</v>
      </c>
      <c r="P728" s="14" t="s">
        <v>39</v>
      </c>
      <c r="Q728" s="14" t="s">
        <v>25</v>
      </c>
      <c r="R728" s="14" t="s">
        <v>146</v>
      </c>
    </row>
    <row r="729" spans="1:18" s="14" customFormat="1" x14ac:dyDescent="0.25">
      <c r="A729" s="14" t="str">
        <f>"18054"</f>
        <v>18054</v>
      </c>
      <c r="B729" s="14" t="str">
        <f>"01697"</f>
        <v>01697</v>
      </c>
      <c r="C729" s="14" t="str">
        <f>"1100"</f>
        <v>1100</v>
      </c>
      <c r="D729" s="14" t="str">
        <f>"01697"</f>
        <v>01697</v>
      </c>
      <c r="E729" s="14" t="s">
        <v>615</v>
      </c>
      <c r="F729" s="14" t="s">
        <v>638</v>
      </c>
      <c r="G729" s="14" t="str">
        <f>""</f>
        <v/>
      </c>
      <c r="H729" s="14" t="str">
        <f>" 20"</f>
        <v xml:space="preserve"> 20</v>
      </c>
      <c r="I729" s="14">
        <v>500.01</v>
      </c>
      <c r="J729" s="14">
        <v>9999999.9900000002</v>
      </c>
      <c r="K729" s="14" t="s">
        <v>591</v>
      </c>
      <c r="L729" s="14" t="s">
        <v>147</v>
      </c>
      <c r="P729" s="14" t="s">
        <v>39</v>
      </c>
      <c r="Q729" s="14" t="s">
        <v>25</v>
      </c>
      <c r="R729" s="14" t="s">
        <v>146</v>
      </c>
    </row>
    <row r="730" spans="1:18" s="14" customFormat="1" x14ac:dyDescent="0.25">
      <c r="A730" s="14" t="str">
        <f>"18054"</f>
        <v>18054</v>
      </c>
      <c r="B730" s="14" t="str">
        <f>"01699"</f>
        <v>01699</v>
      </c>
      <c r="C730" s="14" t="str">
        <f>"1100"</f>
        <v>1100</v>
      </c>
      <c r="D730" s="14" t="str">
        <f>"01699"</f>
        <v>01699</v>
      </c>
      <c r="E730" s="14" t="s">
        <v>615</v>
      </c>
      <c r="F730" s="14" t="s">
        <v>639</v>
      </c>
      <c r="G730" s="14" t="str">
        <f>""</f>
        <v/>
      </c>
      <c r="H730" s="14" t="str">
        <f>" 20"</f>
        <v xml:space="preserve"> 20</v>
      </c>
      <c r="I730" s="14">
        <v>500.01</v>
      </c>
      <c r="J730" s="14">
        <v>9999999.9900000002</v>
      </c>
      <c r="K730" s="14" t="s">
        <v>591</v>
      </c>
      <c r="L730" s="14" t="s">
        <v>147</v>
      </c>
      <c r="P730" s="14" t="s">
        <v>39</v>
      </c>
      <c r="Q730" s="14" t="s">
        <v>25</v>
      </c>
      <c r="R730" s="14" t="s">
        <v>146</v>
      </c>
    </row>
    <row r="731" spans="1:18" s="14" customFormat="1" x14ac:dyDescent="0.25">
      <c r="A731" s="14" t="str">
        <f>"18054"</f>
        <v>18054</v>
      </c>
      <c r="B731" s="14" t="str">
        <f>"01712"</f>
        <v>01712</v>
      </c>
      <c r="C731" s="14" t="str">
        <f>"1100"</f>
        <v>1100</v>
      </c>
      <c r="D731" s="14" t="str">
        <f>"01712"</f>
        <v>01712</v>
      </c>
      <c r="E731" s="14" t="s">
        <v>615</v>
      </c>
      <c r="F731" s="14" t="s">
        <v>640</v>
      </c>
      <c r="G731" s="14" t="str">
        <f>""</f>
        <v/>
      </c>
      <c r="H731" s="14" t="str">
        <f>" 20"</f>
        <v xml:space="preserve"> 20</v>
      </c>
      <c r="I731" s="14">
        <v>500.01</v>
      </c>
      <c r="J731" s="14">
        <v>9999999.9900000002</v>
      </c>
      <c r="K731" s="14" t="s">
        <v>591</v>
      </c>
      <c r="L731" s="14" t="s">
        <v>147</v>
      </c>
      <c r="P731" s="14" t="s">
        <v>39</v>
      </c>
      <c r="Q731" s="14" t="s">
        <v>25</v>
      </c>
      <c r="R731" s="14" t="s">
        <v>146</v>
      </c>
    </row>
    <row r="732" spans="1:18" s="14" customFormat="1" x14ac:dyDescent="0.25">
      <c r="A732" s="14" t="str">
        <f>"18054"</f>
        <v>18054</v>
      </c>
      <c r="B732" s="14" t="str">
        <f>"01713"</f>
        <v>01713</v>
      </c>
      <c r="C732" s="14" t="str">
        <f>"1100"</f>
        <v>1100</v>
      </c>
      <c r="D732" s="14" t="str">
        <f>"01713"</f>
        <v>01713</v>
      </c>
      <c r="E732" s="14" t="s">
        <v>615</v>
      </c>
      <c r="F732" s="14" t="s">
        <v>641</v>
      </c>
      <c r="G732" s="14" t="str">
        <f>""</f>
        <v/>
      </c>
      <c r="H732" s="14" t="str">
        <f>" 20"</f>
        <v xml:space="preserve"> 20</v>
      </c>
      <c r="I732" s="14">
        <v>500.01</v>
      </c>
      <c r="J732" s="14">
        <v>9999999.9900000002</v>
      </c>
      <c r="K732" s="14" t="s">
        <v>591</v>
      </c>
      <c r="L732" s="14" t="s">
        <v>147</v>
      </c>
      <c r="P732" s="14" t="s">
        <v>39</v>
      </c>
      <c r="Q732" s="14" t="s">
        <v>25</v>
      </c>
      <c r="R732" s="14" t="s">
        <v>146</v>
      </c>
    </row>
    <row r="733" spans="1:18" s="14" customFormat="1" x14ac:dyDescent="0.25">
      <c r="A733" s="14" t="str">
        <f>"18054"</f>
        <v>18054</v>
      </c>
      <c r="B733" s="14" t="str">
        <f>"01714"</f>
        <v>01714</v>
      </c>
      <c r="C733" s="14" t="str">
        <f>"1100"</f>
        <v>1100</v>
      </c>
      <c r="D733" s="14" t="str">
        <f>"01714"</f>
        <v>01714</v>
      </c>
      <c r="E733" s="14" t="s">
        <v>615</v>
      </c>
      <c r="F733" s="14" t="s">
        <v>642</v>
      </c>
      <c r="G733" s="14" t="str">
        <f>""</f>
        <v/>
      </c>
      <c r="H733" s="14" t="str">
        <f>" 20"</f>
        <v xml:space="preserve"> 20</v>
      </c>
      <c r="I733" s="14">
        <v>500.01</v>
      </c>
      <c r="J733" s="14">
        <v>9999999.9900000002</v>
      </c>
      <c r="K733" s="14" t="s">
        <v>591</v>
      </c>
      <c r="L733" s="14" t="s">
        <v>147</v>
      </c>
      <c r="P733" s="14" t="s">
        <v>39</v>
      </c>
      <c r="Q733" s="14" t="s">
        <v>25</v>
      </c>
      <c r="R733" s="14" t="s">
        <v>146</v>
      </c>
    </row>
    <row r="734" spans="1:18" s="14" customFormat="1" x14ac:dyDescent="0.25">
      <c r="A734" s="14" t="str">
        <f>"18054"</f>
        <v>18054</v>
      </c>
      <c r="B734" s="14" t="str">
        <f>"01715"</f>
        <v>01715</v>
      </c>
      <c r="C734" s="14" t="str">
        <f>"1100"</f>
        <v>1100</v>
      </c>
      <c r="D734" s="14" t="str">
        <f>"01715"</f>
        <v>01715</v>
      </c>
      <c r="E734" s="14" t="s">
        <v>615</v>
      </c>
      <c r="F734" s="14" t="s">
        <v>643</v>
      </c>
      <c r="G734" s="14" t="str">
        <f>""</f>
        <v/>
      </c>
      <c r="H734" s="14" t="str">
        <f>" 20"</f>
        <v xml:space="preserve"> 20</v>
      </c>
      <c r="I734" s="14">
        <v>500.01</v>
      </c>
      <c r="J734" s="14">
        <v>9999999.9900000002</v>
      </c>
      <c r="K734" s="14" t="s">
        <v>591</v>
      </c>
      <c r="L734" s="14" t="s">
        <v>147</v>
      </c>
      <c r="P734" s="14" t="s">
        <v>39</v>
      </c>
      <c r="Q734" s="14" t="s">
        <v>25</v>
      </c>
      <c r="R734" s="14" t="s">
        <v>146</v>
      </c>
    </row>
    <row r="735" spans="1:18" s="14" customFormat="1" x14ac:dyDescent="0.25">
      <c r="A735" s="14" t="str">
        <f>"18054"</f>
        <v>18054</v>
      </c>
      <c r="B735" s="14" t="str">
        <f>"01716"</f>
        <v>01716</v>
      </c>
      <c r="C735" s="14" t="str">
        <f>"1100"</f>
        <v>1100</v>
      </c>
      <c r="D735" s="14" t="str">
        <f>"01716"</f>
        <v>01716</v>
      </c>
      <c r="E735" s="14" t="s">
        <v>615</v>
      </c>
      <c r="F735" s="14" t="s">
        <v>644</v>
      </c>
      <c r="G735" s="14" t="str">
        <f>""</f>
        <v/>
      </c>
      <c r="H735" s="14" t="str">
        <f>" 20"</f>
        <v xml:space="preserve"> 20</v>
      </c>
      <c r="I735" s="14">
        <v>500.01</v>
      </c>
      <c r="J735" s="14">
        <v>9999999.9900000002</v>
      </c>
      <c r="K735" s="14" t="s">
        <v>591</v>
      </c>
      <c r="L735" s="14" t="s">
        <v>147</v>
      </c>
      <c r="P735" s="14" t="s">
        <v>39</v>
      </c>
      <c r="Q735" s="14" t="s">
        <v>25</v>
      </c>
      <c r="R735" s="14" t="s">
        <v>146</v>
      </c>
    </row>
    <row r="736" spans="1:18" s="14" customFormat="1" x14ac:dyDescent="0.25">
      <c r="A736" s="14" t="str">
        <f>"18054"</f>
        <v>18054</v>
      </c>
      <c r="B736" s="14" t="str">
        <f>"01717"</f>
        <v>01717</v>
      </c>
      <c r="C736" s="14" t="str">
        <f>"1100"</f>
        <v>1100</v>
      </c>
      <c r="D736" s="14" t="str">
        <f>"01717"</f>
        <v>01717</v>
      </c>
      <c r="E736" s="14" t="s">
        <v>615</v>
      </c>
      <c r="F736" s="14" t="s">
        <v>645</v>
      </c>
      <c r="G736" s="14" t="str">
        <f>""</f>
        <v/>
      </c>
      <c r="H736" s="14" t="str">
        <f>" 20"</f>
        <v xml:space="preserve"> 20</v>
      </c>
      <c r="I736" s="14">
        <v>500.01</v>
      </c>
      <c r="J736" s="14">
        <v>9999999.9900000002</v>
      </c>
      <c r="K736" s="14" t="s">
        <v>591</v>
      </c>
      <c r="L736" s="14" t="s">
        <v>147</v>
      </c>
      <c r="P736" s="14" t="s">
        <v>39</v>
      </c>
      <c r="Q736" s="14" t="s">
        <v>25</v>
      </c>
      <c r="R736" s="14" t="s">
        <v>146</v>
      </c>
    </row>
    <row r="737" spans="1:18" s="14" customFormat="1" x14ac:dyDescent="0.25">
      <c r="A737" s="14" t="str">
        <f>"18076"</f>
        <v>18076</v>
      </c>
      <c r="B737" s="14" t="str">
        <f>"01687"</f>
        <v>01687</v>
      </c>
      <c r="C737" s="14" t="str">
        <f>"1600"</f>
        <v>1600</v>
      </c>
      <c r="D737" s="14" t="str">
        <f>"18076"</f>
        <v>18076</v>
      </c>
      <c r="E737" s="14" t="s">
        <v>658</v>
      </c>
      <c r="F737" s="14" t="s">
        <v>590</v>
      </c>
      <c r="G737" s="14" t="str">
        <f>"GN0018076"</f>
        <v>GN0018076</v>
      </c>
      <c r="H737" s="14" t="str">
        <f>" 20"</f>
        <v xml:space="preserve"> 20</v>
      </c>
      <c r="I737" s="14">
        <v>500.01</v>
      </c>
      <c r="J737" s="14">
        <v>9999999.9900000002</v>
      </c>
      <c r="K737" s="14" t="s">
        <v>591</v>
      </c>
      <c r="L737" s="14" t="s">
        <v>147</v>
      </c>
      <c r="P737" s="14" t="s">
        <v>39</v>
      </c>
      <c r="Q737" s="14" t="s">
        <v>25</v>
      </c>
      <c r="R737" s="14" t="s">
        <v>146</v>
      </c>
    </row>
    <row r="738" spans="1:18" s="14" customFormat="1" x14ac:dyDescent="0.25">
      <c r="A738" s="14" t="str">
        <f>"18102"</f>
        <v>18102</v>
      </c>
      <c r="B738" s="14" t="str">
        <f>"01687"</f>
        <v>01687</v>
      </c>
      <c r="C738" s="14" t="str">
        <f>"1600"</f>
        <v>1600</v>
      </c>
      <c r="D738" s="14" t="str">
        <f>"18102"</f>
        <v>18102</v>
      </c>
      <c r="E738" s="14" t="s">
        <v>671</v>
      </c>
      <c r="F738" s="14" t="s">
        <v>590</v>
      </c>
      <c r="G738" s="14" t="str">
        <f>""</f>
        <v/>
      </c>
      <c r="H738" s="14" t="str">
        <f>" 20"</f>
        <v xml:space="preserve"> 20</v>
      </c>
      <c r="I738" s="14">
        <v>500.01</v>
      </c>
      <c r="J738" s="14">
        <v>9999999.9900000002</v>
      </c>
      <c r="K738" s="14" t="s">
        <v>591</v>
      </c>
      <c r="L738" s="14" t="s">
        <v>147</v>
      </c>
      <c r="P738" s="14" t="s">
        <v>39</v>
      </c>
      <c r="Q738" s="14" t="s">
        <v>25</v>
      </c>
      <c r="R738" s="14" t="s">
        <v>146</v>
      </c>
    </row>
    <row r="739" spans="1:18" s="14" customFormat="1" x14ac:dyDescent="0.25">
      <c r="A739" s="14" t="str">
        <f>"18108"</f>
        <v>18108</v>
      </c>
      <c r="B739" s="14" t="str">
        <f>"01682"</f>
        <v>01682</v>
      </c>
      <c r="C739" s="14" t="str">
        <f>"1600"</f>
        <v>1600</v>
      </c>
      <c r="D739" s="14" t="str">
        <f>"01682"</f>
        <v>01682</v>
      </c>
      <c r="E739" s="14" t="s">
        <v>590</v>
      </c>
      <c r="F739" s="14" t="s">
        <v>676</v>
      </c>
      <c r="G739" s="14" t="str">
        <f>""</f>
        <v/>
      </c>
      <c r="H739" s="14" t="str">
        <f>" 20"</f>
        <v xml:space="preserve"> 20</v>
      </c>
      <c r="I739" s="14">
        <v>500.01</v>
      </c>
      <c r="J739" s="14">
        <v>9999999.9900000002</v>
      </c>
      <c r="K739" s="14" t="s">
        <v>591</v>
      </c>
      <c r="L739" s="14" t="s">
        <v>147</v>
      </c>
      <c r="P739" s="14" t="s">
        <v>39</v>
      </c>
      <c r="Q739" s="14" t="s">
        <v>25</v>
      </c>
      <c r="R739" s="14" t="s">
        <v>146</v>
      </c>
    </row>
    <row r="740" spans="1:18" s="14" customFormat="1" x14ac:dyDescent="0.25">
      <c r="A740" s="14" t="str">
        <f>"18108"</f>
        <v>18108</v>
      </c>
      <c r="B740" s="14" t="str">
        <f>"01687"</f>
        <v>01687</v>
      </c>
      <c r="C740" s="14" t="str">
        <f>"1600"</f>
        <v>1600</v>
      </c>
      <c r="D740" s="14" t="str">
        <f>"01687"</f>
        <v>01687</v>
      </c>
      <c r="E740" s="14" t="s">
        <v>590</v>
      </c>
      <c r="F740" s="14" t="s">
        <v>590</v>
      </c>
      <c r="G740" s="14" t="str">
        <f>""</f>
        <v/>
      </c>
      <c r="H740" s="14" t="str">
        <f>" 20"</f>
        <v xml:space="preserve"> 20</v>
      </c>
      <c r="I740" s="14">
        <v>500.01</v>
      </c>
      <c r="J740" s="14">
        <v>9999999.9900000002</v>
      </c>
      <c r="K740" s="14" t="s">
        <v>591</v>
      </c>
      <c r="L740" s="14" t="s">
        <v>147</v>
      </c>
      <c r="P740" s="14" t="s">
        <v>39</v>
      </c>
      <c r="Q740" s="14" t="s">
        <v>25</v>
      </c>
      <c r="R740" s="14" t="s">
        <v>146</v>
      </c>
    </row>
    <row r="741" spans="1:18" s="14" customFormat="1" x14ac:dyDescent="0.25">
      <c r="A741" s="14" t="str">
        <f>"18108"</f>
        <v>18108</v>
      </c>
      <c r="B741" s="14" t="str">
        <f>"01689"</f>
        <v>01689</v>
      </c>
      <c r="C741" s="14" t="str">
        <f>"1600"</f>
        <v>1600</v>
      </c>
      <c r="D741" s="14" t="str">
        <f>"01689"</f>
        <v>01689</v>
      </c>
      <c r="E741" s="14" t="s">
        <v>590</v>
      </c>
      <c r="F741" s="14" t="s">
        <v>677</v>
      </c>
      <c r="G741" s="14" t="str">
        <f>""</f>
        <v/>
      </c>
      <c r="H741" s="14" t="str">
        <f>" 20"</f>
        <v xml:space="preserve"> 20</v>
      </c>
      <c r="I741" s="14">
        <v>500.01</v>
      </c>
      <c r="J741" s="14">
        <v>9999999.9900000002</v>
      </c>
      <c r="K741" s="14" t="s">
        <v>591</v>
      </c>
      <c r="L741" s="14" t="s">
        <v>147</v>
      </c>
      <c r="P741" s="14" t="s">
        <v>39</v>
      </c>
      <c r="Q741" s="14" t="s">
        <v>25</v>
      </c>
      <c r="R741" s="14" t="s">
        <v>146</v>
      </c>
    </row>
    <row r="742" spans="1:18" s="14" customFormat="1" x14ac:dyDescent="0.25">
      <c r="A742" s="14" t="str">
        <f>"18108"</f>
        <v>18108</v>
      </c>
      <c r="B742" s="14" t="str">
        <f>"01701"</f>
        <v>01701</v>
      </c>
      <c r="C742" s="14" t="str">
        <f>"1600"</f>
        <v>1600</v>
      </c>
      <c r="D742" s="14" t="str">
        <f>"01701"</f>
        <v>01701</v>
      </c>
      <c r="E742" s="14" t="s">
        <v>590</v>
      </c>
      <c r="F742" s="14" t="s">
        <v>678</v>
      </c>
      <c r="G742" s="14" t="str">
        <f>""</f>
        <v/>
      </c>
      <c r="H742" s="14" t="str">
        <f>" 20"</f>
        <v xml:space="preserve"> 20</v>
      </c>
      <c r="I742" s="14">
        <v>500.01</v>
      </c>
      <c r="J742" s="14">
        <v>9999999.9900000002</v>
      </c>
      <c r="K742" s="14" t="s">
        <v>591</v>
      </c>
      <c r="L742" s="14" t="s">
        <v>147</v>
      </c>
      <c r="P742" s="14" t="s">
        <v>39</v>
      </c>
      <c r="Q742" s="14" t="s">
        <v>25</v>
      </c>
      <c r="R742" s="14" t="s">
        <v>146</v>
      </c>
    </row>
    <row r="743" spans="1:18" s="14" customFormat="1" x14ac:dyDescent="0.25">
      <c r="A743" s="14" t="str">
        <f>"18108"</f>
        <v>18108</v>
      </c>
      <c r="B743" s="14" t="str">
        <f>"01703"</f>
        <v>01703</v>
      </c>
      <c r="C743" s="14" t="str">
        <f>"1600"</f>
        <v>1600</v>
      </c>
      <c r="D743" s="14" t="str">
        <f>"01703"</f>
        <v>01703</v>
      </c>
      <c r="E743" s="14" t="s">
        <v>590</v>
      </c>
      <c r="F743" s="14" t="s">
        <v>679</v>
      </c>
      <c r="G743" s="14" t="str">
        <f>""</f>
        <v/>
      </c>
      <c r="H743" s="14" t="str">
        <f>" 20"</f>
        <v xml:space="preserve"> 20</v>
      </c>
      <c r="I743" s="14">
        <v>500.01</v>
      </c>
      <c r="J743" s="14">
        <v>9999999.9900000002</v>
      </c>
      <c r="K743" s="14" t="s">
        <v>591</v>
      </c>
      <c r="L743" s="14" t="s">
        <v>147</v>
      </c>
      <c r="P743" s="14" t="s">
        <v>39</v>
      </c>
      <c r="Q743" s="14" t="s">
        <v>25</v>
      </c>
      <c r="R743" s="14" t="s">
        <v>146</v>
      </c>
    </row>
    <row r="744" spans="1:18" s="14" customFormat="1" x14ac:dyDescent="0.25">
      <c r="A744" s="14" t="str">
        <f>"18108"</f>
        <v>18108</v>
      </c>
      <c r="B744" s="14" t="str">
        <f>"01706"</f>
        <v>01706</v>
      </c>
      <c r="C744" s="14" t="str">
        <f>"1600"</f>
        <v>1600</v>
      </c>
      <c r="D744" s="14" t="str">
        <f>"01706"</f>
        <v>01706</v>
      </c>
      <c r="E744" s="14" t="s">
        <v>590</v>
      </c>
      <c r="F744" s="14" t="s">
        <v>680</v>
      </c>
      <c r="G744" s="14" t="str">
        <f>""</f>
        <v/>
      </c>
      <c r="H744" s="14" t="str">
        <f>" 20"</f>
        <v xml:space="preserve"> 20</v>
      </c>
      <c r="I744" s="14">
        <v>500.01</v>
      </c>
      <c r="J744" s="14">
        <v>9999999.9900000002</v>
      </c>
      <c r="K744" s="14" t="s">
        <v>591</v>
      </c>
      <c r="L744" s="14" t="s">
        <v>147</v>
      </c>
      <c r="P744" s="14" t="s">
        <v>39</v>
      </c>
      <c r="Q744" s="14" t="s">
        <v>25</v>
      </c>
      <c r="R744" s="14" t="s">
        <v>146</v>
      </c>
    </row>
    <row r="745" spans="1:18" s="14" customFormat="1" x14ac:dyDescent="0.25">
      <c r="A745" s="14" t="str">
        <f>"18108"</f>
        <v>18108</v>
      </c>
      <c r="B745" s="14" t="str">
        <f>"01707"</f>
        <v>01707</v>
      </c>
      <c r="C745" s="14" t="str">
        <f>"1600"</f>
        <v>1600</v>
      </c>
      <c r="D745" s="14" t="str">
        <f>"01707"</f>
        <v>01707</v>
      </c>
      <c r="E745" s="14" t="s">
        <v>590</v>
      </c>
      <c r="F745" s="14" t="s">
        <v>681</v>
      </c>
      <c r="G745" s="14" t="str">
        <f>""</f>
        <v/>
      </c>
      <c r="H745" s="14" t="str">
        <f>" 20"</f>
        <v xml:space="preserve"> 20</v>
      </c>
      <c r="I745" s="14">
        <v>500.01</v>
      </c>
      <c r="J745" s="14">
        <v>9999999.9900000002</v>
      </c>
      <c r="K745" s="14" t="s">
        <v>591</v>
      </c>
      <c r="L745" s="14" t="s">
        <v>147</v>
      </c>
      <c r="P745" s="14" t="s">
        <v>39</v>
      </c>
      <c r="Q745" s="14" t="s">
        <v>25</v>
      </c>
      <c r="R745" s="14" t="s">
        <v>146</v>
      </c>
    </row>
    <row r="746" spans="1:18" s="14" customFormat="1" x14ac:dyDescent="0.25">
      <c r="A746" s="14" t="str">
        <f>"18108"</f>
        <v>18108</v>
      </c>
      <c r="B746" s="14" t="str">
        <f>"01709"</f>
        <v>01709</v>
      </c>
      <c r="C746" s="14" t="str">
        <f>"1600"</f>
        <v>1600</v>
      </c>
      <c r="D746" s="14" t="str">
        <f>"01709"</f>
        <v>01709</v>
      </c>
      <c r="E746" s="14" t="s">
        <v>590</v>
      </c>
      <c r="F746" s="14" t="s">
        <v>682</v>
      </c>
      <c r="G746" s="14" t="str">
        <f>""</f>
        <v/>
      </c>
      <c r="H746" s="14" t="str">
        <f>" 20"</f>
        <v xml:space="preserve"> 20</v>
      </c>
      <c r="I746" s="14">
        <v>500.01</v>
      </c>
      <c r="J746" s="14">
        <v>9999999.9900000002</v>
      </c>
      <c r="K746" s="14" t="s">
        <v>591</v>
      </c>
      <c r="L746" s="14" t="s">
        <v>147</v>
      </c>
      <c r="P746" s="14" t="s">
        <v>39</v>
      </c>
      <c r="Q746" s="14" t="s">
        <v>25</v>
      </c>
      <c r="R746" s="14" t="s">
        <v>146</v>
      </c>
    </row>
    <row r="747" spans="1:18" s="14" customFormat="1" x14ac:dyDescent="0.25">
      <c r="A747" s="14" t="str">
        <f>"18108"</f>
        <v>18108</v>
      </c>
      <c r="B747" s="14" t="str">
        <f>"01711"</f>
        <v>01711</v>
      </c>
      <c r="C747" s="14" t="str">
        <f>"1600"</f>
        <v>1600</v>
      </c>
      <c r="D747" s="14" t="str">
        <f>"01711"</f>
        <v>01711</v>
      </c>
      <c r="E747" s="14" t="s">
        <v>590</v>
      </c>
      <c r="F747" s="14" t="s">
        <v>683</v>
      </c>
      <c r="G747" s="14" t="str">
        <f>""</f>
        <v/>
      </c>
      <c r="H747" s="14" t="str">
        <f>" 20"</f>
        <v xml:space="preserve"> 20</v>
      </c>
      <c r="I747" s="14">
        <v>500.01</v>
      </c>
      <c r="J747" s="14">
        <v>9999999.9900000002</v>
      </c>
      <c r="K747" s="14" t="s">
        <v>591</v>
      </c>
      <c r="L747" s="14" t="s">
        <v>147</v>
      </c>
      <c r="P747" s="14" t="s">
        <v>39</v>
      </c>
      <c r="Q747" s="14" t="s">
        <v>25</v>
      </c>
      <c r="R747" s="14" t="s">
        <v>146</v>
      </c>
    </row>
    <row r="748" spans="1:18" s="14" customFormat="1" x14ac:dyDescent="0.25">
      <c r="A748" s="14" t="str">
        <f>"10001"</f>
        <v>10001</v>
      </c>
      <c r="B748" s="14" t="str">
        <f>"06000"</f>
        <v>06000</v>
      </c>
      <c r="C748" s="14" t="str">
        <f>"1700"</f>
        <v>1700</v>
      </c>
      <c r="D748" s="14" t="str">
        <f>"06000A"</f>
        <v>06000A</v>
      </c>
      <c r="E748" s="14" t="s">
        <v>20</v>
      </c>
      <c r="F748" s="14" t="s">
        <v>409</v>
      </c>
      <c r="G748" s="14" t="str">
        <f>""</f>
        <v/>
      </c>
      <c r="H748" s="14" t="str">
        <f>" 20"</f>
        <v xml:space="preserve"> 20</v>
      </c>
      <c r="I748" s="14">
        <v>500.01</v>
      </c>
      <c r="J748" s="14">
        <v>9999999.9900000002</v>
      </c>
      <c r="K748" s="14" t="s">
        <v>414</v>
      </c>
      <c r="L748" s="14" t="s">
        <v>411</v>
      </c>
      <c r="M748" s="14" t="s">
        <v>412</v>
      </c>
      <c r="P748" s="14" t="s">
        <v>39</v>
      </c>
      <c r="Q748" s="14" t="s">
        <v>25</v>
      </c>
      <c r="R748" s="14" t="s">
        <v>410</v>
      </c>
    </row>
    <row r="749" spans="1:18" s="14" customFormat="1" x14ac:dyDescent="0.25">
      <c r="A749" s="14" t="str">
        <f>"10001"</f>
        <v>10001</v>
      </c>
      <c r="B749" s="14" t="str">
        <f>"06005"</f>
        <v>06005</v>
      </c>
      <c r="C749" s="14" t="str">
        <f>"1700"</f>
        <v>1700</v>
      </c>
      <c r="D749" s="14" t="str">
        <f>"06005"</f>
        <v>06005</v>
      </c>
      <c r="E749" s="14" t="s">
        <v>20</v>
      </c>
      <c r="F749" s="14" t="s">
        <v>415</v>
      </c>
      <c r="G749" s="14" t="str">
        <f>""</f>
        <v/>
      </c>
      <c r="H749" s="14" t="str">
        <f>" 20"</f>
        <v xml:space="preserve"> 20</v>
      </c>
      <c r="I749" s="14">
        <v>500.01</v>
      </c>
      <c r="J749" s="14">
        <v>9999999.9900000002</v>
      </c>
      <c r="K749" s="14" t="s">
        <v>414</v>
      </c>
      <c r="L749" s="14" t="s">
        <v>411</v>
      </c>
      <c r="M749" s="14" t="s">
        <v>412</v>
      </c>
      <c r="P749" s="14" t="s">
        <v>39</v>
      </c>
      <c r="Q749" s="14" t="s">
        <v>25</v>
      </c>
      <c r="R749" s="14" t="s">
        <v>410</v>
      </c>
    </row>
    <row r="750" spans="1:18" s="14" customFormat="1" x14ac:dyDescent="0.25">
      <c r="A750" s="14" t="str">
        <f>"10001"</f>
        <v>10001</v>
      </c>
      <c r="B750" s="14" t="str">
        <f>"06010"</f>
        <v>06010</v>
      </c>
      <c r="C750" s="14" t="str">
        <f>"1700"</f>
        <v>1700</v>
      </c>
      <c r="D750" s="14" t="str">
        <f>"06010C"</f>
        <v>06010C</v>
      </c>
      <c r="E750" s="14" t="s">
        <v>20</v>
      </c>
      <c r="F750" s="14" t="s">
        <v>416</v>
      </c>
      <c r="G750" s="14" t="str">
        <f>""</f>
        <v/>
      </c>
      <c r="H750" s="14" t="str">
        <f>" 20"</f>
        <v xml:space="preserve"> 20</v>
      </c>
      <c r="I750" s="14">
        <v>500.01</v>
      </c>
      <c r="J750" s="14">
        <v>9999999.9900000002</v>
      </c>
      <c r="K750" s="14" t="s">
        <v>414</v>
      </c>
      <c r="L750" s="14" t="s">
        <v>411</v>
      </c>
      <c r="M750" s="14" t="s">
        <v>412</v>
      </c>
      <c r="P750" s="14" t="s">
        <v>39</v>
      </c>
      <c r="Q750" s="14" t="s">
        <v>25</v>
      </c>
      <c r="R750" s="14" t="s">
        <v>410</v>
      </c>
    </row>
    <row r="751" spans="1:18" s="14" customFormat="1" x14ac:dyDescent="0.25">
      <c r="A751" s="14" t="str">
        <f>"10001"</f>
        <v>10001</v>
      </c>
      <c r="B751" s="14" t="str">
        <f>"06020"</f>
        <v>06020</v>
      </c>
      <c r="C751" s="14" t="str">
        <f>"1700"</f>
        <v>1700</v>
      </c>
      <c r="D751" s="14" t="str">
        <f>"06020"</f>
        <v>06020</v>
      </c>
      <c r="E751" s="14" t="s">
        <v>20</v>
      </c>
      <c r="F751" s="14" t="s">
        <v>417</v>
      </c>
      <c r="G751" s="14" t="str">
        <f>""</f>
        <v/>
      </c>
      <c r="H751" s="14" t="str">
        <f>" 20"</f>
        <v xml:space="preserve"> 20</v>
      </c>
      <c r="I751" s="14">
        <v>500.01</v>
      </c>
      <c r="J751" s="14">
        <v>9999999.9900000002</v>
      </c>
      <c r="K751" s="14" t="s">
        <v>414</v>
      </c>
      <c r="L751" s="14" t="s">
        <v>411</v>
      </c>
      <c r="M751" s="14" t="s">
        <v>412</v>
      </c>
      <c r="N751" s="14" t="s">
        <v>418</v>
      </c>
      <c r="P751" s="14" t="s">
        <v>39</v>
      </c>
      <c r="Q751" s="14" t="s">
        <v>25</v>
      </c>
      <c r="R751" s="14" t="s">
        <v>410</v>
      </c>
    </row>
    <row r="752" spans="1:18" s="14" customFormat="1" x14ac:dyDescent="0.25">
      <c r="A752" s="14" t="str">
        <f>"10001"</f>
        <v>10001</v>
      </c>
      <c r="B752" s="14" t="str">
        <f>"06025"</f>
        <v>06025</v>
      </c>
      <c r="C752" s="14" t="str">
        <f>"1700"</f>
        <v>1700</v>
      </c>
      <c r="D752" s="14" t="str">
        <f>"06025"</f>
        <v>06025</v>
      </c>
      <c r="E752" s="14" t="s">
        <v>20</v>
      </c>
      <c r="F752" s="14" t="s">
        <v>419</v>
      </c>
      <c r="G752" s="14" t="str">
        <f>""</f>
        <v/>
      </c>
      <c r="H752" s="14" t="str">
        <f>" 20"</f>
        <v xml:space="preserve"> 20</v>
      </c>
      <c r="I752" s="14">
        <v>500.01</v>
      </c>
      <c r="J752" s="14">
        <v>9999999.9900000002</v>
      </c>
      <c r="K752" s="14" t="s">
        <v>414</v>
      </c>
      <c r="L752" s="14" t="s">
        <v>418</v>
      </c>
      <c r="M752" s="14" t="s">
        <v>411</v>
      </c>
      <c r="N752" s="14" t="s">
        <v>412</v>
      </c>
      <c r="P752" s="14" t="s">
        <v>39</v>
      </c>
      <c r="Q752" s="14" t="s">
        <v>25</v>
      </c>
      <c r="R752" s="14" t="s">
        <v>410</v>
      </c>
    </row>
    <row r="753" spans="1:18" s="14" customFormat="1" x14ac:dyDescent="0.25">
      <c r="A753" s="14" t="str">
        <f>"10001"</f>
        <v>10001</v>
      </c>
      <c r="B753" s="14" t="str">
        <f>"06030"</f>
        <v>06030</v>
      </c>
      <c r="C753" s="14" t="str">
        <f>"1700"</f>
        <v>1700</v>
      </c>
      <c r="D753" s="14" t="str">
        <f>"06030C"</f>
        <v>06030C</v>
      </c>
      <c r="E753" s="14" t="s">
        <v>20</v>
      </c>
      <c r="F753" s="14" t="s">
        <v>420</v>
      </c>
      <c r="G753" s="14" t="str">
        <f>""</f>
        <v/>
      </c>
      <c r="H753" s="14" t="str">
        <f>" 20"</f>
        <v xml:space="preserve"> 20</v>
      </c>
      <c r="I753" s="14">
        <v>500.01</v>
      </c>
      <c r="J753" s="14">
        <v>9999999.9900000002</v>
      </c>
      <c r="K753" s="14" t="s">
        <v>414</v>
      </c>
      <c r="L753" s="14" t="s">
        <v>411</v>
      </c>
      <c r="M753" s="14" t="s">
        <v>412</v>
      </c>
      <c r="P753" s="14" t="s">
        <v>39</v>
      </c>
      <c r="Q753" s="14" t="s">
        <v>25</v>
      </c>
      <c r="R753" s="14" t="s">
        <v>410</v>
      </c>
    </row>
    <row r="754" spans="1:18" s="14" customFormat="1" x14ac:dyDescent="0.25">
      <c r="A754" s="14" t="str">
        <f>"10001"</f>
        <v>10001</v>
      </c>
      <c r="B754" s="14" t="str">
        <f>"06040"</f>
        <v>06040</v>
      </c>
      <c r="C754" s="14" t="str">
        <f>"1700"</f>
        <v>1700</v>
      </c>
      <c r="D754" s="14" t="str">
        <f>"06040C"</f>
        <v>06040C</v>
      </c>
      <c r="E754" s="14" t="s">
        <v>20</v>
      </c>
      <c r="F754" s="14" t="s">
        <v>421</v>
      </c>
      <c r="G754" s="14" t="str">
        <f>""</f>
        <v/>
      </c>
      <c r="H754" s="14" t="str">
        <f>" 20"</f>
        <v xml:space="preserve"> 20</v>
      </c>
      <c r="I754" s="14">
        <v>500.01</v>
      </c>
      <c r="J754" s="14">
        <v>9999999.9900000002</v>
      </c>
      <c r="K754" s="14" t="s">
        <v>414</v>
      </c>
      <c r="L754" s="14" t="s">
        <v>411</v>
      </c>
      <c r="M754" s="14" t="s">
        <v>412</v>
      </c>
      <c r="P754" s="14" t="s">
        <v>39</v>
      </c>
      <c r="Q754" s="14" t="s">
        <v>25</v>
      </c>
      <c r="R754" s="14" t="s">
        <v>410</v>
      </c>
    </row>
    <row r="755" spans="1:18" s="14" customFormat="1" x14ac:dyDescent="0.25">
      <c r="A755" s="14" t="str">
        <f>"10001"</f>
        <v>10001</v>
      </c>
      <c r="B755" s="14" t="str">
        <f>"06050"</f>
        <v>06050</v>
      </c>
      <c r="C755" s="14" t="str">
        <f>"1700"</f>
        <v>1700</v>
      </c>
      <c r="D755" s="14" t="str">
        <f>"06050C"</f>
        <v>06050C</v>
      </c>
      <c r="E755" s="14" t="s">
        <v>20</v>
      </c>
      <c r="F755" s="14" t="s">
        <v>422</v>
      </c>
      <c r="G755" s="14" t="str">
        <f>""</f>
        <v/>
      </c>
      <c r="H755" s="14" t="str">
        <f>" 20"</f>
        <v xml:space="preserve"> 20</v>
      </c>
      <c r="I755" s="14">
        <v>500.01</v>
      </c>
      <c r="J755" s="14">
        <v>9999999.9900000002</v>
      </c>
      <c r="K755" s="14" t="s">
        <v>414</v>
      </c>
      <c r="L755" s="14" t="s">
        <v>411</v>
      </c>
      <c r="M755" s="14" t="s">
        <v>412</v>
      </c>
      <c r="P755" s="14" t="s">
        <v>39</v>
      </c>
      <c r="Q755" s="14" t="s">
        <v>25</v>
      </c>
      <c r="R755" s="14" t="s">
        <v>410</v>
      </c>
    </row>
    <row r="756" spans="1:18" s="14" customFormat="1" x14ac:dyDescent="0.25">
      <c r="A756" s="14" t="str">
        <f>"10001"</f>
        <v>10001</v>
      </c>
      <c r="B756" s="14" t="str">
        <f>"06060"</f>
        <v>06060</v>
      </c>
      <c r="C756" s="14" t="str">
        <f>"1700"</f>
        <v>1700</v>
      </c>
      <c r="D756" s="14" t="str">
        <f>"06060C"</f>
        <v>06060C</v>
      </c>
      <c r="E756" s="14" t="s">
        <v>20</v>
      </c>
      <c r="F756" s="14" t="s">
        <v>423</v>
      </c>
      <c r="G756" s="14" t="str">
        <f>""</f>
        <v/>
      </c>
      <c r="H756" s="14" t="str">
        <f>" 20"</f>
        <v xml:space="preserve"> 20</v>
      </c>
      <c r="I756" s="14">
        <v>500.01</v>
      </c>
      <c r="J756" s="14">
        <v>9999999.9900000002</v>
      </c>
      <c r="K756" s="14" t="s">
        <v>414</v>
      </c>
      <c r="L756" s="14" t="s">
        <v>411</v>
      </c>
      <c r="M756" s="14" t="s">
        <v>412</v>
      </c>
      <c r="P756" s="14" t="s">
        <v>39</v>
      </c>
      <c r="Q756" s="14" t="s">
        <v>25</v>
      </c>
      <c r="R756" s="14" t="s">
        <v>410</v>
      </c>
    </row>
    <row r="757" spans="1:18" s="14" customFormat="1" x14ac:dyDescent="0.25">
      <c r="A757" s="14" t="str">
        <f>"10001"</f>
        <v>10001</v>
      </c>
      <c r="B757" s="14" t="str">
        <f>"06070"</f>
        <v>06070</v>
      </c>
      <c r="C757" s="14" t="str">
        <f>"1700"</f>
        <v>1700</v>
      </c>
      <c r="D757" s="14" t="str">
        <f>"06070C"</f>
        <v>06070C</v>
      </c>
      <c r="E757" s="14" t="s">
        <v>20</v>
      </c>
      <c r="F757" s="14" t="s">
        <v>424</v>
      </c>
      <c r="G757" s="14" t="str">
        <f>""</f>
        <v/>
      </c>
      <c r="H757" s="14" t="str">
        <f>" 20"</f>
        <v xml:space="preserve"> 20</v>
      </c>
      <c r="I757" s="14">
        <v>500.01</v>
      </c>
      <c r="J757" s="14">
        <v>9999999.9900000002</v>
      </c>
      <c r="K757" s="14" t="s">
        <v>414</v>
      </c>
      <c r="L757" s="14" t="s">
        <v>411</v>
      </c>
      <c r="M757" s="14" t="s">
        <v>412</v>
      </c>
      <c r="P757" s="14" t="s">
        <v>39</v>
      </c>
      <c r="Q757" s="14" t="s">
        <v>25</v>
      </c>
      <c r="R757" s="14" t="s">
        <v>410</v>
      </c>
    </row>
    <row r="758" spans="1:18" s="14" customFormat="1" x14ac:dyDescent="0.25">
      <c r="A758" s="14" t="str">
        <f>"10001"</f>
        <v>10001</v>
      </c>
      <c r="B758" s="14" t="str">
        <f>"06080"</f>
        <v>06080</v>
      </c>
      <c r="C758" s="14" t="str">
        <f>"1700"</f>
        <v>1700</v>
      </c>
      <c r="D758" s="14" t="str">
        <f>"06080C"</f>
        <v>06080C</v>
      </c>
      <c r="E758" s="14" t="s">
        <v>20</v>
      </c>
      <c r="F758" s="14" t="s">
        <v>425</v>
      </c>
      <c r="G758" s="14" t="str">
        <f>""</f>
        <v/>
      </c>
      <c r="H758" s="14" t="str">
        <f>" 20"</f>
        <v xml:space="preserve"> 20</v>
      </c>
      <c r="I758" s="14">
        <v>500.01</v>
      </c>
      <c r="J758" s="14">
        <v>9999999.9900000002</v>
      </c>
      <c r="K758" s="14" t="s">
        <v>414</v>
      </c>
      <c r="L758" s="14" t="s">
        <v>411</v>
      </c>
      <c r="M758" s="14" t="s">
        <v>412</v>
      </c>
      <c r="P758" s="14" t="s">
        <v>39</v>
      </c>
      <c r="Q758" s="14" t="s">
        <v>25</v>
      </c>
      <c r="R758" s="14" t="s">
        <v>410</v>
      </c>
    </row>
    <row r="759" spans="1:18" s="14" customFormat="1" x14ac:dyDescent="0.25">
      <c r="A759" s="14" t="str">
        <f>"10001"</f>
        <v>10001</v>
      </c>
      <c r="B759" s="14" t="str">
        <f>"06090"</f>
        <v>06090</v>
      </c>
      <c r="C759" s="14" t="str">
        <f>"1700"</f>
        <v>1700</v>
      </c>
      <c r="D759" s="14" t="str">
        <f>"06090C"</f>
        <v>06090C</v>
      </c>
      <c r="E759" s="14" t="s">
        <v>20</v>
      </c>
      <c r="F759" s="14" t="s">
        <v>426</v>
      </c>
      <c r="G759" s="14" t="str">
        <f>""</f>
        <v/>
      </c>
      <c r="H759" s="14" t="str">
        <f>" 20"</f>
        <v xml:space="preserve"> 20</v>
      </c>
      <c r="I759" s="14">
        <v>500.01</v>
      </c>
      <c r="J759" s="14">
        <v>9999999.9900000002</v>
      </c>
      <c r="K759" s="14" t="s">
        <v>414</v>
      </c>
      <c r="L759" s="14" t="s">
        <v>411</v>
      </c>
      <c r="M759" s="14" t="s">
        <v>412</v>
      </c>
      <c r="P759" s="14" t="s">
        <v>39</v>
      </c>
      <c r="Q759" s="14" t="s">
        <v>25</v>
      </c>
      <c r="R759" s="14" t="s">
        <v>410</v>
      </c>
    </row>
    <row r="760" spans="1:18" s="14" customFormat="1" x14ac:dyDescent="0.25">
      <c r="A760" s="14" t="str">
        <f>"10001"</f>
        <v>10001</v>
      </c>
      <c r="B760" s="14" t="str">
        <f>"06100"</f>
        <v>06100</v>
      </c>
      <c r="C760" s="14" t="str">
        <f>"1700"</f>
        <v>1700</v>
      </c>
      <c r="D760" s="14" t="str">
        <f>"06100C"</f>
        <v>06100C</v>
      </c>
      <c r="E760" s="14" t="s">
        <v>20</v>
      </c>
      <c r="F760" s="14" t="s">
        <v>427</v>
      </c>
      <c r="G760" s="14" t="str">
        <f>""</f>
        <v/>
      </c>
      <c r="H760" s="14" t="str">
        <f>" 20"</f>
        <v xml:space="preserve"> 20</v>
      </c>
      <c r="I760" s="14">
        <v>500.01</v>
      </c>
      <c r="J760" s="14">
        <v>9999999.9900000002</v>
      </c>
      <c r="K760" s="14" t="s">
        <v>414</v>
      </c>
      <c r="L760" s="14" t="s">
        <v>411</v>
      </c>
      <c r="M760" s="14" t="s">
        <v>412</v>
      </c>
      <c r="P760" s="14" t="s">
        <v>39</v>
      </c>
      <c r="Q760" s="14" t="s">
        <v>25</v>
      </c>
      <c r="R760" s="14" t="s">
        <v>410</v>
      </c>
    </row>
    <row r="761" spans="1:18" s="14" customFormat="1" x14ac:dyDescent="0.25">
      <c r="A761" s="14" t="str">
        <f>"10001"</f>
        <v>10001</v>
      </c>
      <c r="B761" s="14" t="str">
        <f>"06110"</f>
        <v>06110</v>
      </c>
      <c r="C761" s="14" t="str">
        <f>"1700"</f>
        <v>1700</v>
      </c>
      <c r="D761" s="14" t="str">
        <f>"06110C"</f>
        <v>06110C</v>
      </c>
      <c r="E761" s="14" t="s">
        <v>20</v>
      </c>
      <c r="F761" s="14" t="s">
        <v>428</v>
      </c>
      <c r="G761" s="14" t="str">
        <f>""</f>
        <v/>
      </c>
      <c r="H761" s="14" t="str">
        <f>" 20"</f>
        <v xml:space="preserve"> 20</v>
      </c>
      <c r="I761" s="14">
        <v>500.01</v>
      </c>
      <c r="J761" s="14">
        <v>9999999.9900000002</v>
      </c>
      <c r="K761" s="14" t="s">
        <v>414</v>
      </c>
      <c r="L761" s="14" t="s">
        <v>411</v>
      </c>
      <c r="M761" s="14" t="s">
        <v>412</v>
      </c>
      <c r="P761" s="14" t="s">
        <v>39</v>
      </c>
      <c r="Q761" s="14" t="s">
        <v>25</v>
      </c>
      <c r="R761" s="14" t="s">
        <v>410</v>
      </c>
    </row>
    <row r="762" spans="1:18" s="14" customFormat="1" x14ac:dyDescent="0.25">
      <c r="A762" s="14" t="str">
        <f>"10001"</f>
        <v>10001</v>
      </c>
      <c r="B762" s="14" t="str">
        <f>"06120"</f>
        <v>06120</v>
      </c>
      <c r="C762" s="14" t="str">
        <f>"1700"</f>
        <v>1700</v>
      </c>
      <c r="D762" s="14" t="str">
        <f>"06120C"</f>
        <v>06120C</v>
      </c>
      <c r="E762" s="14" t="s">
        <v>20</v>
      </c>
      <c r="F762" s="14" t="s">
        <v>429</v>
      </c>
      <c r="G762" s="14" t="str">
        <f>""</f>
        <v/>
      </c>
      <c r="H762" s="14" t="str">
        <f>" 20"</f>
        <v xml:space="preserve"> 20</v>
      </c>
      <c r="I762" s="14">
        <v>500.01</v>
      </c>
      <c r="J762" s="14">
        <v>9999999.9900000002</v>
      </c>
      <c r="K762" s="14" t="s">
        <v>414</v>
      </c>
      <c r="L762" s="14" t="s">
        <v>411</v>
      </c>
      <c r="M762" s="14" t="s">
        <v>412</v>
      </c>
      <c r="P762" s="14" t="s">
        <v>39</v>
      </c>
      <c r="Q762" s="14" t="s">
        <v>25</v>
      </c>
      <c r="R762" s="14" t="s">
        <v>410</v>
      </c>
    </row>
    <row r="763" spans="1:18" s="14" customFormat="1" x14ac:dyDescent="0.25">
      <c r="A763" s="14" t="str">
        <f>"10001"</f>
        <v>10001</v>
      </c>
      <c r="B763" s="14" t="str">
        <f>"06130"</f>
        <v>06130</v>
      </c>
      <c r="C763" s="14" t="str">
        <f>"1700"</f>
        <v>1700</v>
      </c>
      <c r="D763" s="14" t="str">
        <f>"06130C"</f>
        <v>06130C</v>
      </c>
      <c r="E763" s="14" t="s">
        <v>20</v>
      </c>
      <c r="F763" s="14" t="s">
        <v>430</v>
      </c>
      <c r="G763" s="14" t="str">
        <f>""</f>
        <v/>
      </c>
      <c r="H763" s="14" t="str">
        <f>" 20"</f>
        <v xml:space="preserve"> 20</v>
      </c>
      <c r="I763" s="14">
        <v>500.01</v>
      </c>
      <c r="J763" s="14">
        <v>9999999.9900000002</v>
      </c>
      <c r="K763" s="14" t="s">
        <v>414</v>
      </c>
      <c r="L763" s="14" t="s">
        <v>411</v>
      </c>
      <c r="M763" s="14" t="s">
        <v>412</v>
      </c>
      <c r="P763" s="14" t="s">
        <v>39</v>
      </c>
      <c r="Q763" s="14" t="s">
        <v>25</v>
      </c>
      <c r="R763" s="14" t="s">
        <v>410</v>
      </c>
    </row>
    <row r="764" spans="1:18" s="14" customFormat="1" x14ac:dyDescent="0.25">
      <c r="A764" s="14" t="str">
        <f>"10001"</f>
        <v>10001</v>
      </c>
      <c r="B764" s="14" t="str">
        <f>"06140"</f>
        <v>06140</v>
      </c>
      <c r="C764" s="14" t="str">
        <f>"1700"</f>
        <v>1700</v>
      </c>
      <c r="D764" s="14" t="str">
        <f>"06140C"</f>
        <v>06140C</v>
      </c>
      <c r="E764" s="14" t="s">
        <v>20</v>
      </c>
      <c r="F764" s="14" t="s">
        <v>431</v>
      </c>
      <c r="G764" s="14" t="str">
        <f>""</f>
        <v/>
      </c>
      <c r="H764" s="14" t="str">
        <f>" 20"</f>
        <v xml:space="preserve"> 20</v>
      </c>
      <c r="I764" s="14">
        <v>500.01</v>
      </c>
      <c r="J764" s="14">
        <v>9999999.9900000002</v>
      </c>
      <c r="K764" s="14" t="s">
        <v>414</v>
      </c>
      <c r="L764" s="14" t="s">
        <v>411</v>
      </c>
      <c r="M764" s="14" t="s">
        <v>412</v>
      </c>
      <c r="P764" s="14" t="s">
        <v>39</v>
      </c>
      <c r="Q764" s="14" t="s">
        <v>25</v>
      </c>
      <c r="R764" s="14" t="s">
        <v>410</v>
      </c>
    </row>
    <row r="765" spans="1:18" s="14" customFormat="1" x14ac:dyDescent="0.25">
      <c r="A765" s="14" t="str">
        <f>"10001"</f>
        <v>10001</v>
      </c>
      <c r="B765" s="14" t="str">
        <f>"06150"</f>
        <v>06150</v>
      </c>
      <c r="C765" s="14" t="str">
        <f>"1700"</f>
        <v>1700</v>
      </c>
      <c r="D765" s="14" t="str">
        <f>"06150C"</f>
        <v>06150C</v>
      </c>
      <c r="E765" s="14" t="s">
        <v>20</v>
      </c>
      <c r="F765" s="14" t="s">
        <v>432</v>
      </c>
      <c r="G765" s="14" t="str">
        <f>""</f>
        <v/>
      </c>
      <c r="H765" s="14" t="str">
        <f>" 20"</f>
        <v xml:space="preserve"> 20</v>
      </c>
      <c r="I765" s="14">
        <v>500.01</v>
      </c>
      <c r="J765" s="14">
        <v>9999999.9900000002</v>
      </c>
      <c r="K765" s="14" t="s">
        <v>414</v>
      </c>
      <c r="L765" s="14" t="s">
        <v>411</v>
      </c>
      <c r="M765" s="14" t="s">
        <v>412</v>
      </c>
      <c r="P765" s="14" t="s">
        <v>39</v>
      </c>
      <c r="Q765" s="14" t="s">
        <v>25</v>
      </c>
      <c r="R765" s="14" t="s">
        <v>410</v>
      </c>
    </row>
    <row r="766" spans="1:18" s="14" customFormat="1" x14ac:dyDescent="0.25">
      <c r="A766" s="14" t="str">
        <f>"10001"</f>
        <v>10001</v>
      </c>
      <c r="B766" s="14" t="str">
        <f>"06151"</f>
        <v>06151</v>
      </c>
      <c r="C766" s="14" t="str">
        <f>"1700"</f>
        <v>1700</v>
      </c>
      <c r="D766" s="14" t="str">
        <f>"06151C"</f>
        <v>06151C</v>
      </c>
      <c r="E766" s="14" t="s">
        <v>20</v>
      </c>
      <c r="F766" s="14" t="s">
        <v>433</v>
      </c>
      <c r="G766" s="14" t="str">
        <f>""</f>
        <v/>
      </c>
      <c r="H766" s="14" t="str">
        <f>" 20"</f>
        <v xml:space="preserve"> 20</v>
      </c>
      <c r="I766" s="14">
        <v>500.01</v>
      </c>
      <c r="J766" s="14">
        <v>9999999.9900000002</v>
      </c>
      <c r="K766" s="14" t="s">
        <v>414</v>
      </c>
      <c r="L766" s="14" t="s">
        <v>411</v>
      </c>
      <c r="M766" s="14" t="s">
        <v>412</v>
      </c>
      <c r="P766" s="14" t="s">
        <v>39</v>
      </c>
      <c r="Q766" s="14" t="s">
        <v>25</v>
      </c>
      <c r="R766" s="14" t="s">
        <v>410</v>
      </c>
    </row>
    <row r="767" spans="1:18" s="14" customFormat="1" x14ac:dyDescent="0.25">
      <c r="A767" s="14" t="str">
        <f>"10001"</f>
        <v>10001</v>
      </c>
      <c r="B767" s="14" t="str">
        <f>"06152"</f>
        <v>06152</v>
      </c>
      <c r="C767" s="14" t="str">
        <f>"1700"</f>
        <v>1700</v>
      </c>
      <c r="D767" s="14" t="str">
        <f>"06152C"</f>
        <v>06152C</v>
      </c>
      <c r="E767" s="14" t="s">
        <v>20</v>
      </c>
      <c r="F767" s="14" t="s">
        <v>434</v>
      </c>
      <c r="G767" s="14" t="str">
        <f>""</f>
        <v/>
      </c>
      <c r="H767" s="14" t="str">
        <f>" 20"</f>
        <v xml:space="preserve"> 20</v>
      </c>
      <c r="I767" s="14">
        <v>500.01</v>
      </c>
      <c r="J767" s="14">
        <v>9999999.9900000002</v>
      </c>
      <c r="K767" s="14" t="s">
        <v>414</v>
      </c>
      <c r="L767" s="14" t="s">
        <v>411</v>
      </c>
      <c r="M767" s="14" t="s">
        <v>412</v>
      </c>
      <c r="P767" s="14" t="s">
        <v>39</v>
      </c>
      <c r="Q767" s="14" t="s">
        <v>25</v>
      </c>
      <c r="R767" s="14" t="s">
        <v>410</v>
      </c>
    </row>
    <row r="768" spans="1:18" s="14" customFormat="1" x14ac:dyDescent="0.25">
      <c r="A768" s="14" t="str">
        <f>"16005"</f>
        <v>16005</v>
      </c>
      <c r="B768" s="14" t="str">
        <f>"06000"</f>
        <v>06000</v>
      </c>
      <c r="C768" s="14" t="str">
        <f>"1700"</f>
        <v>1700</v>
      </c>
      <c r="D768" s="14" t="str">
        <f>"16005"</f>
        <v>16005</v>
      </c>
      <c r="E768" s="14" t="s">
        <v>524</v>
      </c>
      <c r="F768" s="14" t="s">
        <v>409</v>
      </c>
      <c r="G768" s="14" t="str">
        <f>""</f>
        <v/>
      </c>
      <c r="H768" s="14" t="str">
        <f>" 20"</f>
        <v xml:space="preserve"> 20</v>
      </c>
      <c r="I768" s="14">
        <v>500.01</v>
      </c>
      <c r="J768" s="14">
        <v>9999999.9900000002</v>
      </c>
      <c r="K768" s="14" t="s">
        <v>414</v>
      </c>
      <c r="L768" s="14" t="s">
        <v>411</v>
      </c>
      <c r="M768" s="14" t="s">
        <v>412</v>
      </c>
      <c r="P768" s="14" t="s">
        <v>39</v>
      </c>
      <c r="Q768" s="14" t="s">
        <v>25</v>
      </c>
      <c r="R768" s="14" t="s">
        <v>410</v>
      </c>
    </row>
    <row r="769" spans="1:18" s="14" customFormat="1" x14ac:dyDescent="0.25">
      <c r="A769" s="14" t="str">
        <f>"16042"</f>
        <v>16042</v>
      </c>
      <c r="B769" s="14" t="str">
        <f>"06000"</f>
        <v>06000</v>
      </c>
      <c r="C769" s="14" t="str">
        <f>"1700"</f>
        <v>1700</v>
      </c>
      <c r="D769" s="14" t="str">
        <f>"16042"</f>
        <v>16042</v>
      </c>
      <c r="E769" s="14" t="s">
        <v>558</v>
      </c>
      <c r="F769" s="14" t="s">
        <v>409</v>
      </c>
      <c r="G769" s="14" t="str">
        <f>""</f>
        <v/>
      </c>
      <c r="H769" s="14" t="str">
        <f>" 20"</f>
        <v xml:space="preserve"> 20</v>
      </c>
      <c r="I769" s="14">
        <v>500.01</v>
      </c>
      <c r="J769" s="14">
        <v>9999999.9900000002</v>
      </c>
      <c r="K769" s="14" t="s">
        <v>414</v>
      </c>
      <c r="L769" s="14" t="s">
        <v>411</v>
      </c>
      <c r="M769" s="14" t="s">
        <v>412</v>
      </c>
      <c r="P769" s="14" t="s">
        <v>39</v>
      </c>
      <c r="Q769" s="14" t="s">
        <v>25</v>
      </c>
      <c r="R769" s="14" t="s">
        <v>410</v>
      </c>
    </row>
    <row r="770" spans="1:18" s="14" customFormat="1" x14ac:dyDescent="0.25">
      <c r="A770" s="14" t="str">
        <f>"16043"</f>
        <v>16043</v>
      </c>
      <c r="B770" s="14" t="str">
        <f>"06000"</f>
        <v>06000</v>
      </c>
      <c r="C770" s="14" t="str">
        <f>"1700"</f>
        <v>1700</v>
      </c>
      <c r="D770" s="14" t="str">
        <f>"16043"</f>
        <v>16043</v>
      </c>
      <c r="E770" s="14" t="s">
        <v>559</v>
      </c>
      <c r="F770" s="14" t="s">
        <v>409</v>
      </c>
      <c r="G770" s="14" t="str">
        <f>""</f>
        <v/>
      </c>
      <c r="H770" s="14" t="str">
        <f>" 20"</f>
        <v xml:space="preserve"> 20</v>
      </c>
      <c r="I770" s="14">
        <v>500.01</v>
      </c>
      <c r="J770" s="14">
        <v>9999999.9900000002</v>
      </c>
      <c r="K770" s="14" t="s">
        <v>414</v>
      </c>
      <c r="L770" s="14" t="s">
        <v>411</v>
      </c>
      <c r="M770" s="14" t="s">
        <v>412</v>
      </c>
      <c r="P770" s="14" t="s">
        <v>39</v>
      </c>
      <c r="Q770" s="14" t="s">
        <v>25</v>
      </c>
      <c r="R770" s="14" t="s">
        <v>410</v>
      </c>
    </row>
    <row r="771" spans="1:18" s="14" customFormat="1" x14ac:dyDescent="0.25">
      <c r="A771" s="14" t="str">
        <f>"16044"</f>
        <v>16044</v>
      </c>
      <c r="B771" s="14" t="str">
        <f>"06000"</f>
        <v>06000</v>
      </c>
      <c r="C771" s="14" t="str">
        <f>"1700"</f>
        <v>1700</v>
      </c>
      <c r="D771" s="14" t="str">
        <f>"16044"</f>
        <v>16044</v>
      </c>
      <c r="E771" s="14" t="s">
        <v>560</v>
      </c>
      <c r="F771" s="14" t="s">
        <v>409</v>
      </c>
      <c r="G771" s="14" t="str">
        <f>""</f>
        <v/>
      </c>
      <c r="H771" s="14" t="str">
        <f>" 20"</f>
        <v xml:space="preserve"> 20</v>
      </c>
      <c r="I771" s="14">
        <v>500.01</v>
      </c>
      <c r="J771" s="14">
        <v>9999999.9900000002</v>
      </c>
      <c r="K771" s="14" t="s">
        <v>414</v>
      </c>
      <c r="L771" s="14" t="s">
        <v>411</v>
      </c>
      <c r="M771" s="14" t="s">
        <v>412</v>
      </c>
      <c r="P771" s="14" t="s">
        <v>39</v>
      </c>
      <c r="Q771" s="14" t="s">
        <v>25</v>
      </c>
      <c r="R771" s="14" t="s">
        <v>410</v>
      </c>
    </row>
    <row r="772" spans="1:18" s="14" customFormat="1" x14ac:dyDescent="0.25">
      <c r="A772" s="14" t="str">
        <f>"16056"</f>
        <v>16056</v>
      </c>
      <c r="B772" s="14" t="str">
        <f>"06000"</f>
        <v>06000</v>
      </c>
      <c r="C772" s="14" t="str">
        <f>"1700"</f>
        <v>1700</v>
      </c>
      <c r="D772" s="14" t="str">
        <f>"16056"</f>
        <v>16056</v>
      </c>
      <c r="E772" s="14" t="s">
        <v>570</v>
      </c>
      <c r="F772" s="14" t="s">
        <v>409</v>
      </c>
      <c r="G772" s="14" t="str">
        <f>""</f>
        <v/>
      </c>
      <c r="H772" s="14" t="str">
        <f>" 20"</f>
        <v xml:space="preserve"> 20</v>
      </c>
      <c r="I772" s="14">
        <v>500.01</v>
      </c>
      <c r="J772" s="14">
        <v>9999999.9900000002</v>
      </c>
      <c r="K772" s="14" t="s">
        <v>414</v>
      </c>
      <c r="L772" s="14" t="s">
        <v>411</v>
      </c>
      <c r="M772" s="14" t="s">
        <v>412</v>
      </c>
      <c r="P772" s="14" t="s">
        <v>39</v>
      </c>
      <c r="Q772" s="14" t="s">
        <v>25</v>
      </c>
      <c r="R772" s="14" t="s">
        <v>410</v>
      </c>
    </row>
    <row r="773" spans="1:18" s="14" customFormat="1" x14ac:dyDescent="0.25">
      <c r="A773" s="14" t="str">
        <f>"30003"</f>
        <v>30003</v>
      </c>
      <c r="B773" s="14" t="str">
        <f>"06000"</f>
        <v>06000</v>
      </c>
      <c r="C773" s="14" t="str">
        <f>"1700"</f>
        <v>1700</v>
      </c>
      <c r="D773" s="14" t="str">
        <f>""</f>
        <v/>
      </c>
      <c r="E773" s="14" t="s">
        <v>946</v>
      </c>
      <c r="F773" s="14" t="s">
        <v>409</v>
      </c>
      <c r="G773" s="14" t="str">
        <f>""</f>
        <v/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414</v>
      </c>
      <c r="L773" s="14" t="s">
        <v>411</v>
      </c>
      <c r="M773" s="14" t="s">
        <v>412</v>
      </c>
      <c r="P773" s="14" t="s">
        <v>39</v>
      </c>
      <c r="Q773" s="14" t="s">
        <v>25</v>
      </c>
      <c r="R773" s="14" t="s">
        <v>410</v>
      </c>
    </row>
    <row r="774" spans="1:18" s="14" customFormat="1" x14ac:dyDescent="0.25">
      <c r="A774" s="14" t="str">
        <f>"30003"</f>
        <v>30003</v>
      </c>
      <c r="B774" s="14" t="str">
        <f>"06030"</f>
        <v>06030</v>
      </c>
      <c r="C774" s="14" t="str">
        <f>"1700"</f>
        <v>1700</v>
      </c>
      <c r="D774" s="14" t="str">
        <f>""</f>
        <v/>
      </c>
      <c r="E774" s="14" t="s">
        <v>946</v>
      </c>
      <c r="F774" s="14" t="s">
        <v>420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414</v>
      </c>
      <c r="L774" s="14" t="s">
        <v>411</v>
      </c>
      <c r="M774" s="14" t="s">
        <v>412</v>
      </c>
      <c r="P774" s="14" t="s">
        <v>39</v>
      </c>
      <c r="Q774" s="14" t="s">
        <v>25</v>
      </c>
      <c r="R774" s="14" t="s">
        <v>410</v>
      </c>
    </row>
    <row r="775" spans="1:18" s="14" customFormat="1" x14ac:dyDescent="0.25">
      <c r="A775" s="14" t="str">
        <f>"30003"</f>
        <v>30003</v>
      </c>
      <c r="B775" s="14" t="str">
        <f>"06040"</f>
        <v>06040</v>
      </c>
      <c r="C775" s="14" t="str">
        <f>"1700"</f>
        <v>1700</v>
      </c>
      <c r="D775" s="14" t="str">
        <f>""</f>
        <v/>
      </c>
      <c r="E775" s="14" t="s">
        <v>946</v>
      </c>
      <c r="F775" s="14" t="s">
        <v>421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414</v>
      </c>
      <c r="L775" s="14" t="s">
        <v>411</v>
      </c>
      <c r="M775" s="14" t="s">
        <v>412</v>
      </c>
      <c r="P775" s="14" t="s">
        <v>39</v>
      </c>
      <c r="Q775" s="14" t="s">
        <v>25</v>
      </c>
      <c r="R775" s="14" t="s">
        <v>410</v>
      </c>
    </row>
    <row r="776" spans="1:18" s="14" customFormat="1" x14ac:dyDescent="0.25">
      <c r="A776" s="14" t="str">
        <f>"30003"</f>
        <v>30003</v>
      </c>
      <c r="B776" s="14" t="str">
        <f>"06050"</f>
        <v>06050</v>
      </c>
      <c r="C776" s="14" t="str">
        <f>"1700"</f>
        <v>1700</v>
      </c>
      <c r="D776" s="14" t="str">
        <f>""</f>
        <v/>
      </c>
      <c r="E776" s="14" t="s">
        <v>946</v>
      </c>
      <c r="F776" s="14" t="s">
        <v>422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414</v>
      </c>
      <c r="L776" s="14" t="s">
        <v>411</v>
      </c>
      <c r="M776" s="14" t="s">
        <v>412</v>
      </c>
      <c r="P776" s="14" t="s">
        <v>39</v>
      </c>
      <c r="Q776" s="14" t="s">
        <v>25</v>
      </c>
      <c r="R776" s="14" t="s">
        <v>410</v>
      </c>
    </row>
    <row r="777" spans="1:18" s="14" customFormat="1" x14ac:dyDescent="0.25">
      <c r="A777" s="14" t="str">
        <f>"30003"</f>
        <v>30003</v>
      </c>
      <c r="B777" s="14" t="str">
        <f>"06060"</f>
        <v>06060</v>
      </c>
      <c r="C777" s="14" t="str">
        <f>"1700"</f>
        <v>1700</v>
      </c>
      <c r="D777" s="14" t="str">
        <f>""</f>
        <v/>
      </c>
      <c r="E777" s="14" t="s">
        <v>946</v>
      </c>
      <c r="F777" s="14" t="s">
        <v>423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414</v>
      </c>
      <c r="L777" s="14" t="s">
        <v>411</v>
      </c>
      <c r="M777" s="14" t="s">
        <v>412</v>
      </c>
      <c r="P777" s="14" t="s">
        <v>39</v>
      </c>
      <c r="Q777" s="14" t="s">
        <v>25</v>
      </c>
      <c r="R777" s="14" t="s">
        <v>410</v>
      </c>
    </row>
    <row r="778" spans="1:18" s="14" customFormat="1" x14ac:dyDescent="0.25">
      <c r="A778" s="14" t="str">
        <f>"30003"</f>
        <v>30003</v>
      </c>
      <c r="B778" s="14" t="str">
        <f>"06070"</f>
        <v>06070</v>
      </c>
      <c r="C778" s="14" t="str">
        <f>"1700"</f>
        <v>1700</v>
      </c>
      <c r="D778" s="14" t="str">
        <f>""</f>
        <v/>
      </c>
      <c r="E778" s="14" t="s">
        <v>946</v>
      </c>
      <c r="F778" s="14" t="s">
        <v>424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414</v>
      </c>
      <c r="L778" s="14" t="s">
        <v>411</v>
      </c>
      <c r="M778" s="14" t="s">
        <v>412</v>
      </c>
      <c r="P778" s="14" t="s">
        <v>39</v>
      </c>
      <c r="Q778" s="14" t="s">
        <v>25</v>
      </c>
      <c r="R778" s="14" t="s">
        <v>410</v>
      </c>
    </row>
    <row r="779" spans="1:18" s="14" customFormat="1" x14ac:dyDescent="0.25">
      <c r="A779" s="14" t="str">
        <f>"30003"</f>
        <v>30003</v>
      </c>
      <c r="B779" s="14" t="str">
        <f>"06080"</f>
        <v>06080</v>
      </c>
      <c r="C779" s="14" t="str">
        <f>"1700"</f>
        <v>1700</v>
      </c>
      <c r="D779" s="14" t="str">
        <f>""</f>
        <v/>
      </c>
      <c r="E779" s="14" t="s">
        <v>946</v>
      </c>
      <c r="F779" s="14" t="s">
        <v>425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414</v>
      </c>
      <c r="L779" s="14" t="s">
        <v>411</v>
      </c>
      <c r="M779" s="14" t="s">
        <v>412</v>
      </c>
      <c r="P779" s="14" t="s">
        <v>39</v>
      </c>
      <c r="Q779" s="14" t="s">
        <v>25</v>
      </c>
      <c r="R779" s="14" t="s">
        <v>410</v>
      </c>
    </row>
    <row r="780" spans="1:18" s="14" customFormat="1" x14ac:dyDescent="0.25">
      <c r="A780" s="14" t="str">
        <f>"30003"</f>
        <v>30003</v>
      </c>
      <c r="B780" s="14" t="str">
        <f>"06090"</f>
        <v>06090</v>
      </c>
      <c r="C780" s="14" t="str">
        <f>"1700"</f>
        <v>1700</v>
      </c>
      <c r="D780" s="14" t="str">
        <f>""</f>
        <v/>
      </c>
      <c r="E780" s="14" t="s">
        <v>946</v>
      </c>
      <c r="F780" s="14" t="s">
        <v>426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414</v>
      </c>
      <c r="L780" s="14" t="s">
        <v>411</v>
      </c>
      <c r="M780" s="14" t="s">
        <v>412</v>
      </c>
      <c r="P780" s="14" t="s">
        <v>39</v>
      </c>
      <c r="Q780" s="14" t="s">
        <v>25</v>
      </c>
      <c r="R780" s="14" t="s">
        <v>410</v>
      </c>
    </row>
    <row r="781" spans="1:18" s="14" customFormat="1" x14ac:dyDescent="0.25">
      <c r="A781" s="14" t="str">
        <f>"30003"</f>
        <v>30003</v>
      </c>
      <c r="B781" s="14" t="str">
        <f>"06100"</f>
        <v>06100</v>
      </c>
      <c r="C781" s="14" t="str">
        <f>"1700"</f>
        <v>1700</v>
      </c>
      <c r="D781" s="14" t="str">
        <f>""</f>
        <v/>
      </c>
      <c r="E781" s="14" t="s">
        <v>946</v>
      </c>
      <c r="F781" s="14" t="s">
        <v>427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414</v>
      </c>
      <c r="L781" s="14" t="s">
        <v>411</v>
      </c>
      <c r="M781" s="14" t="s">
        <v>412</v>
      </c>
      <c r="P781" s="14" t="s">
        <v>39</v>
      </c>
      <c r="Q781" s="14" t="s">
        <v>25</v>
      </c>
      <c r="R781" s="14" t="s">
        <v>410</v>
      </c>
    </row>
    <row r="782" spans="1:18" s="14" customFormat="1" x14ac:dyDescent="0.25">
      <c r="A782" s="14" t="str">
        <f>"30003"</f>
        <v>30003</v>
      </c>
      <c r="B782" s="14" t="str">
        <f>"06110"</f>
        <v>06110</v>
      </c>
      <c r="C782" s="14" t="str">
        <f>"1700"</f>
        <v>1700</v>
      </c>
      <c r="D782" s="14" t="str">
        <f>""</f>
        <v/>
      </c>
      <c r="E782" s="14" t="s">
        <v>946</v>
      </c>
      <c r="F782" s="14" t="s">
        <v>428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414</v>
      </c>
      <c r="L782" s="14" t="s">
        <v>411</v>
      </c>
      <c r="M782" s="14" t="s">
        <v>412</v>
      </c>
      <c r="P782" s="14" t="s">
        <v>39</v>
      </c>
      <c r="Q782" s="14" t="s">
        <v>25</v>
      </c>
      <c r="R782" s="14" t="s">
        <v>410</v>
      </c>
    </row>
    <row r="783" spans="1:18" s="14" customFormat="1" x14ac:dyDescent="0.25">
      <c r="A783" s="14" t="str">
        <f>"30003"</f>
        <v>30003</v>
      </c>
      <c r="B783" s="14" t="str">
        <f>"06120"</f>
        <v>06120</v>
      </c>
      <c r="C783" s="14" t="str">
        <f>"1700"</f>
        <v>1700</v>
      </c>
      <c r="D783" s="14" t="str">
        <f>""</f>
        <v/>
      </c>
      <c r="E783" s="14" t="s">
        <v>946</v>
      </c>
      <c r="F783" s="14" t="s">
        <v>429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414</v>
      </c>
      <c r="L783" s="14" t="s">
        <v>411</v>
      </c>
      <c r="M783" s="14" t="s">
        <v>412</v>
      </c>
      <c r="P783" s="14" t="s">
        <v>39</v>
      </c>
      <c r="Q783" s="14" t="s">
        <v>25</v>
      </c>
      <c r="R783" s="14" t="s">
        <v>410</v>
      </c>
    </row>
    <row r="784" spans="1:18" s="14" customFormat="1" x14ac:dyDescent="0.25">
      <c r="A784" s="14" t="str">
        <f>"30003"</f>
        <v>30003</v>
      </c>
      <c r="B784" s="14" t="str">
        <f>"06130"</f>
        <v>06130</v>
      </c>
      <c r="C784" s="14" t="str">
        <f>"1700"</f>
        <v>1700</v>
      </c>
      <c r="D784" s="14" t="str">
        <f>""</f>
        <v/>
      </c>
      <c r="E784" s="14" t="s">
        <v>946</v>
      </c>
      <c r="F784" s="14" t="s">
        <v>430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414</v>
      </c>
      <c r="L784" s="14" t="s">
        <v>411</v>
      </c>
      <c r="M784" s="14" t="s">
        <v>412</v>
      </c>
      <c r="P784" s="14" t="s">
        <v>39</v>
      </c>
      <c r="Q784" s="14" t="s">
        <v>25</v>
      </c>
      <c r="R784" s="14" t="s">
        <v>410</v>
      </c>
    </row>
    <row r="785" spans="1:18" s="14" customFormat="1" x14ac:dyDescent="0.25">
      <c r="A785" s="14" t="str">
        <f>"30003"</f>
        <v>30003</v>
      </c>
      <c r="B785" s="14" t="str">
        <f>"06140"</f>
        <v>06140</v>
      </c>
      <c r="C785" s="14" t="str">
        <f>"1700"</f>
        <v>1700</v>
      </c>
      <c r="D785" s="14" t="str">
        <f>""</f>
        <v/>
      </c>
      <c r="E785" s="14" t="s">
        <v>946</v>
      </c>
      <c r="F785" s="14" t="s">
        <v>431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414</v>
      </c>
      <c r="L785" s="14" t="s">
        <v>411</v>
      </c>
      <c r="M785" s="14" t="s">
        <v>412</v>
      </c>
      <c r="P785" s="14" t="s">
        <v>39</v>
      </c>
      <c r="Q785" s="14" t="s">
        <v>25</v>
      </c>
      <c r="R785" s="14" t="s">
        <v>410</v>
      </c>
    </row>
    <row r="786" spans="1:18" s="14" customFormat="1" x14ac:dyDescent="0.25">
      <c r="A786" s="14" t="str">
        <f>"30003"</f>
        <v>30003</v>
      </c>
      <c r="B786" s="14" t="str">
        <f>"06150"</f>
        <v>06150</v>
      </c>
      <c r="C786" s="14" t="str">
        <f>"1700"</f>
        <v>1700</v>
      </c>
      <c r="D786" s="14" t="str">
        <f>""</f>
        <v/>
      </c>
      <c r="E786" s="14" t="s">
        <v>946</v>
      </c>
      <c r="F786" s="14" t="s">
        <v>432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414</v>
      </c>
      <c r="L786" s="14" t="s">
        <v>411</v>
      </c>
      <c r="M786" s="14" t="s">
        <v>412</v>
      </c>
      <c r="P786" s="14" t="s">
        <v>39</v>
      </c>
      <c r="Q786" s="14" t="s">
        <v>25</v>
      </c>
      <c r="R786" s="14" t="s">
        <v>410</v>
      </c>
    </row>
    <row r="787" spans="1:18" s="14" customFormat="1" x14ac:dyDescent="0.25">
      <c r="A787" s="14" t="str">
        <f>"30005"</f>
        <v>30005</v>
      </c>
      <c r="B787" s="14" t="str">
        <f>"06000"</f>
        <v>06000</v>
      </c>
      <c r="C787" s="14" t="str">
        <f>"1700"</f>
        <v>1700</v>
      </c>
      <c r="D787" s="14" t="str">
        <f>"06000B"</f>
        <v>06000B</v>
      </c>
      <c r="E787" s="14" t="s">
        <v>947</v>
      </c>
      <c r="F787" s="14" t="s">
        <v>409</v>
      </c>
      <c r="G787" s="14" t="str">
        <f>""</f>
        <v/>
      </c>
      <c r="H787" s="14" t="str">
        <f>" 20"</f>
        <v xml:space="preserve"> 20</v>
      </c>
      <c r="I787" s="14">
        <v>500.01</v>
      </c>
      <c r="J787" s="14">
        <v>9999999.9900000002</v>
      </c>
      <c r="K787" s="14" t="s">
        <v>414</v>
      </c>
      <c r="L787" s="14" t="s">
        <v>411</v>
      </c>
      <c r="M787" s="14" t="s">
        <v>412</v>
      </c>
      <c r="P787" s="14" t="s">
        <v>39</v>
      </c>
      <c r="Q787" s="14" t="s">
        <v>25</v>
      </c>
      <c r="R787" s="14" t="s">
        <v>410</v>
      </c>
    </row>
    <row r="788" spans="1:18" s="14" customFormat="1" x14ac:dyDescent="0.25">
      <c r="A788" s="14" t="str">
        <f>"30005"</f>
        <v>30005</v>
      </c>
      <c r="B788" s="14" t="str">
        <f>"06010"</f>
        <v>06010</v>
      </c>
      <c r="C788" s="14" t="str">
        <f>"1700"</f>
        <v>1700</v>
      </c>
      <c r="D788" s="14" t="str">
        <f>"06010A"</f>
        <v>06010A</v>
      </c>
      <c r="E788" s="14" t="s">
        <v>947</v>
      </c>
      <c r="F788" s="14" t="s">
        <v>416</v>
      </c>
      <c r="G788" s="14" t="str">
        <f>""</f>
        <v/>
      </c>
      <c r="H788" s="14" t="str">
        <f>" 20"</f>
        <v xml:space="preserve"> 20</v>
      </c>
      <c r="I788" s="14">
        <v>500.01</v>
      </c>
      <c r="J788" s="14">
        <v>9999999.9900000002</v>
      </c>
      <c r="K788" s="14" t="s">
        <v>414</v>
      </c>
      <c r="L788" s="14" t="s">
        <v>411</v>
      </c>
      <c r="M788" s="14" t="s">
        <v>412</v>
      </c>
      <c r="P788" s="14" t="s">
        <v>39</v>
      </c>
      <c r="Q788" s="14" t="s">
        <v>25</v>
      </c>
      <c r="R788" s="14" t="s">
        <v>410</v>
      </c>
    </row>
    <row r="789" spans="1:18" s="14" customFormat="1" x14ac:dyDescent="0.25">
      <c r="A789" s="14" t="str">
        <f>"30005"</f>
        <v>30005</v>
      </c>
      <c r="B789" s="14" t="str">
        <f>"06030"</f>
        <v>06030</v>
      </c>
      <c r="C789" s="14" t="str">
        <f>"1700"</f>
        <v>1700</v>
      </c>
      <c r="D789" s="14" t="str">
        <f>"06030A"</f>
        <v>06030A</v>
      </c>
      <c r="E789" s="14" t="s">
        <v>947</v>
      </c>
      <c r="F789" s="14" t="s">
        <v>420</v>
      </c>
      <c r="G789" s="14" t="str">
        <f>""</f>
        <v/>
      </c>
      <c r="H789" s="14" t="str">
        <f>" 20"</f>
        <v xml:space="preserve"> 20</v>
      </c>
      <c r="I789" s="14">
        <v>500.01</v>
      </c>
      <c r="J789" s="14">
        <v>9999999.9900000002</v>
      </c>
      <c r="K789" s="14" t="s">
        <v>414</v>
      </c>
      <c r="L789" s="14" t="s">
        <v>411</v>
      </c>
      <c r="M789" s="14" t="s">
        <v>412</v>
      </c>
      <c r="P789" s="14" t="s">
        <v>39</v>
      </c>
      <c r="Q789" s="14" t="s">
        <v>25</v>
      </c>
      <c r="R789" s="14" t="s">
        <v>410</v>
      </c>
    </row>
    <row r="790" spans="1:18" s="14" customFormat="1" x14ac:dyDescent="0.25">
      <c r="A790" s="14" t="str">
        <f>"30005"</f>
        <v>30005</v>
      </c>
      <c r="B790" s="14" t="str">
        <f>"06040"</f>
        <v>06040</v>
      </c>
      <c r="C790" s="14" t="str">
        <f>"1700"</f>
        <v>1700</v>
      </c>
      <c r="D790" s="14" t="str">
        <f>"06040A"</f>
        <v>06040A</v>
      </c>
      <c r="E790" s="14" t="s">
        <v>947</v>
      </c>
      <c r="F790" s="14" t="s">
        <v>421</v>
      </c>
      <c r="G790" s="14" t="str">
        <f>""</f>
        <v/>
      </c>
      <c r="H790" s="14" t="str">
        <f>" 20"</f>
        <v xml:space="preserve"> 20</v>
      </c>
      <c r="I790" s="14">
        <v>500.01</v>
      </c>
      <c r="J790" s="14">
        <v>9999999.9900000002</v>
      </c>
      <c r="K790" s="14" t="s">
        <v>414</v>
      </c>
      <c r="L790" s="14" t="s">
        <v>411</v>
      </c>
      <c r="M790" s="14" t="s">
        <v>412</v>
      </c>
      <c r="P790" s="14" t="s">
        <v>39</v>
      </c>
      <c r="Q790" s="14" t="s">
        <v>25</v>
      </c>
      <c r="R790" s="14" t="s">
        <v>410</v>
      </c>
    </row>
    <row r="791" spans="1:18" s="14" customFormat="1" x14ac:dyDescent="0.25">
      <c r="A791" s="14" t="str">
        <f>"30005"</f>
        <v>30005</v>
      </c>
      <c r="B791" s="14" t="str">
        <f>"06050"</f>
        <v>06050</v>
      </c>
      <c r="C791" s="14" t="str">
        <f>"1700"</f>
        <v>1700</v>
      </c>
      <c r="D791" s="14" t="str">
        <f>"06050A"</f>
        <v>06050A</v>
      </c>
      <c r="E791" s="14" t="s">
        <v>947</v>
      </c>
      <c r="F791" s="14" t="s">
        <v>422</v>
      </c>
      <c r="G791" s="14" t="str">
        <f>""</f>
        <v/>
      </c>
      <c r="H791" s="14" t="str">
        <f>" 20"</f>
        <v xml:space="preserve"> 20</v>
      </c>
      <c r="I791" s="14">
        <v>500.01</v>
      </c>
      <c r="J791" s="14">
        <v>9999999.9900000002</v>
      </c>
      <c r="K791" s="14" t="s">
        <v>414</v>
      </c>
      <c r="L791" s="14" t="s">
        <v>411</v>
      </c>
      <c r="M791" s="14" t="s">
        <v>412</v>
      </c>
      <c r="P791" s="14" t="s">
        <v>39</v>
      </c>
      <c r="Q791" s="14" t="s">
        <v>25</v>
      </c>
      <c r="R791" s="14" t="s">
        <v>410</v>
      </c>
    </row>
    <row r="792" spans="1:18" s="14" customFormat="1" x14ac:dyDescent="0.25">
      <c r="A792" s="14" t="str">
        <f>"30005"</f>
        <v>30005</v>
      </c>
      <c r="B792" s="14" t="str">
        <f>"06060"</f>
        <v>06060</v>
      </c>
      <c r="C792" s="14" t="str">
        <f>"1700"</f>
        <v>1700</v>
      </c>
      <c r="D792" s="14" t="str">
        <f>"06060A"</f>
        <v>06060A</v>
      </c>
      <c r="E792" s="14" t="s">
        <v>947</v>
      </c>
      <c r="F792" s="14" t="s">
        <v>423</v>
      </c>
      <c r="G792" s="14" t="str">
        <f>""</f>
        <v/>
      </c>
      <c r="H792" s="14" t="str">
        <f>" 20"</f>
        <v xml:space="preserve"> 20</v>
      </c>
      <c r="I792" s="14">
        <v>500.01</v>
      </c>
      <c r="J792" s="14">
        <v>9999999.9900000002</v>
      </c>
      <c r="K792" s="14" t="s">
        <v>414</v>
      </c>
      <c r="L792" s="14" t="s">
        <v>411</v>
      </c>
      <c r="M792" s="14" t="s">
        <v>412</v>
      </c>
      <c r="P792" s="14" t="s">
        <v>39</v>
      </c>
      <c r="Q792" s="14" t="s">
        <v>25</v>
      </c>
      <c r="R792" s="14" t="s">
        <v>410</v>
      </c>
    </row>
    <row r="793" spans="1:18" s="14" customFormat="1" x14ac:dyDescent="0.25">
      <c r="A793" s="14" t="str">
        <f>"30005"</f>
        <v>30005</v>
      </c>
      <c r="B793" s="14" t="str">
        <f>"06070"</f>
        <v>06070</v>
      </c>
      <c r="C793" s="14" t="str">
        <f>"1700"</f>
        <v>1700</v>
      </c>
      <c r="D793" s="14" t="str">
        <f>"06070A"</f>
        <v>06070A</v>
      </c>
      <c r="E793" s="14" t="s">
        <v>947</v>
      </c>
      <c r="F793" s="14" t="s">
        <v>424</v>
      </c>
      <c r="G793" s="14" t="str">
        <f>""</f>
        <v/>
      </c>
      <c r="H793" s="14" t="str">
        <f>" 20"</f>
        <v xml:space="preserve"> 20</v>
      </c>
      <c r="I793" s="14">
        <v>500.01</v>
      </c>
      <c r="J793" s="14">
        <v>9999999.9900000002</v>
      </c>
      <c r="K793" s="14" t="s">
        <v>414</v>
      </c>
      <c r="L793" s="14" t="s">
        <v>411</v>
      </c>
      <c r="M793" s="14" t="s">
        <v>412</v>
      </c>
      <c r="P793" s="14" t="s">
        <v>39</v>
      </c>
      <c r="Q793" s="14" t="s">
        <v>25</v>
      </c>
      <c r="R793" s="14" t="s">
        <v>410</v>
      </c>
    </row>
    <row r="794" spans="1:18" s="14" customFormat="1" x14ac:dyDescent="0.25">
      <c r="A794" s="14" t="str">
        <f>"30005"</f>
        <v>30005</v>
      </c>
      <c r="B794" s="14" t="str">
        <f>"06080"</f>
        <v>06080</v>
      </c>
      <c r="C794" s="14" t="str">
        <f>"1700"</f>
        <v>1700</v>
      </c>
      <c r="D794" s="14" t="str">
        <f>"06080A"</f>
        <v>06080A</v>
      </c>
      <c r="E794" s="14" t="s">
        <v>947</v>
      </c>
      <c r="F794" s="14" t="s">
        <v>425</v>
      </c>
      <c r="G794" s="14" t="str">
        <f>""</f>
        <v/>
      </c>
      <c r="H794" s="14" t="str">
        <f>" 20"</f>
        <v xml:space="preserve"> 20</v>
      </c>
      <c r="I794" s="14">
        <v>500.01</v>
      </c>
      <c r="J794" s="14">
        <v>9999999.9900000002</v>
      </c>
      <c r="K794" s="14" t="s">
        <v>414</v>
      </c>
      <c r="L794" s="14" t="s">
        <v>411</v>
      </c>
      <c r="M794" s="14" t="s">
        <v>412</v>
      </c>
      <c r="P794" s="14" t="s">
        <v>39</v>
      </c>
      <c r="Q794" s="14" t="s">
        <v>25</v>
      </c>
      <c r="R794" s="14" t="s">
        <v>410</v>
      </c>
    </row>
    <row r="795" spans="1:18" s="14" customFormat="1" x14ac:dyDescent="0.25">
      <c r="A795" s="14" t="str">
        <f>"30005"</f>
        <v>30005</v>
      </c>
      <c r="B795" s="14" t="str">
        <f>"06090"</f>
        <v>06090</v>
      </c>
      <c r="C795" s="14" t="str">
        <f>"1700"</f>
        <v>1700</v>
      </c>
      <c r="D795" s="14" t="str">
        <f>"06090A"</f>
        <v>06090A</v>
      </c>
      <c r="E795" s="14" t="s">
        <v>947</v>
      </c>
      <c r="F795" s="14" t="s">
        <v>426</v>
      </c>
      <c r="G795" s="14" t="str">
        <f>""</f>
        <v/>
      </c>
      <c r="H795" s="14" t="str">
        <f>" 20"</f>
        <v xml:space="preserve"> 20</v>
      </c>
      <c r="I795" s="14">
        <v>500.01</v>
      </c>
      <c r="J795" s="14">
        <v>9999999.9900000002</v>
      </c>
      <c r="K795" s="14" t="s">
        <v>414</v>
      </c>
      <c r="L795" s="14" t="s">
        <v>411</v>
      </c>
      <c r="M795" s="14" t="s">
        <v>412</v>
      </c>
      <c r="P795" s="14" t="s">
        <v>39</v>
      </c>
      <c r="Q795" s="14" t="s">
        <v>25</v>
      </c>
      <c r="R795" s="14" t="s">
        <v>410</v>
      </c>
    </row>
    <row r="796" spans="1:18" s="14" customFormat="1" x14ac:dyDescent="0.25">
      <c r="A796" s="14" t="str">
        <f>"30005"</f>
        <v>30005</v>
      </c>
      <c r="B796" s="14" t="str">
        <f>"06100"</f>
        <v>06100</v>
      </c>
      <c r="C796" s="14" t="str">
        <f>"1700"</f>
        <v>1700</v>
      </c>
      <c r="D796" s="14" t="str">
        <f>"06100A"</f>
        <v>06100A</v>
      </c>
      <c r="E796" s="14" t="s">
        <v>947</v>
      </c>
      <c r="F796" s="14" t="s">
        <v>427</v>
      </c>
      <c r="G796" s="14" t="str">
        <f>""</f>
        <v/>
      </c>
      <c r="H796" s="14" t="str">
        <f>" 20"</f>
        <v xml:space="preserve"> 20</v>
      </c>
      <c r="I796" s="14">
        <v>500.01</v>
      </c>
      <c r="J796" s="14">
        <v>9999999.9900000002</v>
      </c>
      <c r="K796" s="14" t="s">
        <v>414</v>
      </c>
      <c r="L796" s="14" t="s">
        <v>411</v>
      </c>
      <c r="M796" s="14" t="s">
        <v>412</v>
      </c>
      <c r="P796" s="14" t="s">
        <v>39</v>
      </c>
      <c r="Q796" s="14" t="s">
        <v>25</v>
      </c>
      <c r="R796" s="14" t="s">
        <v>410</v>
      </c>
    </row>
    <row r="797" spans="1:18" s="14" customFormat="1" x14ac:dyDescent="0.25">
      <c r="A797" s="14" t="str">
        <f>"30005"</f>
        <v>30005</v>
      </c>
      <c r="B797" s="14" t="str">
        <f>"06110"</f>
        <v>06110</v>
      </c>
      <c r="C797" s="14" t="str">
        <f>"1700"</f>
        <v>1700</v>
      </c>
      <c r="D797" s="14" t="str">
        <f>"06110A"</f>
        <v>06110A</v>
      </c>
      <c r="E797" s="14" t="s">
        <v>947</v>
      </c>
      <c r="F797" s="14" t="s">
        <v>428</v>
      </c>
      <c r="G797" s="14" t="str">
        <f>""</f>
        <v/>
      </c>
      <c r="H797" s="14" t="str">
        <f>" 20"</f>
        <v xml:space="preserve"> 20</v>
      </c>
      <c r="I797" s="14">
        <v>500.01</v>
      </c>
      <c r="J797" s="14">
        <v>9999999.9900000002</v>
      </c>
      <c r="K797" s="14" t="s">
        <v>414</v>
      </c>
      <c r="L797" s="14" t="s">
        <v>411</v>
      </c>
      <c r="M797" s="14" t="s">
        <v>412</v>
      </c>
      <c r="P797" s="14" t="s">
        <v>39</v>
      </c>
      <c r="Q797" s="14" t="s">
        <v>25</v>
      </c>
      <c r="R797" s="14" t="s">
        <v>410</v>
      </c>
    </row>
    <row r="798" spans="1:18" s="14" customFormat="1" x14ac:dyDescent="0.25">
      <c r="A798" s="14" t="str">
        <f>"30005"</f>
        <v>30005</v>
      </c>
      <c r="B798" s="14" t="str">
        <f>"06120"</f>
        <v>06120</v>
      </c>
      <c r="C798" s="14" t="str">
        <f>"1700"</f>
        <v>1700</v>
      </c>
      <c r="D798" s="14" t="str">
        <f>"06120A"</f>
        <v>06120A</v>
      </c>
      <c r="E798" s="14" t="s">
        <v>947</v>
      </c>
      <c r="F798" s="14" t="s">
        <v>429</v>
      </c>
      <c r="G798" s="14" t="str">
        <f>""</f>
        <v/>
      </c>
      <c r="H798" s="14" t="str">
        <f>" 20"</f>
        <v xml:space="preserve"> 20</v>
      </c>
      <c r="I798" s="14">
        <v>500.01</v>
      </c>
      <c r="J798" s="14">
        <v>9999999.9900000002</v>
      </c>
      <c r="K798" s="14" t="s">
        <v>414</v>
      </c>
      <c r="L798" s="14" t="s">
        <v>411</v>
      </c>
      <c r="M798" s="14" t="s">
        <v>412</v>
      </c>
      <c r="P798" s="14" t="s">
        <v>39</v>
      </c>
      <c r="Q798" s="14" t="s">
        <v>25</v>
      </c>
      <c r="R798" s="14" t="s">
        <v>410</v>
      </c>
    </row>
    <row r="799" spans="1:18" s="14" customFormat="1" x14ac:dyDescent="0.25">
      <c r="A799" s="14" t="str">
        <f>"30005"</f>
        <v>30005</v>
      </c>
      <c r="B799" s="14" t="str">
        <f>"06130"</f>
        <v>06130</v>
      </c>
      <c r="C799" s="14" t="str">
        <f>"1700"</f>
        <v>1700</v>
      </c>
      <c r="D799" s="14" t="str">
        <f>"06130A"</f>
        <v>06130A</v>
      </c>
      <c r="E799" s="14" t="s">
        <v>947</v>
      </c>
      <c r="F799" s="14" t="s">
        <v>430</v>
      </c>
      <c r="G799" s="14" t="str">
        <f>""</f>
        <v/>
      </c>
      <c r="H799" s="14" t="str">
        <f>" 20"</f>
        <v xml:space="preserve"> 20</v>
      </c>
      <c r="I799" s="14">
        <v>500.01</v>
      </c>
      <c r="J799" s="14">
        <v>9999999.9900000002</v>
      </c>
      <c r="K799" s="14" t="s">
        <v>414</v>
      </c>
      <c r="L799" s="14" t="s">
        <v>411</v>
      </c>
      <c r="M799" s="14" t="s">
        <v>412</v>
      </c>
      <c r="P799" s="14" t="s">
        <v>39</v>
      </c>
      <c r="Q799" s="14" t="s">
        <v>25</v>
      </c>
      <c r="R799" s="14" t="s">
        <v>410</v>
      </c>
    </row>
    <row r="800" spans="1:18" s="14" customFormat="1" x14ac:dyDescent="0.25">
      <c r="A800" s="14" t="str">
        <f>"30005"</f>
        <v>30005</v>
      </c>
      <c r="B800" s="14" t="str">
        <f>"06140"</f>
        <v>06140</v>
      </c>
      <c r="C800" s="14" t="str">
        <f>"1700"</f>
        <v>1700</v>
      </c>
      <c r="D800" s="14" t="str">
        <f>"06140A"</f>
        <v>06140A</v>
      </c>
      <c r="E800" s="14" t="s">
        <v>947</v>
      </c>
      <c r="F800" s="14" t="s">
        <v>431</v>
      </c>
      <c r="G800" s="14" t="str">
        <f>""</f>
        <v/>
      </c>
      <c r="H800" s="14" t="str">
        <f>" 20"</f>
        <v xml:space="preserve"> 20</v>
      </c>
      <c r="I800" s="14">
        <v>500.01</v>
      </c>
      <c r="J800" s="14">
        <v>9999999.9900000002</v>
      </c>
      <c r="K800" s="14" t="s">
        <v>414</v>
      </c>
      <c r="L800" s="14" t="s">
        <v>411</v>
      </c>
      <c r="M800" s="14" t="s">
        <v>412</v>
      </c>
      <c r="P800" s="14" t="s">
        <v>39</v>
      </c>
      <c r="Q800" s="14" t="s">
        <v>25</v>
      </c>
      <c r="R800" s="14" t="s">
        <v>410</v>
      </c>
    </row>
    <row r="801" spans="1:18" s="14" customFormat="1" x14ac:dyDescent="0.25">
      <c r="A801" s="14" t="str">
        <f>"30005"</f>
        <v>30005</v>
      </c>
      <c r="B801" s="14" t="str">
        <f>"06150"</f>
        <v>06150</v>
      </c>
      <c r="C801" s="14" t="str">
        <f>"1700"</f>
        <v>1700</v>
      </c>
      <c r="D801" s="14" t="str">
        <f>"06150A"</f>
        <v>06150A</v>
      </c>
      <c r="E801" s="14" t="s">
        <v>947</v>
      </c>
      <c r="F801" s="14" t="s">
        <v>432</v>
      </c>
      <c r="G801" s="14" t="str">
        <f>""</f>
        <v/>
      </c>
      <c r="H801" s="14" t="str">
        <f>" 20"</f>
        <v xml:space="preserve"> 20</v>
      </c>
      <c r="I801" s="14">
        <v>500.01</v>
      </c>
      <c r="J801" s="14">
        <v>9999999.9900000002</v>
      </c>
      <c r="K801" s="14" t="s">
        <v>414</v>
      </c>
      <c r="L801" s="14" t="s">
        <v>411</v>
      </c>
      <c r="M801" s="14" t="s">
        <v>412</v>
      </c>
      <c r="P801" s="14" t="s">
        <v>39</v>
      </c>
      <c r="Q801" s="14" t="s">
        <v>25</v>
      </c>
      <c r="R801" s="14" t="s">
        <v>410</v>
      </c>
    </row>
    <row r="802" spans="1:18" s="14" customFormat="1" x14ac:dyDescent="0.25">
      <c r="A802" s="14" t="str">
        <f>"30005"</f>
        <v>30005</v>
      </c>
      <c r="B802" s="14" t="str">
        <f>"06151"</f>
        <v>06151</v>
      </c>
      <c r="C802" s="14" t="str">
        <f>"1700"</f>
        <v>1700</v>
      </c>
      <c r="D802" s="14" t="str">
        <f>"06151A"</f>
        <v>06151A</v>
      </c>
      <c r="E802" s="14" t="s">
        <v>947</v>
      </c>
      <c r="F802" s="14" t="s">
        <v>433</v>
      </c>
      <c r="G802" s="14" t="str">
        <f>""</f>
        <v/>
      </c>
      <c r="H802" s="14" t="str">
        <f>" 20"</f>
        <v xml:space="preserve"> 20</v>
      </c>
      <c r="I802" s="14">
        <v>500.01</v>
      </c>
      <c r="J802" s="14">
        <v>9999999.9900000002</v>
      </c>
      <c r="K802" s="14" t="s">
        <v>414</v>
      </c>
      <c r="L802" s="14" t="s">
        <v>411</v>
      </c>
      <c r="M802" s="14" t="s">
        <v>412</v>
      </c>
      <c r="P802" s="14" t="s">
        <v>39</v>
      </c>
      <c r="Q802" s="14" t="s">
        <v>25</v>
      </c>
      <c r="R802" s="14" t="s">
        <v>410</v>
      </c>
    </row>
    <row r="803" spans="1:18" s="14" customFormat="1" x14ac:dyDescent="0.25">
      <c r="A803" s="14" t="str">
        <f>"30005"</f>
        <v>30005</v>
      </c>
      <c r="B803" s="14" t="str">
        <f>"06152"</f>
        <v>06152</v>
      </c>
      <c r="C803" s="14" t="str">
        <f>"1700"</f>
        <v>1700</v>
      </c>
      <c r="D803" s="14" t="str">
        <f>"06152A"</f>
        <v>06152A</v>
      </c>
      <c r="E803" s="14" t="s">
        <v>947</v>
      </c>
      <c r="F803" s="14" t="s">
        <v>434</v>
      </c>
      <c r="G803" s="14" t="str">
        <f>""</f>
        <v/>
      </c>
      <c r="H803" s="14" t="str">
        <f>" 20"</f>
        <v xml:space="preserve"> 20</v>
      </c>
      <c r="I803" s="14">
        <v>500.01</v>
      </c>
      <c r="J803" s="14">
        <v>9999999.9900000002</v>
      </c>
      <c r="K803" s="14" t="s">
        <v>414</v>
      </c>
      <c r="L803" s="14" t="s">
        <v>411</v>
      </c>
      <c r="M803" s="14" t="s">
        <v>412</v>
      </c>
      <c r="P803" s="14" t="s">
        <v>39</v>
      </c>
      <c r="Q803" s="14" t="s">
        <v>25</v>
      </c>
      <c r="R803" s="14" t="s">
        <v>410</v>
      </c>
    </row>
    <row r="804" spans="1:18" s="14" customFormat="1" x14ac:dyDescent="0.25">
      <c r="A804" s="14" t="str">
        <f>"30006"</f>
        <v>30006</v>
      </c>
      <c r="B804" s="14" t="str">
        <f>"06000"</f>
        <v>06000</v>
      </c>
      <c r="C804" s="14" t="str">
        <f>"1700"</f>
        <v>1700</v>
      </c>
      <c r="D804" s="14" t="str">
        <f>"06000D"</f>
        <v>06000D</v>
      </c>
      <c r="E804" s="14" t="s">
        <v>948</v>
      </c>
      <c r="F804" s="14" t="s">
        <v>409</v>
      </c>
      <c r="G804" s="14" t="str">
        <f>""</f>
        <v/>
      </c>
      <c r="H804" s="14" t="str">
        <f>" 20"</f>
        <v xml:space="preserve"> 20</v>
      </c>
      <c r="I804" s="14">
        <v>500.01</v>
      </c>
      <c r="J804" s="14">
        <v>9999999.9900000002</v>
      </c>
      <c r="K804" s="14" t="s">
        <v>414</v>
      </c>
      <c r="L804" s="14" t="s">
        <v>411</v>
      </c>
      <c r="M804" s="14" t="s">
        <v>412</v>
      </c>
      <c r="P804" s="14" t="s">
        <v>39</v>
      </c>
      <c r="Q804" s="14" t="s">
        <v>25</v>
      </c>
      <c r="R804" s="14" t="s">
        <v>410</v>
      </c>
    </row>
    <row r="805" spans="1:18" s="14" customFormat="1" x14ac:dyDescent="0.25">
      <c r="A805" s="14" t="str">
        <f>"30006"</f>
        <v>30006</v>
      </c>
      <c r="B805" s="14" t="str">
        <f>"06030"</f>
        <v>06030</v>
      </c>
      <c r="C805" s="14" t="str">
        <f>"1700"</f>
        <v>1700</v>
      </c>
      <c r="D805" s="14" t="str">
        <f>"06030D"</f>
        <v>06030D</v>
      </c>
      <c r="E805" s="14" t="s">
        <v>948</v>
      </c>
      <c r="F805" s="14" t="s">
        <v>420</v>
      </c>
      <c r="G805" s="14" t="str">
        <f>""</f>
        <v/>
      </c>
      <c r="H805" s="14" t="str">
        <f>" 20"</f>
        <v xml:space="preserve"> 20</v>
      </c>
      <c r="I805" s="14">
        <v>500.01</v>
      </c>
      <c r="J805" s="14">
        <v>9999999.9900000002</v>
      </c>
      <c r="K805" s="14" t="s">
        <v>414</v>
      </c>
      <c r="L805" s="14" t="s">
        <v>411</v>
      </c>
      <c r="M805" s="14" t="s">
        <v>412</v>
      </c>
      <c r="P805" s="14" t="s">
        <v>39</v>
      </c>
      <c r="Q805" s="14" t="s">
        <v>25</v>
      </c>
      <c r="R805" s="14" t="s">
        <v>410</v>
      </c>
    </row>
    <row r="806" spans="1:18" s="14" customFormat="1" x14ac:dyDescent="0.25">
      <c r="A806" s="14" t="str">
        <f>"30006"</f>
        <v>30006</v>
      </c>
      <c r="B806" s="14" t="str">
        <f>"06040"</f>
        <v>06040</v>
      </c>
      <c r="C806" s="14" t="str">
        <f>"1700"</f>
        <v>1700</v>
      </c>
      <c r="D806" s="14" t="str">
        <f>"06040D"</f>
        <v>06040D</v>
      </c>
      <c r="E806" s="14" t="s">
        <v>948</v>
      </c>
      <c r="F806" s="14" t="s">
        <v>421</v>
      </c>
      <c r="G806" s="14" t="str">
        <f>""</f>
        <v/>
      </c>
      <c r="H806" s="14" t="str">
        <f>" 20"</f>
        <v xml:space="preserve"> 20</v>
      </c>
      <c r="I806" s="14">
        <v>500.01</v>
      </c>
      <c r="J806" s="14">
        <v>9999999.9900000002</v>
      </c>
      <c r="K806" s="14" t="s">
        <v>414</v>
      </c>
      <c r="L806" s="14" t="s">
        <v>411</v>
      </c>
      <c r="M806" s="14" t="s">
        <v>412</v>
      </c>
      <c r="P806" s="14" t="s">
        <v>39</v>
      </c>
      <c r="Q806" s="14" t="s">
        <v>25</v>
      </c>
      <c r="R806" s="14" t="s">
        <v>410</v>
      </c>
    </row>
    <row r="807" spans="1:18" s="14" customFormat="1" x14ac:dyDescent="0.25">
      <c r="A807" s="14" t="str">
        <f>"30006"</f>
        <v>30006</v>
      </c>
      <c r="B807" s="14" t="str">
        <f>"06050"</f>
        <v>06050</v>
      </c>
      <c r="C807" s="14" t="str">
        <f>"1700"</f>
        <v>1700</v>
      </c>
      <c r="D807" s="14" t="str">
        <f>"06050D"</f>
        <v>06050D</v>
      </c>
      <c r="E807" s="14" t="s">
        <v>948</v>
      </c>
      <c r="F807" s="14" t="s">
        <v>422</v>
      </c>
      <c r="G807" s="14" t="str">
        <f>""</f>
        <v/>
      </c>
      <c r="H807" s="14" t="str">
        <f>" 20"</f>
        <v xml:space="preserve"> 20</v>
      </c>
      <c r="I807" s="14">
        <v>500.01</v>
      </c>
      <c r="J807" s="14">
        <v>9999999.9900000002</v>
      </c>
      <c r="K807" s="14" t="s">
        <v>414</v>
      </c>
      <c r="L807" s="14" t="s">
        <v>411</v>
      </c>
      <c r="M807" s="14" t="s">
        <v>412</v>
      </c>
      <c r="P807" s="14" t="s">
        <v>39</v>
      </c>
      <c r="Q807" s="14" t="s">
        <v>25</v>
      </c>
      <c r="R807" s="14" t="s">
        <v>410</v>
      </c>
    </row>
    <row r="808" spans="1:18" s="14" customFormat="1" x14ac:dyDescent="0.25">
      <c r="A808" s="14" t="str">
        <f>"30006"</f>
        <v>30006</v>
      </c>
      <c r="B808" s="14" t="str">
        <f>"06060"</f>
        <v>06060</v>
      </c>
      <c r="C808" s="14" t="str">
        <f>"1700"</f>
        <v>1700</v>
      </c>
      <c r="D808" s="14" t="str">
        <f>"06060D"</f>
        <v>06060D</v>
      </c>
      <c r="E808" s="14" t="s">
        <v>948</v>
      </c>
      <c r="F808" s="14" t="s">
        <v>423</v>
      </c>
      <c r="G808" s="14" t="str">
        <f>""</f>
        <v/>
      </c>
      <c r="H808" s="14" t="str">
        <f>" 20"</f>
        <v xml:space="preserve"> 20</v>
      </c>
      <c r="I808" s="14">
        <v>500.01</v>
      </c>
      <c r="J808" s="14">
        <v>9999999.9900000002</v>
      </c>
      <c r="K808" s="14" t="s">
        <v>414</v>
      </c>
      <c r="L808" s="14" t="s">
        <v>411</v>
      </c>
      <c r="M808" s="14" t="s">
        <v>412</v>
      </c>
      <c r="P808" s="14" t="s">
        <v>39</v>
      </c>
      <c r="Q808" s="14" t="s">
        <v>25</v>
      </c>
      <c r="R808" s="14" t="s">
        <v>410</v>
      </c>
    </row>
    <row r="809" spans="1:18" s="14" customFormat="1" x14ac:dyDescent="0.25">
      <c r="A809" s="14" t="str">
        <f>"30006"</f>
        <v>30006</v>
      </c>
      <c r="B809" s="14" t="str">
        <f>"06070"</f>
        <v>06070</v>
      </c>
      <c r="C809" s="14" t="str">
        <f>"1700"</f>
        <v>1700</v>
      </c>
      <c r="D809" s="14" t="str">
        <f>"06070D"</f>
        <v>06070D</v>
      </c>
      <c r="E809" s="14" t="s">
        <v>948</v>
      </c>
      <c r="F809" s="14" t="s">
        <v>424</v>
      </c>
      <c r="G809" s="14" t="str">
        <f>""</f>
        <v/>
      </c>
      <c r="H809" s="14" t="str">
        <f>" 20"</f>
        <v xml:space="preserve"> 20</v>
      </c>
      <c r="I809" s="14">
        <v>500.01</v>
      </c>
      <c r="J809" s="14">
        <v>9999999.9900000002</v>
      </c>
      <c r="K809" s="14" t="s">
        <v>414</v>
      </c>
      <c r="L809" s="14" t="s">
        <v>411</v>
      </c>
      <c r="M809" s="14" t="s">
        <v>412</v>
      </c>
      <c r="P809" s="14" t="s">
        <v>39</v>
      </c>
      <c r="Q809" s="14" t="s">
        <v>25</v>
      </c>
      <c r="R809" s="14" t="s">
        <v>410</v>
      </c>
    </row>
    <row r="810" spans="1:18" s="14" customFormat="1" x14ac:dyDescent="0.25">
      <c r="A810" s="14" t="str">
        <f>"30006"</f>
        <v>30006</v>
      </c>
      <c r="B810" s="14" t="str">
        <f>"06080"</f>
        <v>06080</v>
      </c>
      <c r="C810" s="14" t="str">
        <f>"1700"</f>
        <v>1700</v>
      </c>
      <c r="D810" s="14" t="str">
        <f>"06080D"</f>
        <v>06080D</v>
      </c>
      <c r="E810" s="14" t="s">
        <v>948</v>
      </c>
      <c r="F810" s="14" t="s">
        <v>425</v>
      </c>
      <c r="G810" s="14" t="str">
        <f>""</f>
        <v/>
      </c>
      <c r="H810" s="14" t="str">
        <f>" 20"</f>
        <v xml:space="preserve"> 20</v>
      </c>
      <c r="I810" s="14">
        <v>500.01</v>
      </c>
      <c r="J810" s="14">
        <v>9999999.9900000002</v>
      </c>
      <c r="K810" s="14" t="s">
        <v>414</v>
      </c>
      <c r="L810" s="14" t="s">
        <v>411</v>
      </c>
      <c r="M810" s="14" t="s">
        <v>412</v>
      </c>
      <c r="P810" s="14" t="s">
        <v>39</v>
      </c>
      <c r="Q810" s="14" t="s">
        <v>25</v>
      </c>
      <c r="R810" s="14" t="s">
        <v>410</v>
      </c>
    </row>
    <row r="811" spans="1:18" s="14" customFormat="1" x14ac:dyDescent="0.25">
      <c r="A811" s="14" t="str">
        <f>"30006"</f>
        <v>30006</v>
      </c>
      <c r="B811" s="14" t="str">
        <f>"06090"</f>
        <v>06090</v>
      </c>
      <c r="C811" s="14" t="str">
        <f>"1700"</f>
        <v>1700</v>
      </c>
      <c r="D811" s="14" t="str">
        <f>"06090D"</f>
        <v>06090D</v>
      </c>
      <c r="E811" s="14" t="s">
        <v>948</v>
      </c>
      <c r="F811" s="14" t="s">
        <v>426</v>
      </c>
      <c r="G811" s="14" t="str">
        <f>""</f>
        <v/>
      </c>
      <c r="H811" s="14" t="str">
        <f>" 20"</f>
        <v xml:space="preserve"> 20</v>
      </c>
      <c r="I811" s="14">
        <v>500.01</v>
      </c>
      <c r="J811" s="14">
        <v>9999999.9900000002</v>
      </c>
      <c r="K811" s="14" t="s">
        <v>414</v>
      </c>
      <c r="L811" s="14" t="s">
        <v>411</v>
      </c>
      <c r="M811" s="14" t="s">
        <v>412</v>
      </c>
      <c r="P811" s="14" t="s">
        <v>39</v>
      </c>
      <c r="Q811" s="14" t="s">
        <v>25</v>
      </c>
      <c r="R811" s="14" t="s">
        <v>410</v>
      </c>
    </row>
    <row r="812" spans="1:18" s="14" customFormat="1" x14ac:dyDescent="0.25">
      <c r="A812" s="14" t="str">
        <f>"30006"</f>
        <v>30006</v>
      </c>
      <c r="B812" s="14" t="str">
        <f>"06100"</f>
        <v>06100</v>
      </c>
      <c r="C812" s="14" t="str">
        <f>"1700"</f>
        <v>1700</v>
      </c>
      <c r="D812" s="14" t="str">
        <f>"06100D"</f>
        <v>06100D</v>
      </c>
      <c r="E812" s="14" t="s">
        <v>948</v>
      </c>
      <c r="F812" s="14" t="s">
        <v>427</v>
      </c>
      <c r="G812" s="14" t="str">
        <f>""</f>
        <v/>
      </c>
      <c r="H812" s="14" t="str">
        <f>" 20"</f>
        <v xml:space="preserve"> 20</v>
      </c>
      <c r="I812" s="14">
        <v>500.01</v>
      </c>
      <c r="J812" s="14">
        <v>9999999.9900000002</v>
      </c>
      <c r="K812" s="14" t="s">
        <v>414</v>
      </c>
      <c r="L812" s="14" t="s">
        <v>411</v>
      </c>
      <c r="M812" s="14" t="s">
        <v>412</v>
      </c>
      <c r="P812" s="14" t="s">
        <v>39</v>
      </c>
      <c r="Q812" s="14" t="s">
        <v>25</v>
      </c>
      <c r="R812" s="14" t="s">
        <v>410</v>
      </c>
    </row>
    <row r="813" spans="1:18" s="14" customFormat="1" x14ac:dyDescent="0.25">
      <c r="A813" s="14" t="str">
        <f>"30006"</f>
        <v>30006</v>
      </c>
      <c r="B813" s="14" t="str">
        <f>"06110"</f>
        <v>06110</v>
      </c>
      <c r="C813" s="14" t="str">
        <f>"1700"</f>
        <v>1700</v>
      </c>
      <c r="D813" s="14" t="str">
        <f>"06110D"</f>
        <v>06110D</v>
      </c>
      <c r="E813" s="14" t="s">
        <v>948</v>
      </c>
      <c r="F813" s="14" t="s">
        <v>428</v>
      </c>
      <c r="G813" s="14" t="str">
        <f>""</f>
        <v/>
      </c>
      <c r="H813" s="14" t="str">
        <f>" 20"</f>
        <v xml:space="preserve"> 20</v>
      </c>
      <c r="I813" s="14">
        <v>500.01</v>
      </c>
      <c r="J813" s="14">
        <v>9999999.9900000002</v>
      </c>
      <c r="K813" s="14" t="s">
        <v>414</v>
      </c>
      <c r="L813" s="14" t="s">
        <v>411</v>
      </c>
      <c r="M813" s="14" t="s">
        <v>412</v>
      </c>
      <c r="P813" s="14" t="s">
        <v>39</v>
      </c>
      <c r="Q813" s="14" t="s">
        <v>25</v>
      </c>
      <c r="R813" s="14" t="s">
        <v>410</v>
      </c>
    </row>
    <row r="814" spans="1:18" s="14" customFormat="1" x14ac:dyDescent="0.25">
      <c r="A814" s="14" t="str">
        <f>"30006"</f>
        <v>30006</v>
      </c>
      <c r="B814" s="14" t="str">
        <f>"06120"</f>
        <v>06120</v>
      </c>
      <c r="C814" s="14" t="str">
        <f>"1700"</f>
        <v>1700</v>
      </c>
      <c r="D814" s="14" t="str">
        <f>"06120D"</f>
        <v>06120D</v>
      </c>
      <c r="E814" s="14" t="s">
        <v>948</v>
      </c>
      <c r="F814" s="14" t="s">
        <v>429</v>
      </c>
      <c r="G814" s="14" t="str">
        <f>""</f>
        <v/>
      </c>
      <c r="H814" s="14" t="str">
        <f>" 20"</f>
        <v xml:space="preserve"> 20</v>
      </c>
      <c r="I814" s="14">
        <v>500.01</v>
      </c>
      <c r="J814" s="14">
        <v>9999999.9900000002</v>
      </c>
      <c r="K814" s="14" t="s">
        <v>414</v>
      </c>
      <c r="L814" s="14" t="s">
        <v>411</v>
      </c>
      <c r="M814" s="14" t="s">
        <v>412</v>
      </c>
      <c r="P814" s="14" t="s">
        <v>39</v>
      </c>
      <c r="Q814" s="14" t="s">
        <v>25</v>
      </c>
      <c r="R814" s="14" t="s">
        <v>410</v>
      </c>
    </row>
    <row r="815" spans="1:18" s="14" customFormat="1" x14ac:dyDescent="0.25">
      <c r="A815" s="14" t="str">
        <f>"30006"</f>
        <v>30006</v>
      </c>
      <c r="B815" s="14" t="str">
        <f>"06130"</f>
        <v>06130</v>
      </c>
      <c r="C815" s="14" t="str">
        <f>"1700"</f>
        <v>1700</v>
      </c>
      <c r="D815" s="14" t="str">
        <f>"06130D"</f>
        <v>06130D</v>
      </c>
      <c r="E815" s="14" t="s">
        <v>948</v>
      </c>
      <c r="F815" s="14" t="s">
        <v>430</v>
      </c>
      <c r="G815" s="14" t="str">
        <f>""</f>
        <v/>
      </c>
      <c r="H815" s="14" t="str">
        <f>" 20"</f>
        <v xml:space="preserve"> 20</v>
      </c>
      <c r="I815" s="14">
        <v>500.01</v>
      </c>
      <c r="J815" s="14">
        <v>9999999.9900000002</v>
      </c>
      <c r="K815" s="14" t="s">
        <v>414</v>
      </c>
      <c r="L815" s="14" t="s">
        <v>411</v>
      </c>
      <c r="M815" s="14" t="s">
        <v>412</v>
      </c>
      <c r="P815" s="14" t="s">
        <v>39</v>
      </c>
      <c r="Q815" s="14" t="s">
        <v>25</v>
      </c>
      <c r="R815" s="14" t="s">
        <v>410</v>
      </c>
    </row>
    <row r="816" spans="1:18" s="14" customFormat="1" x14ac:dyDescent="0.25">
      <c r="A816" s="14" t="str">
        <f>"30006"</f>
        <v>30006</v>
      </c>
      <c r="B816" s="14" t="str">
        <f>"06140"</f>
        <v>06140</v>
      </c>
      <c r="C816" s="14" t="str">
        <f>"1700"</f>
        <v>1700</v>
      </c>
      <c r="D816" s="14" t="str">
        <f>"06140D"</f>
        <v>06140D</v>
      </c>
      <c r="E816" s="14" t="s">
        <v>948</v>
      </c>
      <c r="F816" s="14" t="s">
        <v>431</v>
      </c>
      <c r="G816" s="14" t="str">
        <f>""</f>
        <v/>
      </c>
      <c r="H816" s="14" t="str">
        <f>" 20"</f>
        <v xml:space="preserve"> 20</v>
      </c>
      <c r="I816" s="14">
        <v>500.01</v>
      </c>
      <c r="J816" s="14">
        <v>9999999.9900000002</v>
      </c>
      <c r="K816" s="14" t="s">
        <v>414</v>
      </c>
      <c r="L816" s="14" t="s">
        <v>411</v>
      </c>
      <c r="M816" s="14" t="s">
        <v>412</v>
      </c>
      <c r="P816" s="14" t="s">
        <v>39</v>
      </c>
      <c r="Q816" s="14" t="s">
        <v>25</v>
      </c>
      <c r="R816" s="14" t="s">
        <v>410</v>
      </c>
    </row>
    <row r="817" spans="1:18" s="14" customFormat="1" x14ac:dyDescent="0.25">
      <c r="A817" s="14" t="str">
        <f>"30006"</f>
        <v>30006</v>
      </c>
      <c r="B817" s="14" t="str">
        <f>"06150"</f>
        <v>06150</v>
      </c>
      <c r="C817" s="14" t="str">
        <f>"1700"</f>
        <v>1700</v>
      </c>
      <c r="D817" s="14" t="str">
        <f>"06150D"</f>
        <v>06150D</v>
      </c>
      <c r="E817" s="14" t="s">
        <v>948</v>
      </c>
      <c r="F817" s="14" t="s">
        <v>432</v>
      </c>
      <c r="G817" s="14" t="str">
        <f>""</f>
        <v/>
      </c>
      <c r="H817" s="14" t="str">
        <f>" 20"</f>
        <v xml:space="preserve"> 20</v>
      </c>
      <c r="I817" s="14">
        <v>500.01</v>
      </c>
      <c r="J817" s="14">
        <v>9999999.9900000002</v>
      </c>
      <c r="K817" s="14" t="s">
        <v>414</v>
      </c>
      <c r="L817" s="14" t="s">
        <v>411</v>
      </c>
      <c r="M817" s="14" t="s">
        <v>412</v>
      </c>
      <c r="P817" s="14" t="s">
        <v>39</v>
      </c>
      <c r="Q817" s="14" t="s">
        <v>25</v>
      </c>
      <c r="R817" s="14" t="s">
        <v>410</v>
      </c>
    </row>
    <row r="818" spans="1:18" s="14" customFormat="1" x14ac:dyDescent="0.25">
      <c r="A818" s="14" t="str">
        <f>"30006"</f>
        <v>30006</v>
      </c>
      <c r="B818" s="14" t="str">
        <f>"06151"</f>
        <v>06151</v>
      </c>
      <c r="C818" s="14" t="str">
        <f>"1700"</f>
        <v>1700</v>
      </c>
      <c r="D818" s="14" t="str">
        <f>"06151D"</f>
        <v>06151D</v>
      </c>
      <c r="E818" s="14" t="s">
        <v>948</v>
      </c>
      <c r="F818" s="14" t="s">
        <v>433</v>
      </c>
      <c r="G818" s="14" t="str">
        <f>""</f>
        <v/>
      </c>
      <c r="H818" s="14" t="str">
        <f>" 20"</f>
        <v xml:space="preserve"> 20</v>
      </c>
      <c r="I818" s="14">
        <v>500.01</v>
      </c>
      <c r="J818" s="14">
        <v>9999999.9900000002</v>
      </c>
      <c r="K818" s="14" t="s">
        <v>414</v>
      </c>
      <c r="L818" s="14" t="s">
        <v>411</v>
      </c>
      <c r="M818" s="14" t="s">
        <v>412</v>
      </c>
      <c r="P818" s="14" t="s">
        <v>39</v>
      </c>
      <c r="Q818" s="14" t="s">
        <v>25</v>
      </c>
      <c r="R818" s="14" t="s">
        <v>410</v>
      </c>
    </row>
    <row r="819" spans="1:18" s="14" customFormat="1" x14ac:dyDescent="0.25">
      <c r="A819" s="14" t="str">
        <f>"30006"</f>
        <v>30006</v>
      </c>
      <c r="B819" s="14" t="str">
        <f>"06152"</f>
        <v>06152</v>
      </c>
      <c r="C819" s="14" t="str">
        <f>"1700"</f>
        <v>1700</v>
      </c>
      <c r="D819" s="14" t="str">
        <f>"06152D"</f>
        <v>06152D</v>
      </c>
      <c r="E819" s="14" t="s">
        <v>948</v>
      </c>
      <c r="F819" s="14" t="s">
        <v>434</v>
      </c>
      <c r="G819" s="14" t="str">
        <f>""</f>
        <v/>
      </c>
      <c r="H819" s="14" t="str">
        <f>" 20"</f>
        <v xml:space="preserve"> 20</v>
      </c>
      <c r="I819" s="14">
        <v>500.01</v>
      </c>
      <c r="J819" s="14">
        <v>9999999.9900000002</v>
      </c>
      <c r="K819" s="14" t="s">
        <v>414</v>
      </c>
      <c r="L819" s="14" t="s">
        <v>411</v>
      </c>
      <c r="M819" s="14" t="s">
        <v>412</v>
      </c>
      <c r="P819" s="14" t="s">
        <v>39</v>
      </c>
      <c r="Q819" s="14" t="s">
        <v>25</v>
      </c>
      <c r="R819" s="14" t="s">
        <v>410</v>
      </c>
    </row>
    <row r="820" spans="1:18" s="14" customFormat="1" x14ac:dyDescent="0.25">
      <c r="A820" s="14" t="str">
        <f>"30010"</f>
        <v>30010</v>
      </c>
      <c r="B820" s="14" t="str">
        <f>"06000"</f>
        <v>06000</v>
      </c>
      <c r="C820" s="14" t="str">
        <f>"1700"</f>
        <v>1700</v>
      </c>
      <c r="D820" s="14" t="str">
        <f>""</f>
        <v/>
      </c>
      <c r="E820" s="14" t="s">
        <v>949</v>
      </c>
      <c r="F820" s="14" t="s">
        <v>409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414</v>
      </c>
      <c r="L820" s="14" t="s">
        <v>411</v>
      </c>
      <c r="M820" s="14" t="s">
        <v>412</v>
      </c>
      <c r="P820" s="14" t="s">
        <v>39</v>
      </c>
      <c r="Q820" s="14" t="s">
        <v>25</v>
      </c>
      <c r="R820" s="14" t="s">
        <v>410</v>
      </c>
    </row>
    <row r="821" spans="1:18" s="14" customFormat="1" x14ac:dyDescent="0.25">
      <c r="A821" s="14" t="str">
        <f>"30015"</f>
        <v>30015</v>
      </c>
      <c r="B821" s="14" t="str">
        <f>"06000"</f>
        <v>06000</v>
      </c>
      <c r="C821" s="14" t="str">
        <f>"1800"</f>
        <v>1800</v>
      </c>
      <c r="D821" s="14" t="str">
        <f>"06000C"</f>
        <v>06000C</v>
      </c>
      <c r="E821" s="14" t="s">
        <v>950</v>
      </c>
      <c r="F821" s="14" t="s">
        <v>409</v>
      </c>
      <c r="G821" s="14" t="str">
        <f>""</f>
        <v/>
      </c>
      <c r="H821" s="14" t="str">
        <f>" 20"</f>
        <v xml:space="preserve"> 20</v>
      </c>
      <c r="I821" s="14">
        <v>500.01</v>
      </c>
      <c r="J821" s="14">
        <v>9999999.9900000002</v>
      </c>
      <c r="K821" s="14" t="s">
        <v>414</v>
      </c>
      <c r="L821" s="14" t="s">
        <v>411</v>
      </c>
      <c r="M821" s="14" t="s">
        <v>412</v>
      </c>
      <c r="P821" s="14" t="s">
        <v>39</v>
      </c>
      <c r="Q821" s="14" t="s">
        <v>25</v>
      </c>
      <c r="R821" s="14" t="s">
        <v>410</v>
      </c>
    </row>
    <row r="822" spans="1:18" s="14" customFormat="1" x14ac:dyDescent="0.25">
      <c r="A822" s="14" t="str">
        <f>"30015"</f>
        <v>30015</v>
      </c>
      <c r="B822" s="14" t="str">
        <f>"06010"</f>
        <v>06010</v>
      </c>
      <c r="C822" s="14" t="str">
        <f>"1800"</f>
        <v>1800</v>
      </c>
      <c r="D822" s="14" t="str">
        <f>"06010B"</f>
        <v>06010B</v>
      </c>
      <c r="E822" s="14" t="s">
        <v>950</v>
      </c>
      <c r="F822" s="14" t="s">
        <v>416</v>
      </c>
      <c r="G822" s="14" t="str">
        <f>""</f>
        <v/>
      </c>
      <c r="H822" s="14" t="str">
        <f>" 20"</f>
        <v xml:space="preserve"> 20</v>
      </c>
      <c r="I822" s="14">
        <v>500.01</v>
      </c>
      <c r="J822" s="14">
        <v>9999999.9900000002</v>
      </c>
      <c r="K822" s="14" t="s">
        <v>414</v>
      </c>
      <c r="L822" s="14" t="s">
        <v>411</v>
      </c>
      <c r="M822" s="14" t="s">
        <v>412</v>
      </c>
      <c r="P822" s="14" t="s">
        <v>39</v>
      </c>
      <c r="Q822" s="14" t="s">
        <v>25</v>
      </c>
      <c r="R822" s="14" t="s">
        <v>410</v>
      </c>
    </row>
    <row r="823" spans="1:18" s="14" customFormat="1" x14ac:dyDescent="0.25">
      <c r="A823" s="14" t="str">
        <f>"30015"</f>
        <v>30015</v>
      </c>
      <c r="B823" s="14" t="str">
        <f>"06030"</f>
        <v>06030</v>
      </c>
      <c r="C823" s="14" t="str">
        <f>"1800"</f>
        <v>1800</v>
      </c>
      <c r="D823" s="14" t="str">
        <f>"06030B"</f>
        <v>06030B</v>
      </c>
      <c r="E823" s="14" t="s">
        <v>950</v>
      </c>
      <c r="F823" s="14" t="s">
        <v>420</v>
      </c>
      <c r="G823" s="14" t="str">
        <f>""</f>
        <v/>
      </c>
      <c r="H823" s="14" t="str">
        <f>" 20"</f>
        <v xml:space="preserve"> 20</v>
      </c>
      <c r="I823" s="14">
        <v>500.01</v>
      </c>
      <c r="J823" s="14">
        <v>9999999.9900000002</v>
      </c>
      <c r="K823" s="14" t="s">
        <v>414</v>
      </c>
      <c r="L823" s="14" t="s">
        <v>411</v>
      </c>
      <c r="M823" s="14" t="s">
        <v>412</v>
      </c>
      <c r="P823" s="14" t="s">
        <v>39</v>
      </c>
      <c r="Q823" s="14" t="s">
        <v>25</v>
      </c>
      <c r="R823" s="14" t="s">
        <v>410</v>
      </c>
    </row>
    <row r="824" spans="1:18" s="14" customFormat="1" x14ac:dyDescent="0.25">
      <c r="A824" s="14" t="str">
        <f>"30015"</f>
        <v>30015</v>
      </c>
      <c r="B824" s="14" t="str">
        <f>"06040"</f>
        <v>06040</v>
      </c>
      <c r="C824" s="14" t="str">
        <f>"1800"</f>
        <v>1800</v>
      </c>
      <c r="D824" s="14" t="str">
        <f>"06040B"</f>
        <v>06040B</v>
      </c>
      <c r="E824" s="14" t="s">
        <v>950</v>
      </c>
      <c r="F824" s="14" t="s">
        <v>421</v>
      </c>
      <c r="G824" s="14" t="str">
        <f>""</f>
        <v/>
      </c>
      <c r="H824" s="14" t="str">
        <f>" 20"</f>
        <v xml:space="preserve"> 20</v>
      </c>
      <c r="I824" s="14">
        <v>500.01</v>
      </c>
      <c r="J824" s="14">
        <v>9999999.9900000002</v>
      </c>
      <c r="K824" s="14" t="s">
        <v>414</v>
      </c>
      <c r="L824" s="14" t="s">
        <v>411</v>
      </c>
      <c r="M824" s="14" t="s">
        <v>412</v>
      </c>
      <c r="P824" s="14" t="s">
        <v>39</v>
      </c>
      <c r="Q824" s="14" t="s">
        <v>25</v>
      </c>
      <c r="R824" s="14" t="s">
        <v>410</v>
      </c>
    </row>
    <row r="825" spans="1:18" s="14" customFormat="1" x14ac:dyDescent="0.25">
      <c r="A825" s="14" t="str">
        <f>"30015"</f>
        <v>30015</v>
      </c>
      <c r="B825" s="14" t="str">
        <f>"06050"</f>
        <v>06050</v>
      </c>
      <c r="C825" s="14" t="str">
        <f>"1800"</f>
        <v>1800</v>
      </c>
      <c r="D825" s="14" t="str">
        <f>"06050B"</f>
        <v>06050B</v>
      </c>
      <c r="E825" s="14" t="s">
        <v>950</v>
      </c>
      <c r="F825" s="14" t="s">
        <v>422</v>
      </c>
      <c r="G825" s="14" t="str">
        <f>""</f>
        <v/>
      </c>
      <c r="H825" s="14" t="str">
        <f>" 20"</f>
        <v xml:space="preserve"> 20</v>
      </c>
      <c r="I825" s="14">
        <v>500.01</v>
      </c>
      <c r="J825" s="14">
        <v>9999999.9900000002</v>
      </c>
      <c r="K825" s="14" t="s">
        <v>414</v>
      </c>
      <c r="L825" s="14" t="s">
        <v>411</v>
      </c>
      <c r="M825" s="14" t="s">
        <v>412</v>
      </c>
      <c r="P825" s="14" t="s">
        <v>39</v>
      </c>
      <c r="Q825" s="14" t="s">
        <v>25</v>
      </c>
      <c r="R825" s="14" t="s">
        <v>410</v>
      </c>
    </row>
    <row r="826" spans="1:18" s="14" customFormat="1" x14ac:dyDescent="0.25">
      <c r="A826" s="14" t="str">
        <f>"30015"</f>
        <v>30015</v>
      </c>
      <c r="B826" s="14" t="str">
        <f>"06060"</f>
        <v>06060</v>
      </c>
      <c r="C826" s="14" t="str">
        <f>"1800"</f>
        <v>1800</v>
      </c>
      <c r="D826" s="14" t="str">
        <f>"06060B"</f>
        <v>06060B</v>
      </c>
      <c r="E826" s="14" t="s">
        <v>950</v>
      </c>
      <c r="F826" s="14" t="s">
        <v>423</v>
      </c>
      <c r="G826" s="14" t="str">
        <f>""</f>
        <v/>
      </c>
      <c r="H826" s="14" t="str">
        <f>" 20"</f>
        <v xml:space="preserve"> 20</v>
      </c>
      <c r="I826" s="14">
        <v>500.01</v>
      </c>
      <c r="J826" s="14">
        <v>9999999.9900000002</v>
      </c>
      <c r="K826" s="14" t="s">
        <v>414</v>
      </c>
      <c r="L826" s="14" t="s">
        <v>411</v>
      </c>
      <c r="M826" s="14" t="s">
        <v>412</v>
      </c>
      <c r="P826" s="14" t="s">
        <v>39</v>
      </c>
      <c r="Q826" s="14" t="s">
        <v>25</v>
      </c>
      <c r="R826" s="14" t="s">
        <v>410</v>
      </c>
    </row>
    <row r="827" spans="1:18" s="14" customFormat="1" x14ac:dyDescent="0.25">
      <c r="A827" s="14" t="str">
        <f>"30015"</f>
        <v>30015</v>
      </c>
      <c r="B827" s="14" t="str">
        <f>"06070"</f>
        <v>06070</v>
      </c>
      <c r="C827" s="14" t="str">
        <f>"1800"</f>
        <v>1800</v>
      </c>
      <c r="D827" s="14" t="str">
        <f>"06070B"</f>
        <v>06070B</v>
      </c>
      <c r="E827" s="14" t="s">
        <v>950</v>
      </c>
      <c r="F827" s="14" t="s">
        <v>424</v>
      </c>
      <c r="G827" s="14" t="str">
        <f>""</f>
        <v/>
      </c>
      <c r="H827" s="14" t="str">
        <f>" 20"</f>
        <v xml:space="preserve"> 20</v>
      </c>
      <c r="I827" s="14">
        <v>500.01</v>
      </c>
      <c r="J827" s="14">
        <v>9999999.9900000002</v>
      </c>
      <c r="K827" s="14" t="s">
        <v>414</v>
      </c>
      <c r="L827" s="14" t="s">
        <v>411</v>
      </c>
      <c r="M827" s="14" t="s">
        <v>412</v>
      </c>
      <c r="P827" s="14" t="s">
        <v>39</v>
      </c>
      <c r="Q827" s="14" t="s">
        <v>25</v>
      </c>
      <c r="R827" s="14" t="s">
        <v>410</v>
      </c>
    </row>
    <row r="828" spans="1:18" s="14" customFormat="1" x14ac:dyDescent="0.25">
      <c r="A828" s="14" t="str">
        <f>"30015"</f>
        <v>30015</v>
      </c>
      <c r="B828" s="14" t="str">
        <f>"06080"</f>
        <v>06080</v>
      </c>
      <c r="C828" s="14" t="str">
        <f>"1800"</f>
        <v>1800</v>
      </c>
      <c r="D828" s="14" t="str">
        <f>"06080B"</f>
        <v>06080B</v>
      </c>
      <c r="E828" s="14" t="s">
        <v>950</v>
      </c>
      <c r="F828" s="14" t="s">
        <v>425</v>
      </c>
      <c r="G828" s="14" t="str">
        <f>""</f>
        <v/>
      </c>
      <c r="H828" s="14" t="str">
        <f>" 20"</f>
        <v xml:space="preserve"> 20</v>
      </c>
      <c r="I828" s="14">
        <v>500.01</v>
      </c>
      <c r="J828" s="14">
        <v>9999999.9900000002</v>
      </c>
      <c r="K828" s="14" t="s">
        <v>414</v>
      </c>
      <c r="L828" s="14" t="s">
        <v>411</v>
      </c>
      <c r="M828" s="14" t="s">
        <v>412</v>
      </c>
      <c r="P828" s="14" t="s">
        <v>39</v>
      </c>
      <c r="Q828" s="14" t="s">
        <v>25</v>
      </c>
      <c r="R828" s="14" t="s">
        <v>410</v>
      </c>
    </row>
    <row r="829" spans="1:18" s="14" customFormat="1" x14ac:dyDescent="0.25">
      <c r="A829" s="14" t="str">
        <f>"30015"</f>
        <v>30015</v>
      </c>
      <c r="B829" s="14" t="str">
        <f>"06090"</f>
        <v>06090</v>
      </c>
      <c r="C829" s="14" t="str">
        <f>"1800"</f>
        <v>1800</v>
      </c>
      <c r="D829" s="14" t="str">
        <f>"06090B"</f>
        <v>06090B</v>
      </c>
      <c r="E829" s="14" t="s">
        <v>950</v>
      </c>
      <c r="F829" s="14" t="s">
        <v>426</v>
      </c>
      <c r="G829" s="14" t="str">
        <f>""</f>
        <v/>
      </c>
      <c r="H829" s="14" t="str">
        <f>" 20"</f>
        <v xml:space="preserve"> 20</v>
      </c>
      <c r="I829" s="14">
        <v>500.01</v>
      </c>
      <c r="J829" s="14">
        <v>9999999.9900000002</v>
      </c>
      <c r="K829" s="14" t="s">
        <v>414</v>
      </c>
      <c r="L829" s="14" t="s">
        <v>411</v>
      </c>
      <c r="M829" s="14" t="s">
        <v>412</v>
      </c>
      <c r="P829" s="14" t="s">
        <v>39</v>
      </c>
      <c r="Q829" s="14" t="s">
        <v>25</v>
      </c>
      <c r="R829" s="14" t="s">
        <v>410</v>
      </c>
    </row>
    <row r="830" spans="1:18" s="14" customFormat="1" x14ac:dyDescent="0.25">
      <c r="A830" s="14" t="str">
        <f>"30015"</f>
        <v>30015</v>
      </c>
      <c r="B830" s="14" t="str">
        <f>"06100"</f>
        <v>06100</v>
      </c>
      <c r="C830" s="14" t="str">
        <f>"1800"</f>
        <v>1800</v>
      </c>
      <c r="D830" s="14" t="str">
        <f>"06100B"</f>
        <v>06100B</v>
      </c>
      <c r="E830" s="14" t="s">
        <v>950</v>
      </c>
      <c r="F830" s="14" t="s">
        <v>427</v>
      </c>
      <c r="G830" s="14" t="str">
        <f>""</f>
        <v/>
      </c>
      <c r="H830" s="14" t="str">
        <f>" 20"</f>
        <v xml:space="preserve"> 20</v>
      </c>
      <c r="I830" s="14">
        <v>500.01</v>
      </c>
      <c r="J830" s="14">
        <v>9999999.9900000002</v>
      </c>
      <c r="K830" s="14" t="s">
        <v>414</v>
      </c>
      <c r="L830" s="14" t="s">
        <v>411</v>
      </c>
      <c r="M830" s="14" t="s">
        <v>412</v>
      </c>
      <c r="P830" s="14" t="s">
        <v>39</v>
      </c>
      <c r="Q830" s="14" t="s">
        <v>25</v>
      </c>
      <c r="R830" s="14" t="s">
        <v>410</v>
      </c>
    </row>
    <row r="831" spans="1:18" s="14" customFormat="1" x14ac:dyDescent="0.25">
      <c r="A831" s="14" t="str">
        <f>"30015"</f>
        <v>30015</v>
      </c>
      <c r="B831" s="14" t="str">
        <f>"06110"</f>
        <v>06110</v>
      </c>
      <c r="C831" s="14" t="str">
        <f>"1800"</f>
        <v>1800</v>
      </c>
      <c r="D831" s="14" t="str">
        <f>"06110B"</f>
        <v>06110B</v>
      </c>
      <c r="E831" s="14" t="s">
        <v>950</v>
      </c>
      <c r="F831" s="14" t="s">
        <v>428</v>
      </c>
      <c r="G831" s="14" t="str">
        <f>""</f>
        <v/>
      </c>
      <c r="H831" s="14" t="str">
        <f>" 20"</f>
        <v xml:space="preserve"> 20</v>
      </c>
      <c r="I831" s="14">
        <v>500.01</v>
      </c>
      <c r="J831" s="14">
        <v>9999999.9900000002</v>
      </c>
      <c r="K831" s="14" t="s">
        <v>414</v>
      </c>
      <c r="L831" s="14" t="s">
        <v>411</v>
      </c>
      <c r="M831" s="14" t="s">
        <v>412</v>
      </c>
      <c r="P831" s="14" t="s">
        <v>39</v>
      </c>
      <c r="Q831" s="14" t="s">
        <v>25</v>
      </c>
      <c r="R831" s="14" t="s">
        <v>410</v>
      </c>
    </row>
    <row r="832" spans="1:18" s="14" customFormat="1" x14ac:dyDescent="0.25">
      <c r="A832" s="14" t="str">
        <f>"30015"</f>
        <v>30015</v>
      </c>
      <c r="B832" s="14" t="str">
        <f>"06120"</f>
        <v>06120</v>
      </c>
      <c r="C832" s="14" t="str">
        <f>"1800"</f>
        <v>1800</v>
      </c>
      <c r="D832" s="14" t="str">
        <f>"06120B"</f>
        <v>06120B</v>
      </c>
      <c r="E832" s="14" t="s">
        <v>950</v>
      </c>
      <c r="F832" s="14" t="s">
        <v>429</v>
      </c>
      <c r="G832" s="14" t="str">
        <f>""</f>
        <v/>
      </c>
      <c r="H832" s="14" t="str">
        <f>" 20"</f>
        <v xml:space="preserve"> 20</v>
      </c>
      <c r="I832" s="14">
        <v>500.01</v>
      </c>
      <c r="J832" s="14">
        <v>9999999.9900000002</v>
      </c>
      <c r="K832" s="14" t="s">
        <v>414</v>
      </c>
      <c r="L832" s="14" t="s">
        <v>411</v>
      </c>
      <c r="M832" s="14" t="s">
        <v>412</v>
      </c>
      <c r="P832" s="14" t="s">
        <v>39</v>
      </c>
      <c r="Q832" s="14" t="s">
        <v>25</v>
      </c>
      <c r="R832" s="14" t="s">
        <v>410</v>
      </c>
    </row>
    <row r="833" spans="1:18" s="14" customFormat="1" x14ac:dyDescent="0.25">
      <c r="A833" s="14" t="str">
        <f>"30015"</f>
        <v>30015</v>
      </c>
      <c r="B833" s="14" t="str">
        <f>"06130"</f>
        <v>06130</v>
      </c>
      <c r="C833" s="14" t="str">
        <f>"1800"</f>
        <v>1800</v>
      </c>
      <c r="D833" s="14" t="str">
        <f>"06130B"</f>
        <v>06130B</v>
      </c>
      <c r="E833" s="14" t="s">
        <v>950</v>
      </c>
      <c r="F833" s="14" t="s">
        <v>430</v>
      </c>
      <c r="G833" s="14" t="str">
        <f>""</f>
        <v/>
      </c>
      <c r="H833" s="14" t="str">
        <f>" 20"</f>
        <v xml:space="preserve"> 20</v>
      </c>
      <c r="I833" s="14">
        <v>500.01</v>
      </c>
      <c r="J833" s="14">
        <v>9999999.9900000002</v>
      </c>
      <c r="K833" s="14" t="s">
        <v>414</v>
      </c>
      <c r="L833" s="14" t="s">
        <v>411</v>
      </c>
      <c r="M833" s="14" t="s">
        <v>412</v>
      </c>
      <c r="P833" s="14" t="s">
        <v>39</v>
      </c>
      <c r="Q833" s="14" t="s">
        <v>25</v>
      </c>
      <c r="R833" s="14" t="s">
        <v>410</v>
      </c>
    </row>
    <row r="834" spans="1:18" s="14" customFormat="1" x14ac:dyDescent="0.25">
      <c r="A834" s="14" t="str">
        <f>"30015"</f>
        <v>30015</v>
      </c>
      <c r="B834" s="14" t="str">
        <f>"06140"</f>
        <v>06140</v>
      </c>
      <c r="C834" s="14" t="str">
        <f>"1800"</f>
        <v>1800</v>
      </c>
      <c r="D834" s="14" t="str">
        <f>"06140B"</f>
        <v>06140B</v>
      </c>
      <c r="E834" s="14" t="s">
        <v>950</v>
      </c>
      <c r="F834" s="14" t="s">
        <v>431</v>
      </c>
      <c r="G834" s="14" t="str">
        <f>""</f>
        <v/>
      </c>
      <c r="H834" s="14" t="str">
        <f>" 20"</f>
        <v xml:space="preserve"> 20</v>
      </c>
      <c r="I834" s="14">
        <v>500.01</v>
      </c>
      <c r="J834" s="14">
        <v>9999999.9900000002</v>
      </c>
      <c r="K834" s="14" t="s">
        <v>414</v>
      </c>
      <c r="L834" s="14" t="s">
        <v>411</v>
      </c>
      <c r="M834" s="14" t="s">
        <v>412</v>
      </c>
      <c r="P834" s="14" t="s">
        <v>39</v>
      </c>
      <c r="Q834" s="14" t="s">
        <v>25</v>
      </c>
      <c r="R834" s="14" t="s">
        <v>410</v>
      </c>
    </row>
    <row r="835" spans="1:18" s="14" customFormat="1" x14ac:dyDescent="0.25">
      <c r="A835" s="14" t="str">
        <f>"30015"</f>
        <v>30015</v>
      </c>
      <c r="B835" s="14" t="str">
        <f>"06150"</f>
        <v>06150</v>
      </c>
      <c r="C835" s="14" t="str">
        <f>"1800"</f>
        <v>1800</v>
      </c>
      <c r="D835" s="14" t="str">
        <f>"06150B"</f>
        <v>06150B</v>
      </c>
      <c r="E835" s="14" t="s">
        <v>950</v>
      </c>
      <c r="F835" s="14" t="s">
        <v>432</v>
      </c>
      <c r="G835" s="14" t="str">
        <f>""</f>
        <v/>
      </c>
      <c r="H835" s="14" t="str">
        <f>" 20"</f>
        <v xml:space="preserve"> 20</v>
      </c>
      <c r="I835" s="14">
        <v>500.01</v>
      </c>
      <c r="J835" s="14">
        <v>9999999.9900000002</v>
      </c>
      <c r="K835" s="14" t="s">
        <v>414</v>
      </c>
      <c r="L835" s="14" t="s">
        <v>411</v>
      </c>
      <c r="M835" s="14" t="s">
        <v>412</v>
      </c>
      <c r="P835" s="14" t="s">
        <v>39</v>
      </c>
      <c r="Q835" s="14" t="s">
        <v>25</v>
      </c>
      <c r="R835" s="14" t="s">
        <v>410</v>
      </c>
    </row>
    <row r="836" spans="1:18" s="14" customFormat="1" x14ac:dyDescent="0.25">
      <c r="A836" s="14" t="str">
        <f>"30015"</f>
        <v>30015</v>
      </c>
      <c r="B836" s="14" t="str">
        <f>"06151"</f>
        <v>06151</v>
      </c>
      <c r="C836" s="14" t="str">
        <f>"1800"</f>
        <v>1800</v>
      </c>
      <c r="D836" s="14" t="str">
        <f>"06151B"</f>
        <v>06151B</v>
      </c>
      <c r="E836" s="14" t="s">
        <v>950</v>
      </c>
      <c r="F836" s="14" t="s">
        <v>433</v>
      </c>
      <c r="G836" s="14" t="str">
        <f>""</f>
        <v/>
      </c>
      <c r="H836" s="14" t="str">
        <f>" 20"</f>
        <v xml:space="preserve"> 20</v>
      </c>
      <c r="I836" s="14">
        <v>500.01</v>
      </c>
      <c r="J836" s="14">
        <v>9999999.9900000002</v>
      </c>
      <c r="K836" s="14" t="s">
        <v>414</v>
      </c>
      <c r="L836" s="14" t="s">
        <v>411</v>
      </c>
      <c r="M836" s="14" t="s">
        <v>412</v>
      </c>
      <c r="P836" s="14" t="s">
        <v>39</v>
      </c>
      <c r="Q836" s="14" t="s">
        <v>25</v>
      </c>
      <c r="R836" s="14" t="s">
        <v>410</v>
      </c>
    </row>
    <row r="837" spans="1:18" s="14" customFormat="1" x14ac:dyDescent="0.25">
      <c r="A837" s="14" t="str">
        <f>"30015"</f>
        <v>30015</v>
      </c>
      <c r="B837" s="14" t="str">
        <f>"06152"</f>
        <v>06152</v>
      </c>
      <c r="C837" s="14" t="str">
        <f>"1800"</f>
        <v>1800</v>
      </c>
      <c r="D837" s="14" t="str">
        <f>"06152B"</f>
        <v>06152B</v>
      </c>
      <c r="E837" s="14" t="s">
        <v>950</v>
      </c>
      <c r="F837" s="14" t="s">
        <v>434</v>
      </c>
      <c r="G837" s="14" t="str">
        <f>""</f>
        <v/>
      </c>
      <c r="H837" s="14" t="str">
        <f>" 20"</f>
        <v xml:space="preserve"> 20</v>
      </c>
      <c r="I837" s="14">
        <v>500.01</v>
      </c>
      <c r="J837" s="14">
        <v>9999999.9900000002</v>
      </c>
      <c r="K837" s="14" t="s">
        <v>414</v>
      </c>
      <c r="L837" s="14" t="s">
        <v>411</v>
      </c>
      <c r="M837" s="14" t="s">
        <v>412</v>
      </c>
      <c r="P837" s="14" t="s">
        <v>39</v>
      </c>
      <c r="Q837" s="14" t="s">
        <v>25</v>
      </c>
      <c r="R837" s="14" t="s">
        <v>410</v>
      </c>
    </row>
    <row r="838" spans="1:18" s="14" customFormat="1" x14ac:dyDescent="0.25">
      <c r="A838" s="14" t="str">
        <f>"35021"</f>
        <v>35021</v>
      </c>
      <c r="B838" s="14" t="str">
        <f>"06020"</f>
        <v>06020</v>
      </c>
      <c r="C838" s="14" t="str">
        <f>"1930"</f>
        <v>1930</v>
      </c>
      <c r="D838" s="14" t="str">
        <f>"35021"</f>
        <v>35021</v>
      </c>
      <c r="E838" s="14" t="s">
        <v>986</v>
      </c>
      <c r="F838" s="14" t="s">
        <v>417</v>
      </c>
      <c r="G838" s="14" t="str">
        <f>""</f>
        <v/>
      </c>
      <c r="H838" s="14" t="str">
        <f>" 20"</f>
        <v xml:space="preserve"> 20</v>
      </c>
      <c r="I838" s="14">
        <v>500.01</v>
      </c>
      <c r="J838" s="14">
        <v>9999999.9900000002</v>
      </c>
      <c r="K838" s="14" t="s">
        <v>414</v>
      </c>
      <c r="L838" s="14" t="s">
        <v>411</v>
      </c>
      <c r="M838" s="14" t="s">
        <v>412</v>
      </c>
      <c r="N838" s="14" t="s">
        <v>418</v>
      </c>
      <c r="P838" s="14" t="s">
        <v>39</v>
      </c>
      <c r="Q838" s="14" t="s">
        <v>25</v>
      </c>
      <c r="R838" s="14" t="s">
        <v>410</v>
      </c>
    </row>
    <row r="839" spans="1:18" s="14" customFormat="1" x14ac:dyDescent="0.25">
      <c r="A839" s="14" t="str">
        <f>"85008"</f>
        <v>85008</v>
      </c>
      <c r="B839" s="14" t="str">
        <f>"07030"</f>
        <v>07030</v>
      </c>
      <c r="C839" s="14" t="str">
        <f>"8000"</f>
        <v>8000</v>
      </c>
      <c r="D839" s="14" t="str">
        <f>"85008"</f>
        <v>85008</v>
      </c>
      <c r="E839" s="14" t="s">
        <v>1775</v>
      </c>
      <c r="F839" s="14" t="s">
        <v>1776</v>
      </c>
      <c r="G839" s="14" t="str">
        <f>""</f>
        <v/>
      </c>
      <c r="H839" s="14" t="str">
        <f>" 20"</f>
        <v xml:space="preserve"> 20</v>
      </c>
      <c r="I839" s="14">
        <v>500.01</v>
      </c>
      <c r="J839" s="14">
        <v>9999999.9900000002</v>
      </c>
      <c r="K839" s="14" t="s">
        <v>414</v>
      </c>
      <c r="L839" s="14" t="s">
        <v>411</v>
      </c>
      <c r="M839" s="14" t="s">
        <v>412</v>
      </c>
      <c r="P839" s="14" t="s">
        <v>39</v>
      </c>
      <c r="Q839" s="14" t="s">
        <v>39</v>
      </c>
      <c r="R839" s="14" t="s">
        <v>410</v>
      </c>
    </row>
    <row r="840" spans="1:18" s="14" customFormat="1" x14ac:dyDescent="0.25">
      <c r="A840" s="14" t="str">
        <f>"84060"</f>
        <v>84060</v>
      </c>
      <c r="B840" s="14" t="str">
        <f>"07020"</f>
        <v>07020</v>
      </c>
      <c r="C840" s="14" t="str">
        <f>"1700"</f>
        <v>1700</v>
      </c>
      <c r="D840" s="14" t="str">
        <f>"84060"</f>
        <v>84060</v>
      </c>
      <c r="E840" s="14" t="s">
        <v>1601</v>
      </c>
      <c r="F840" s="14" t="s">
        <v>1532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1602</v>
      </c>
      <c r="L840" s="14" t="s">
        <v>181</v>
      </c>
      <c r="P840" s="14" t="s">
        <v>31</v>
      </c>
      <c r="Q840" s="14" t="s">
        <v>31</v>
      </c>
      <c r="R840" s="14" t="s">
        <v>1602</v>
      </c>
    </row>
    <row r="841" spans="1:18" s="14" customFormat="1" x14ac:dyDescent="0.25">
      <c r="A841" s="14" t="str">
        <f>"84092"</f>
        <v>84092</v>
      </c>
      <c r="B841" s="14" t="str">
        <f>"07020"</f>
        <v>07020</v>
      </c>
      <c r="C841" s="14" t="str">
        <f>"1700"</f>
        <v>1700</v>
      </c>
      <c r="D841" s="14" t="str">
        <f>"84092"</f>
        <v>84092</v>
      </c>
      <c r="E841" s="14" t="s">
        <v>1629</v>
      </c>
      <c r="F841" s="14" t="s">
        <v>1532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601</v>
      </c>
      <c r="L841" s="14" t="s">
        <v>1630</v>
      </c>
      <c r="P841" s="14" t="s">
        <v>31</v>
      </c>
      <c r="Q841" s="14" t="s">
        <v>31</v>
      </c>
      <c r="R841" s="14" t="s">
        <v>601</v>
      </c>
    </row>
    <row r="842" spans="1:18" s="14" customFormat="1" x14ac:dyDescent="0.25">
      <c r="A842" s="14" t="str">
        <f>"84108"</f>
        <v>84108</v>
      </c>
      <c r="B842" s="14" t="str">
        <f>"07020"</f>
        <v>07020</v>
      </c>
      <c r="C842" s="14" t="str">
        <f>"1700"</f>
        <v>1700</v>
      </c>
      <c r="D842" s="14" t="str">
        <f>"84108"</f>
        <v>84108</v>
      </c>
      <c r="E842" s="14" t="s">
        <v>1647</v>
      </c>
      <c r="F842" s="14" t="s">
        <v>1532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601</v>
      </c>
      <c r="L842" s="14" t="s">
        <v>72</v>
      </c>
      <c r="P842" s="14" t="s">
        <v>31</v>
      </c>
      <c r="Q842" s="14" t="s">
        <v>31</v>
      </c>
      <c r="R842" s="14" t="s">
        <v>72</v>
      </c>
    </row>
    <row r="843" spans="1:18" s="14" customFormat="1" x14ac:dyDescent="0.25">
      <c r="A843" s="14" t="str">
        <f>"84216"</f>
        <v>84216</v>
      </c>
      <c r="B843" s="14" t="str">
        <f>"07020"</f>
        <v>07020</v>
      </c>
      <c r="C843" s="14" t="str">
        <f>"1700"</f>
        <v>1700</v>
      </c>
      <c r="D843" s="14" t="str">
        <f>"84216"</f>
        <v>84216</v>
      </c>
      <c r="E843" s="14" t="s">
        <v>1724</v>
      </c>
      <c r="F843" s="14" t="s">
        <v>1532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601</v>
      </c>
      <c r="L843" s="14" t="s">
        <v>72</v>
      </c>
      <c r="P843" s="14" t="s">
        <v>31</v>
      </c>
      <c r="Q843" s="14" t="s">
        <v>31</v>
      </c>
      <c r="R843" s="14" t="s">
        <v>1549</v>
      </c>
    </row>
    <row r="844" spans="1:18" s="14" customFormat="1" x14ac:dyDescent="0.25">
      <c r="A844" s="14" t="str">
        <f>"84245"</f>
        <v>84245</v>
      </c>
      <c r="B844" s="14" t="str">
        <f>"07020"</f>
        <v>07020</v>
      </c>
      <c r="C844" s="14" t="str">
        <f>"1700"</f>
        <v>1700</v>
      </c>
      <c r="D844" s="14" t="str">
        <f>"84245"</f>
        <v>84245</v>
      </c>
      <c r="E844" s="14" t="s">
        <v>1763</v>
      </c>
      <c r="F844" s="14" t="s">
        <v>1532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601</v>
      </c>
      <c r="L844" s="14" t="s">
        <v>392</v>
      </c>
      <c r="P844" s="14" t="s">
        <v>31</v>
      </c>
      <c r="Q844" s="14" t="s">
        <v>31</v>
      </c>
      <c r="R844" s="14" t="s">
        <v>392</v>
      </c>
    </row>
    <row r="845" spans="1:18" s="14" customFormat="1" x14ac:dyDescent="0.25">
      <c r="A845" s="14" t="str">
        <f>"10001"</f>
        <v>10001</v>
      </c>
      <c r="B845" s="14" t="str">
        <f>"05005"</f>
        <v>05005</v>
      </c>
      <c r="C845" s="14" t="str">
        <f>"1700"</f>
        <v>1700</v>
      </c>
      <c r="D845" s="14" t="str">
        <f>"05005"</f>
        <v>05005</v>
      </c>
      <c r="E845" s="14" t="s">
        <v>20</v>
      </c>
      <c r="F845" s="14" t="s">
        <v>369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370</v>
      </c>
      <c r="L845" s="14" t="s">
        <v>47</v>
      </c>
      <c r="P845" s="14" t="s">
        <v>31</v>
      </c>
      <c r="Q845" s="14" t="s">
        <v>25</v>
      </c>
      <c r="R845" s="14" t="s">
        <v>370</v>
      </c>
    </row>
    <row r="846" spans="1:18" s="14" customFormat="1" x14ac:dyDescent="0.25">
      <c r="A846" s="14" t="str">
        <f>"84186"</f>
        <v>84186</v>
      </c>
      <c r="B846" s="14" t="str">
        <f>"07020"</f>
        <v>07020</v>
      </c>
      <c r="C846" s="14" t="str">
        <f>"1700"</f>
        <v>1700</v>
      </c>
      <c r="D846" s="14" t="str">
        <f>"84186"</f>
        <v>84186</v>
      </c>
      <c r="E846" s="14" t="s">
        <v>1693</v>
      </c>
      <c r="F846" s="14" t="s">
        <v>1532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370</v>
      </c>
      <c r="L846" s="14" t="s">
        <v>404</v>
      </c>
      <c r="P846" s="14" t="s">
        <v>31</v>
      </c>
      <c r="Q846" s="14" t="s">
        <v>31</v>
      </c>
      <c r="R846" s="14" t="s">
        <v>370</v>
      </c>
    </row>
    <row r="847" spans="1:18" s="14" customFormat="1" x14ac:dyDescent="0.25">
      <c r="A847" s="14" t="str">
        <f>"10001"</f>
        <v>10001</v>
      </c>
      <c r="B847" s="14" t="str">
        <f>"03890"</f>
        <v>03890</v>
      </c>
      <c r="C847" s="14" t="str">
        <f>"1000"</f>
        <v>1000</v>
      </c>
      <c r="D847" s="14" t="str">
        <f>"03890"</f>
        <v>03890</v>
      </c>
      <c r="E847" s="14" t="s">
        <v>20</v>
      </c>
      <c r="F847" s="14" t="s">
        <v>316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228</v>
      </c>
      <c r="L847" s="14" t="s">
        <v>226</v>
      </c>
      <c r="P847" s="14" t="s">
        <v>260</v>
      </c>
      <c r="Q847" s="14" t="s">
        <v>260</v>
      </c>
      <c r="R847" s="14" t="s">
        <v>229</v>
      </c>
    </row>
    <row r="848" spans="1:18" s="14" customFormat="1" x14ac:dyDescent="0.25">
      <c r="A848" s="14" t="str">
        <f>"13003"</f>
        <v>13003</v>
      </c>
      <c r="B848" s="14" t="str">
        <f>"03050"</f>
        <v>03050</v>
      </c>
      <c r="C848" s="14" t="str">
        <f>"1400"</f>
        <v>1400</v>
      </c>
      <c r="D848" s="14" t="str">
        <f>""</f>
        <v/>
      </c>
      <c r="E848" s="14" t="s">
        <v>490</v>
      </c>
      <c r="F848" s="14" t="s">
        <v>225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228</v>
      </c>
      <c r="P848" s="14" t="s">
        <v>260</v>
      </c>
      <c r="Q848" s="14" t="s">
        <v>260</v>
      </c>
      <c r="R848" s="14" t="s">
        <v>229</v>
      </c>
    </row>
    <row r="849" spans="1:18" s="14" customFormat="1" x14ac:dyDescent="0.25">
      <c r="A849" s="14" t="str">
        <f>"14001"</f>
        <v>14001</v>
      </c>
      <c r="B849" s="14" t="str">
        <f>"03050"</f>
        <v>03050</v>
      </c>
      <c r="C849" s="14" t="str">
        <f>"1400"</f>
        <v>1400</v>
      </c>
      <c r="D849" s="14" t="str">
        <f>""</f>
        <v/>
      </c>
      <c r="E849" s="14" t="s">
        <v>493</v>
      </c>
      <c r="F849" s="14" t="s">
        <v>225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228</v>
      </c>
      <c r="P849" s="14" t="s">
        <v>260</v>
      </c>
      <c r="Q849" s="14" t="s">
        <v>260</v>
      </c>
      <c r="R849" s="14" t="s">
        <v>229</v>
      </c>
    </row>
    <row r="850" spans="1:18" s="14" customFormat="1" x14ac:dyDescent="0.25">
      <c r="A850" s="14" t="str">
        <f>"14002"</f>
        <v>14002</v>
      </c>
      <c r="B850" s="14" t="str">
        <f>"03050"</f>
        <v>03050</v>
      </c>
      <c r="C850" s="14" t="str">
        <f>"1400"</f>
        <v>1400</v>
      </c>
      <c r="D850" s="14" t="str">
        <f>""</f>
        <v/>
      </c>
      <c r="E850" s="14" t="s">
        <v>494</v>
      </c>
      <c r="F850" s="14" t="s">
        <v>225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228</v>
      </c>
      <c r="P850" s="14" t="s">
        <v>260</v>
      </c>
      <c r="Q850" s="14" t="s">
        <v>260</v>
      </c>
      <c r="R850" s="14" t="s">
        <v>229</v>
      </c>
    </row>
    <row r="851" spans="1:18" s="14" customFormat="1" x14ac:dyDescent="0.25">
      <c r="A851" s="14" t="str">
        <f>"14004"</f>
        <v>14004</v>
      </c>
      <c r="B851" s="14" t="str">
        <f>"03050"</f>
        <v>03050</v>
      </c>
      <c r="C851" s="14" t="str">
        <f>"1400"</f>
        <v>1400</v>
      </c>
      <c r="D851" s="14" t="str">
        <f>""</f>
        <v/>
      </c>
      <c r="E851" s="14" t="s">
        <v>495</v>
      </c>
      <c r="F851" s="14" t="s">
        <v>225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228</v>
      </c>
      <c r="P851" s="14" t="s">
        <v>260</v>
      </c>
      <c r="Q851" s="14" t="s">
        <v>260</v>
      </c>
      <c r="R851" s="14" t="s">
        <v>229</v>
      </c>
    </row>
    <row r="852" spans="1:18" s="14" customFormat="1" x14ac:dyDescent="0.25">
      <c r="A852" s="14" t="str">
        <f>"14006"</f>
        <v>14006</v>
      </c>
      <c r="B852" s="14" t="str">
        <f>"03050"</f>
        <v>03050</v>
      </c>
      <c r="C852" s="14" t="str">
        <f>"1400"</f>
        <v>1400</v>
      </c>
      <c r="D852" s="14" t="str">
        <f>""</f>
        <v/>
      </c>
      <c r="E852" s="14" t="s">
        <v>496</v>
      </c>
      <c r="F852" s="14" t="s">
        <v>225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228</v>
      </c>
      <c r="P852" s="14" t="s">
        <v>260</v>
      </c>
      <c r="Q852" s="14" t="s">
        <v>260</v>
      </c>
      <c r="R852" s="14" t="s">
        <v>229</v>
      </c>
    </row>
    <row r="853" spans="1:18" s="14" customFormat="1" x14ac:dyDescent="0.25">
      <c r="A853" s="14" t="str">
        <f>"14007"</f>
        <v>14007</v>
      </c>
      <c r="B853" s="14" t="str">
        <f>"03050"</f>
        <v>03050</v>
      </c>
      <c r="C853" s="14" t="str">
        <f>"1400"</f>
        <v>1400</v>
      </c>
      <c r="D853" s="14" t="str">
        <f>""</f>
        <v/>
      </c>
      <c r="E853" s="14" t="s">
        <v>497</v>
      </c>
      <c r="F853" s="14" t="s">
        <v>225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228</v>
      </c>
      <c r="P853" s="14" t="s">
        <v>260</v>
      </c>
      <c r="Q853" s="14" t="s">
        <v>260</v>
      </c>
      <c r="R853" s="14" t="s">
        <v>229</v>
      </c>
    </row>
    <row r="854" spans="1:18" s="14" customFormat="1" x14ac:dyDescent="0.25">
      <c r="A854" s="14" t="str">
        <f>"14008"</f>
        <v>14008</v>
      </c>
      <c r="B854" s="14" t="str">
        <f>"03050"</f>
        <v>03050</v>
      </c>
      <c r="C854" s="14" t="str">
        <f>"1400"</f>
        <v>1400</v>
      </c>
      <c r="D854" s="14" t="str">
        <f>""</f>
        <v/>
      </c>
      <c r="E854" s="14" t="s">
        <v>498</v>
      </c>
      <c r="F854" s="14" t="s">
        <v>225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228</v>
      </c>
      <c r="P854" s="14" t="s">
        <v>260</v>
      </c>
      <c r="Q854" s="14" t="s">
        <v>260</v>
      </c>
      <c r="R854" s="14" t="s">
        <v>229</v>
      </c>
    </row>
    <row r="855" spans="1:18" s="14" customFormat="1" x14ac:dyDescent="0.25">
      <c r="A855" s="14" t="str">
        <f>"14009"</f>
        <v>14009</v>
      </c>
      <c r="B855" s="14" t="str">
        <f>"03050"</f>
        <v>03050</v>
      </c>
      <c r="C855" s="14" t="str">
        <f>"1400"</f>
        <v>1400</v>
      </c>
      <c r="D855" s="14" t="str">
        <f>""</f>
        <v/>
      </c>
      <c r="E855" s="14" t="s">
        <v>499</v>
      </c>
      <c r="F855" s="14" t="s">
        <v>225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228</v>
      </c>
      <c r="P855" s="14" t="s">
        <v>260</v>
      </c>
      <c r="Q855" s="14" t="s">
        <v>260</v>
      </c>
      <c r="R855" s="14" t="s">
        <v>229</v>
      </c>
    </row>
    <row r="856" spans="1:18" s="14" customFormat="1" x14ac:dyDescent="0.25">
      <c r="A856" s="14" t="str">
        <f>"14010"</f>
        <v>14010</v>
      </c>
      <c r="B856" s="14" t="str">
        <f>"03050"</f>
        <v>03050</v>
      </c>
      <c r="C856" s="14" t="str">
        <f>"1400"</f>
        <v>1400</v>
      </c>
      <c r="D856" s="14" t="str">
        <f>""</f>
        <v/>
      </c>
      <c r="E856" s="14" t="s">
        <v>500</v>
      </c>
      <c r="F856" s="14" t="s">
        <v>225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228</v>
      </c>
      <c r="P856" s="14" t="s">
        <v>260</v>
      </c>
      <c r="Q856" s="14" t="s">
        <v>260</v>
      </c>
      <c r="R856" s="14" t="s">
        <v>229</v>
      </c>
    </row>
    <row r="857" spans="1:18" s="14" customFormat="1" x14ac:dyDescent="0.25">
      <c r="A857" s="14" t="str">
        <f>"14011"</f>
        <v>14011</v>
      </c>
      <c r="B857" s="14" t="str">
        <f>"03050"</f>
        <v>03050</v>
      </c>
      <c r="C857" s="14" t="str">
        <f>"1400"</f>
        <v>1400</v>
      </c>
      <c r="D857" s="14" t="str">
        <f>""</f>
        <v/>
      </c>
      <c r="E857" s="14" t="s">
        <v>501</v>
      </c>
      <c r="F857" s="14" t="s">
        <v>225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228</v>
      </c>
      <c r="P857" s="14" t="s">
        <v>260</v>
      </c>
      <c r="Q857" s="14" t="s">
        <v>260</v>
      </c>
      <c r="R857" s="14" t="s">
        <v>229</v>
      </c>
    </row>
    <row r="858" spans="1:18" s="14" customFormat="1" x14ac:dyDescent="0.25">
      <c r="A858" s="14" t="str">
        <f>"14012"</f>
        <v>14012</v>
      </c>
      <c r="B858" s="14" t="str">
        <f>"03050"</f>
        <v>03050</v>
      </c>
      <c r="C858" s="14" t="str">
        <f>"1400"</f>
        <v>1400</v>
      </c>
      <c r="D858" s="14" t="str">
        <f>""</f>
        <v/>
      </c>
      <c r="E858" s="14" t="s">
        <v>502</v>
      </c>
      <c r="F858" s="14" t="s">
        <v>225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228</v>
      </c>
      <c r="P858" s="14" t="s">
        <v>260</v>
      </c>
      <c r="Q858" s="14" t="s">
        <v>260</v>
      </c>
      <c r="R858" s="14" t="s">
        <v>229</v>
      </c>
    </row>
    <row r="859" spans="1:18" s="14" customFormat="1" x14ac:dyDescent="0.25">
      <c r="A859" s="14" t="str">
        <f>"14013"</f>
        <v>14013</v>
      </c>
      <c r="B859" s="14" t="str">
        <f>"03050"</f>
        <v>03050</v>
      </c>
      <c r="C859" s="14" t="str">
        <f>"1400"</f>
        <v>1400</v>
      </c>
      <c r="D859" s="14" t="str">
        <f>""</f>
        <v/>
      </c>
      <c r="E859" s="14" t="s">
        <v>503</v>
      </c>
      <c r="F859" s="14" t="s">
        <v>225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228</v>
      </c>
      <c r="P859" s="14" t="s">
        <v>260</v>
      </c>
      <c r="Q859" s="14" t="s">
        <v>260</v>
      </c>
      <c r="R859" s="14" t="s">
        <v>229</v>
      </c>
    </row>
    <row r="860" spans="1:18" s="14" customFormat="1" x14ac:dyDescent="0.25">
      <c r="A860" s="14" t="str">
        <f>"14014"</f>
        <v>14014</v>
      </c>
      <c r="B860" s="14" t="str">
        <f>"03050"</f>
        <v>03050</v>
      </c>
      <c r="C860" s="14" t="str">
        <f>"1400"</f>
        <v>1400</v>
      </c>
      <c r="D860" s="14" t="str">
        <f>""</f>
        <v/>
      </c>
      <c r="E860" s="14" t="s">
        <v>504</v>
      </c>
      <c r="F860" s="14" t="s">
        <v>225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228</v>
      </c>
      <c r="P860" s="14" t="s">
        <v>260</v>
      </c>
      <c r="Q860" s="14" t="s">
        <v>260</v>
      </c>
      <c r="R860" s="14" t="s">
        <v>229</v>
      </c>
    </row>
    <row r="861" spans="1:18" s="14" customFormat="1" x14ac:dyDescent="0.25">
      <c r="A861" s="14" t="str">
        <f>"14015"</f>
        <v>14015</v>
      </c>
      <c r="B861" s="14" t="str">
        <f>"03050"</f>
        <v>03050</v>
      </c>
      <c r="C861" s="14" t="str">
        <f>"1400"</f>
        <v>1400</v>
      </c>
      <c r="D861" s="14" t="str">
        <f>""</f>
        <v/>
      </c>
      <c r="E861" s="14" t="s">
        <v>505</v>
      </c>
      <c r="F861" s="14" t="s">
        <v>225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228</v>
      </c>
      <c r="P861" s="14" t="s">
        <v>260</v>
      </c>
      <c r="Q861" s="14" t="s">
        <v>260</v>
      </c>
      <c r="R861" s="14" t="s">
        <v>229</v>
      </c>
    </row>
    <row r="862" spans="1:18" s="14" customFormat="1" x14ac:dyDescent="0.25">
      <c r="A862" s="14" t="str">
        <f>"14016"</f>
        <v>14016</v>
      </c>
      <c r="B862" s="14" t="str">
        <f>"03050"</f>
        <v>03050</v>
      </c>
      <c r="C862" s="14" t="str">
        <f>"1400"</f>
        <v>1400</v>
      </c>
      <c r="D862" s="14" t="str">
        <f>""</f>
        <v/>
      </c>
      <c r="E862" s="14" t="s">
        <v>506</v>
      </c>
      <c r="F862" s="14" t="s">
        <v>225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228</v>
      </c>
      <c r="P862" s="14" t="s">
        <v>260</v>
      </c>
      <c r="Q862" s="14" t="s">
        <v>260</v>
      </c>
      <c r="R862" s="14" t="s">
        <v>229</v>
      </c>
    </row>
    <row r="863" spans="1:18" s="14" customFormat="1" x14ac:dyDescent="0.25">
      <c r="A863" s="14" t="str">
        <f>"14017"</f>
        <v>14017</v>
      </c>
      <c r="B863" s="14" t="str">
        <f>"03050"</f>
        <v>03050</v>
      </c>
      <c r="C863" s="14" t="str">
        <f>"1400"</f>
        <v>1400</v>
      </c>
      <c r="D863" s="14" t="str">
        <f>""</f>
        <v/>
      </c>
      <c r="E863" s="14" t="s">
        <v>507</v>
      </c>
      <c r="F863" s="14" t="s">
        <v>225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228</v>
      </c>
      <c r="P863" s="14" t="s">
        <v>260</v>
      </c>
      <c r="Q863" s="14" t="s">
        <v>260</v>
      </c>
      <c r="R863" s="14" t="s">
        <v>229</v>
      </c>
    </row>
    <row r="864" spans="1:18" s="14" customFormat="1" x14ac:dyDescent="0.25">
      <c r="A864" s="14" t="str">
        <f>"18611"</f>
        <v>18611</v>
      </c>
      <c r="B864" s="14" t="str">
        <f>"03050"</f>
        <v>03050</v>
      </c>
      <c r="C864" s="14" t="str">
        <f>"1800"</f>
        <v>1800</v>
      </c>
      <c r="D864" s="14" t="str">
        <f>""</f>
        <v/>
      </c>
      <c r="E864" s="14" t="s">
        <v>744</v>
      </c>
      <c r="F864" s="14" t="s">
        <v>225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228</v>
      </c>
      <c r="P864" s="14" t="s">
        <v>260</v>
      </c>
      <c r="Q864" s="14" t="s">
        <v>25</v>
      </c>
      <c r="R864" s="14" t="s">
        <v>229</v>
      </c>
    </row>
    <row r="865" spans="1:18" s="14" customFormat="1" x14ac:dyDescent="0.25">
      <c r="A865" s="14" t="str">
        <f>"83001"</f>
        <v>83001</v>
      </c>
      <c r="B865" s="14" t="str">
        <f>"07010"</f>
        <v>07010</v>
      </c>
      <c r="C865" s="14" t="str">
        <f>"1800"</f>
        <v>1800</v>
      </c>
      <c r="D865" s="14" t="str">
        <f>""</f>
        <v/>
      </c>
      <c r="E865" s="14" t="s">
        <v>1001</v>
      </c>
      <c r="F865" s="14" t="s">
        <v>1002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228</v>
      </c>
      <c r="P865" s="14" t="s">
        <v>260</v>
      </c>
      <c r="Q865" s="14" t="s">
        <v>260</v>
      </c>
      <c r="R865" s="14" t="s">
        <v>229</v>
      </c>
    </row>
    <row r="866" spans="1:18" s="14" customFormat="1" x14ac:dyDescent="0.25">
      <c r="A866" s="14" t="str">
        <f>"83003"</f>
        <v>83003</v>
      </c>
      <c r="B866" s="14" t="str">
        <f>"07010"</f>
        <v>07010</v>
      </c>
      <c r="C866" s="14" t="str">
        <f>"1800"</f>
        <v>1800</v>
      </c>
      <c r="D866" s="14" t="str">
        <f>""</f>
        <v/>
      </c>
      <c r="E866" s="14" t="s">
        <v>1003</v>
      </c>
      <c r="F866" s="14" t="s">
        <v>1002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228</v>
      </c>
      <c r="P866" s="14" t="s">
        <v>260</v>
      </c>
      <c r="Q866" s="14" t="s">
        <v>260</v>
      </c>
      <c r="R866" s="14" t="s">
        <v>229</v>
      </c>
    </row>
    <row r="867" spans="1:18" s="14" customFormat="1" x14ac:dyDescent="0.25">
      <c r="A867" s="14" t="str">
        <f>"83005"</f>
        <v>83005</v>
      </c>
      <c r="B867" s="14" t="str">
        <f>"07010"</f>
        <v>07010</v>
      </c>
      <c r="C867" s="14" t="str">
        <f>"1800"</f>
        <v>1800</v>
      </c>
      <c r="D867" s="14" t="str">
        <f>""</f>
        <v/>
      </c>
      <c r="E867" s="14" t="s">
        <v>1004</v>
      </c>
      <c r="F867" s="14" t="s">
        <v>1002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228</v>
      </c>
      <c r="P867" s="14" t="s">
        <v>260</v>
      </c>
      <c r="Q867" s="14" t="s">
        <v>260</v>
      </c>
      <c r="R867" s="14" t="s">
        <v>229</v>
      </c>
    </row>
    <row r="868" spans="1:18" s="14" customFormat="1" x14ac:dyDescent="0.25">
      <c r="A868" s="14" t="str">
        <f>"83006"</f>
        <v>83006</v>
      </c>
      <c r="B868" s="14" t="str">
        <f>"07010"</f>
        <v>07010</v>
      </c>
      <c r="C868" s="14" t="str">
        <f>"1800"</f>
        <v>1800</v>
      </c>
      <c r="D868" s="14" t="str">
        <f>""</f>
        <v/>
      </c>
      <c r="E868" s="14" t="s">
        <v>1005</v>
      </c>
      <c r="F868" s="14" t="s">
        <v>1002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228</v>
      </c>
      <c r="P868" s="14" t="s">
        <v>260</v>
      </c>
      <c r="Q868" s="14" t="s">
        <v>260</v>
      </c>
      <c r="R868" s="14" t="s">
        <v>229</v>
      </c>
    </row>
    <row r="869" spans="1:18" s="14" customFormat="1" x14ac:dyDescent="0.25">
      <c r="A869" s="14" t="str">
        <f>"83007"</f>
        <v>83007</v>
      </c>
      <c r="B869" s="14" t="str">
        <f>"07010"</f>
        <v>07010</v>
      </c>
      <c r="C869" s="14" t="str">
        <f>"1800"</f>
        <v>1800</v>
      </c>
      <c r="D869" s="14" t="str">
        <f>""</f>
        <v/>
      </c>
      <c r="E869" s="14" t="s">
        <v>1006</v>
      </c>
      <c r="F869" s="14" t="s">
        <v>1002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228</v>
      </c>
      <c r="P869" s="14" t="s">
        <v>260</v>
      </c>
      <c r="Q869" s="14" t="s">
        <v>260</v>
      </c>
      <c r="R869" s="14" t="s">
        <v>229</v>
      </c>
    </row>
    <row r="870" spans="1:18" s="14" customFormat="1" x14ac:dyDescent="0.25">
      <c r="A870" s="14" t="str">
        <f>"83013"</f>
        <v>83013</v>
      </c>
      <c r="B870" s="14" t="str">
        <f>"07010"</f>
        <v>07010</v>
      </c>
      <c r="C870" s="14" t="str">
        <f>"1800"</f>
        <v>1800</v>
      </c>
      <c r="D870" s="14" t="str">
        <f>""</f>
        <v/>
      </c>
      <c r="E870" s="14" t="s">
        <v>1007</v>
      </c>
      <c r="F870" s="14" t="s">
        <v>1002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228</v>
      </c>
      <c r="P870" s="14" t="s">
        <v>260</v>
      </c>
      <c r="Q870" s="14" t="s">
        <v>260</v>
      </c>
      <c r="R870" s="14" t="s">
        <v>229</v>
      </c>
    </row>
    <row r="871" spans="1:18" s="14" customFormat="1" x14ac:dyDescent="0.25">
      <c r="A871" s="14" t="str">
        <f>"83014"</f>
        <v>83014</v>
      </c>
      <c r="B871" s="14" t="str">
        <f>"07010"</f>
        <v>07010</v>
      </c>
      <c r="C871" s="14" t="str">
        <f>"1800"</f>
        <v>1800</v>
      </c>
      <c r="D871" s="14" t="str">
        <f>""</f>
        <v/>
      </c>
      <c r="E871" s="14" t="s">
        <v>1008</v>
      </c>
      <c r="F871" s="14" t="s">
        <v>1002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228</v>
      </c>
      <c r="P871" s="14" t="s">
        <v>260</v>
      </c>
      <c r="Q871" s="14" t="s">
        <v>260</v>
      </c>
      <c r="R871" s="14" t="s">
        <v>229</v>
      </c>
    </row>
    <row r="872" spans="1:18" s="14" customFormat="1" x14ac:dyDescent="0.25">
      <c r="A872" s="14" t="str">
        <f>"83015"</f>
        <v>83015</v>
      </c>
      <c r="B872" s="14" t="str">
        <f>"07010"</f>
        <v>07010</v>
      </c>
      <c r="C872" s="14" t="str">
        <f>"1800"</f>
        <v>1800</v>
      </c>
      <c r="D872" s="14" t="str">
        <f>""</f>
        <v/>
      </c>
      <c r="E872" s="14" t="s">
        <v>1009</v>
      </c>
      <c r="F872" s="14" t="s">
        <v>1002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228</v>
      </c>
      <c r="P872" s="14" t="s">
        <v>260</v>
      </c>
      <c r="Q872" s="14" t="s">
        <v>260</v>
      </c>
      <c r="R872" s="14" t="s">
        <v>229</v>
      </c>
    </row>
    <row r="873" spans="1:18" s="14" customFormat="1" x14ac:dyDescent="0.25">
      <c r="A873" s="14" t="str">
        <f>"83016"</f>
        <v>83016</v>
      </c>
      <c r="B873" s="14" t="str">
        <f>"07010"</f>
        <v>07010</v>
      </c>
      <c r="C873" s="14" t="str">
        <f>"1800"</f>
        <v>1800</v>
      </c>
      <c r="D873" s="14" t="str">
        <f>""</f>
        <v/>
      </c>
      <c r="E873" s="14" t="s">
        <v>1010</v>
      </c>
      <c r="F873" s="14" t="s">
        <v>1002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228</v>
      </c>
      <c r="P873" s="14" t="s">
        <v>260</v>
      </c>
      <c r="Q873" s="14" t="s">
        <v>260</v>
      </c>
      <c r="R873" s="14" t="s">
        <v>229</v>
      </c>
    </row>
    <row r="874" spans="1:18" s="14" customFormat="1" x14ac:dyDescent="0.25">
      <c r="A874" s="14" t="str">
        <f>"83017"</f>
        <v>83017</v>
      </c>
      <c r="B874" s="14" t="str">
        <f>"07010"</f>
        <v>07010</v>
      </c>
      <c r="C874" s="14" t="str">
        <f>"1800"</f>
        <v>1800</v>
      </c>
      <c r="D874" s="14" t="str">
        <f>""</f>
        <v/>
      </c>
      <c r="E874" s="14" t="s">
        <v>1011</v>
      </c>
      <c r="F874" s="14" t="s">
        <v>1002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228</v>
      </c>
      <c r="P874" s="14" t="s">
        <v>260</v>
      </c>
      <c r="Q874" s="14" t="s">
        <v>260</v>
      </c>
      <c r="R874" s="14" t="s">
        <v>229</v>
      </c>
    </row>
    <row r="875" spans="1:18" s="14" customFormat="1" x14ac:dyDescent="0.25">
      <c r="A875" s="14" t="str">
        <f>"83019"</f>
        <v>83019</v>
      </c>
      <c r="B875" s="14" t="str">
        <f>"07010"</f>
        <v>07010</v>
      </c>
      <c r="C875" s="14" t="str">
        <f>"1800"</f>
        <v>1800</v>
      </c>
      <c r="D875" s="14" t="str">
        <f>""</f>
        <v/>
      </c>
      <c r="E875" s="14" t="s">
        <v>1012</v>
      </c>
      <c r="F875" s="14" t="s">
        <v>1002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228</v>
      </c>
      <c r="P875" s="14" t="s">
        <v>260</v>
      </c>
      <c r="Q875" s="14" t="s">
        <v>260</v>
      </c>
      <c r="R875" s="14" t="s">
        <v>229</v>
      </c>
    </row>
    <row r="876" spans="1:18" s="14" customFormat="1" x14ac:dyDescent="0.25">
      <c r="A876" s="14" t="str">
        <f>"83020"</f>
        <v>83020</v>
      </c>
      <c r="B876" s="14" t="str">
        <f>"07010"</f>
        <v>07010</v>
      </c>
      <c r="C876" s="14" t="str">
        <f>"1800"</f>
        <v>1800</v>
      </c>
      <c r="D876" s="14" t="str">
        <f>""</f>
        <v/>
      </c>
      <c r="E876" s="14" t="s">
        <v>1013</v>
      </c>
      <c r="F876" s="14" t="s">
        <v>1002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228</v>
      </c>
      <c r="P876" s="14" t="s">
        <v>260</v>
      </c>
      <c r="Q876" s="14" t="s">
        <v>260</v>
      </c>
      <c r="R876" s="14" t="s">
        <v>229</v>
      </c>
    </row>
    <row r="877" spans="1:18" s="14" customFormat="1" x14ac:dyDescent="0.25">
      <c r="A877" s="14" t="str">
        <f>"83021"</f>
        <v>83021</v>
      </c>
      <c r="B877" s="14" t="str">
        <f>"07010"</f>
        <v>07010</v>
      </c>
      <c r="C877" s="14" t="str">
        <f>"1800"</f>
        <v>1800</v>
      </c>
      <c r="D877" s="14" t="str">
        <f>""</f>
        <v/>
      </c>
      <c r="E877" s="14" t="s">
        <v>1014</v>
      </c>
      <c r="F877" s="14" t="s">
        <v>1002</v>
      </c>
      <c r="G877" s="14" t="str">
        <f>""</f>
        <v/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228</v>
      </c>
      <c r="P877" s="14" t="s">
        <v>260</v>
      </c>
      <c r="Q877" s="14" t="s">
        <v>260</v>
      </c>
      <c r="R877" s="14" t="s">
        <v>229</v>
      </c>
    </row>
    <row r="878" spans="1:18" s="14" customFormat="1" x14ac:dyDescent="0.25">
      <c r="A878" s="14" t="str">
        <f>"83023"</f>
        <v>83023</v>
      </c>
      <c r="B878" s="14" t="str">
        <f>"07010"</f>
        <v>07010</v>
      </c>
      <c r="C878" s="14" t="str">
        <f>"1800"</f>
        <v>1800</v>
      </c>
      <c r="D878" s="14" t="str">
        <f>""</f>
        <v/>
      </c>
      <c r="E878" s="14" t="s">
        <v>1015</v>
      </c>
      <c r="F878" s="14" t="s">
        <v>1002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228</v>
      </c>
      <c r="P878" s="14" t="s">
        <v>260</v>
      </c>
      <c r="Q878" s="14" t="s">
        <v>260</v>
      </c>
      <c r="R878" s="14" t="s">
        <v>229</v>
      </c>
    </row>
    <row r="879" spans="1:18" s="14" customFormat="1" x14ac:dyDescent="0.25">
      <c r="A879" s="14" t="str">
        <f>"83025"</f>
        <v>83025</v>
      </c>
      <c r="B879" s="14" t="str">
        <f>"07010"</f>
        <v>07010</v>
      </c>
      <c r="C879" s="14" t="str">
        <f>"1800"</f>
        <v>1800</v>
      </c>
      <c r="D879" s="14" t="str">
        <f>""</f>
        <v/>
      </c>
      <c r="E879" s="14" t="s">
        <v>1016</v>
      </c>
      <c r="F879" s="14" t="s">
        <v>1002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228</v>
      </c>
      <c r="P879" s="14" t="s">
        <v>260</v>
      </c>
      <c r="Q879" s="14" t="s">
        <v>260</v>
      </c>
      <c r="R879" s="14" t="s">
        <v>229</v>
      </c>
    </row>
    <row r="880" spans="1:18" s="14" customFormat="1" x14ac:dyDescent="0.25">
      <c r="A880" s="14" t="str">
        <f>"83026"</f>
        <v>83026</v>
      </c>
      <c r="B880" s="14" t="str">
        <f>"07010"</f>
        <v>07010</v>
      </c>
      <c r="C880" s="14" t="str">
        <f>"1800"</f>
        <v>1800</v>
      </c>
      <c r="D880" s="14" t="str">
        <f>""</f>
        <v/>
      </c>
      <c r="E880" s="14" t="s">
        <v>1017</v>
      </c>
      <c r="F880" s="14" t="s">
        <v>1002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228</v>
      </c>
      <c r="P880" s="14" t="s">
        <v>260</v>
      </c>
      <c r="Q880" s="14" t="s">
        <v>260</v>
      </c>
      <c r="R880" s="14" t="s">
        <v>229</v>
      </c>
    </row>
    <row r="881" spans="1:18" s="14" customFormat="1" x14ac:dyDescent="0.25">
      <c r="A881" s="14" t="str">
        <f>"83027"</f>
        <v>83027</v>
      </c>
      <c r="B881" s="14" t="str">
        <f>"07010"</f>
        <v>07010</v>
      </c>
      <c r="C881" s="14" t="str">
        <f>"1800"</f>
        <v>1800</v>
      </c>
      <c r="D881" s="14" t="str">
        <f>""</f>
        <v/>
      </c>
      <c r="E881" s="14" t="s">
        <v>1018</v>
      </c>
      <c r="F881" s="14" t="s">
        <v>1002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228</v>
      </c>
      <c r="P881" s="14" t="s">
        <v>260</v>
      </c>
      <c r="Q881" s="14" t="s">
        <v>260</v>
      </c>
      <c r="R881" s="14" t="s">
        <v>229</v>
      </c>
    </row>
    <row r="882" spans="1:18" s="14" customFormat="1" x14ac:dyDescent="0.25">
      <c r="A882" s="14" t="str">
        <f>"83031"</f>
        <v>83031</v>
      </c>
      <c r="B882" s="14" t="str">
        <f>"07010"</f>
        <v>07010</v>
      </c>
      <c r="C882" s="14" t="str">
        <f>"1800"</f>
        <v>1800</v>
      </c>
      <c r="D882" s="14" t="str">
        <f>""</f>
        <v/>
      </c>
      <c r="E882" s="14" t="s">
        <v>1019</v>
      </c>
      <c r="F882" s="14" t="s">
        <v>1002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228</v>
      </c>
      <c r="P882" s="14" t="s">
        <v>260</v>
      </c>
      <c r="Q882" s="14" t="s">
        <v>260</v>
      </c>
      <c r="R882" s="14" t="s">
        <v>229</v>
      </c>
    </row>
    <row r="883" spans="1:18" s="14" customFormat="1" x14ac:dyDescent="0.25">
      <c r="A883" s="14" t="str">
        <f>"83032"</f>
        <v>83032</v>
      </c>
      <c r="B883" s="14" t="str">
        <f>"07010"</f>
        <v>07010</v>
      </c>
      <c r="C883" s="14" t="str">
        <f>"1800"</f>
        <v>1800</v>
      </c>
      <c r="D883" s="14" t="str">
        <f>""</f>
        <v/>
      </c>
      <c r="E883" s="14" t="s">
        <v>1020</v>
      </c>
      <c r="F883" s="14" t="s">
        <v>1002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228</v>
      </c>
      <c r="P883" s="14" t="s">
        <v>260</v>
      </c>
      <c r="Q883" s="14" t="s">
        <v>260</v>
      </c>
      <c r="R883" s="14" t="s">
        <v>229</v>
      </c>
    </row>
    <row r="884" spans="1:18" s="14" customFormat="1" x14ac:dyDescent="0.25">
      <c r="A884" s="14" t="str">
        <f>"83034"</f>
        <v>83034</v>
      </c>
      <c r="B884" s="14" t="str">
        <f>"07010"</f>
        <v>07010</v>
      </c>
      <c r="C884" s="14" t="str">
        <f>"1800"</f>
        <v>1800</v>
      </c>
      <c r="D884" s="14" t="str">
        <f>""</f>
        <v/>
      </c>
      <c r="E884" s="14" t="s">
        <v>1021</v>
      </c>
      <c r="F884" s="14" t="s">
        <v>1002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228</v>
      </c>
      <c r="P884" s="14" t="s">
        <v>260</v>
      </c>
      <c r="Q884" s="14" t="s">
        <v>260</v>
      </c>
      <c r="R884" s="14" t="s">
        <v>229</v>
      </c>
    </row>
    <row r="885" spans="1:18" s="14" customFormat="1" x14ac:dyDescent="0.25">
      <c r="A885" s="14" t="str">
        <f>"83035"</f>
        <v>83035</v>
      </c>
      <c r="B885" s="14" t="str">
        <f>"07010"</f>
        <v>07010</v>
      </c>
      <c r="C885" s="14" t="str">
        <f>"1800"</f>
        <v>1800</v>
      </c>
      <c r="D885" s="14" t="str">
        <f>""</f>
        <v/>
      </c>
      <c r="E885" s="14" t="s">
        <v>1022</v>
      </c>
      <c r="F885" s="14" t="s">
        <v>1002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228</v>
      </c>
      <c r="P885" s="14" t="s">
        <v>260</v>
      </c>
      <c r="Q885" s="14" t="s">
        <v>260</v>
      </c>
      <c r="R885" s="14" t="s">
        <v>229</v>
      </c>
    </row>
    <row r="886" spans="1:18" s="14" customFormat="1" x14ac:dyDescent="0.25">
      <c r="A886" s="14" t="str">
        <f>"83036"</f>
        <v>83036</v>
      </c>
      <c r="B886" s="14" t="str">
        <f>"07010"</f>
        <v>07010</v>
      </c>
      <c r="C886" s="14" t="str">
        <f>"1800"</f>
        <v>1800</v>
      </c>
      <c r="D886" s="14" t="str">
        <f>""</f>
        <v/>
      </c>
      <c r="E886" s="14" t="s">
        <v>1023</v>
      </c>
      <c r="F886" s="14" t="s">
        <v>1002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228</v>
      </c>
      <c r="P886" s="14" t="s">
        <v>260</v>
      </c>
      <c r="Q886" s="14" t="s">
        <v>260</v>
      </c>
      <c r="R886" s="14" t="s">
        <v>229</v>
      </c>
    </row>
    <row r="887" spans="1:18" s="14" customFormat="1" x14ac:dyDescent="0.25">
      <c r="A887" s="14" t="str">
        <f>"83042"</f>
        <v>83042</v>
      </c>
      <c r="B887" s="14" t="str">
        <f>"07010"</f>
        <v>07010</v>
      </c>
      <c r="C887" s="14" t="str">
        <f>"1800"</f>
        <v>1800</v>
      </c>
      <c r="D887" s="14" t="str">
        <f>""</f>
        <v/>
      </c>
      <c r="E887" s="14" t="s">
        <v>1024</v>
      </c>
      <c r="F887" s="14" t="s">
        <v>1002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228</v>
      </c>
      <c r="P887" s="14" t="s">
        <v>260</v>
      </c>
      <c r="Q887" s="14" t="s">
        <v>260</v>
      </c>
      <c r="R887" s="14" t="s">
        <v>229</v>
      </c>
    </row>
    <row r="888" spans="1:18" s="14" customFormat="1" x14ac:dyDescent="0.25">
      <c r="A888" s="14" t="str">
        <f>"83050"</f>
        <v>83050</v>
      </c>
      <c r="B888" s="14" t="str">
        <f>"07010"</f>
        <v>07010</v>
      </c>
      <c r="C888" s="14" t="str">
        <f>"1800"</f>
        <v>1800</v>
      </c>
      <c r="D888" s="14" t="str">
        <f>""</f>
        <v/>
      </c>
      <c r="E888" s="14" t="s">
        <v>1025</v>
      </c>
      <c r="F888" s="14" t="s">
        <v>1002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228</v>
      </c>
      <c r="P888" s="14" t="s">
        <v>260</v>
      </c>
      <c r="Q888" s="14" t="s">
        <v>260</v>
      </c>
      <c r="R888" s="14" t="s">
        <v>229</v>
      </c>
    </row>
    <row r="889" spans="1:18" s="14" customFormat="1" x14ac:dyDescent="0.25">
      <c r="A889" s="14" t="str">
        <f>"83051"</f>
        <v>83051</v>
      </c>
      <c r="B889" s="14" t="str">
        <f>"07010"</f>
        <v>07010</v>
      </c>
      <c r="C889" s="14" t="str">
        <f>"1800"</f>
        <v>1800</v>
      </c>
      <c r="D889" s="14" t="str">
        <f>""</f>
        <v/>
      </c>
      <c r="E889" s="14" t="s">
        <v>1026</v>
      </c>
      <c r="F889" s="14" t="s">
        <v>1002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228</v>
      </c>
      <c r="P889" s="14" t="s">
        <v>260</v>
      </c>
      <c r="Q889" s="14" t="s">
        <v>260</v>
      </c>
      <c r="R889" s="14" t="s">
        <v>229</v>
      </c>
    </row>
    <row r="890" spans="1:18" s="14" customFormat="1" x14ac:dyDescent="0.25">
      <c r="A890" s="14" t="str">
        <f>"83054"</f>
        <v>83054</v>
      </c>
      <c r="B890" s="14" t="str">
        <f>"07010"</f>
        <v>07010</v>
      </c>
      <c r="C890" s="14" t="str">
        <f>"1800"</f>
        <v>1800</v>
      </c>
      <c r="D890" s="14" t="str">
        <f>""</f>
        <v/>
      </c>
      <c r="E890" s="14" t="s">
        <v>1027</v>
      </c>
      <c r="F890" s="14" t="s">
        <v>1002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228</v>
      </c>
      <c r="P890" s="14" t="s">
        <v>260</v>
      </c>
      <c r="Q890" s="14" t="s">
        <v>260</v>
      </c>
      <c r="R890" s="14" t="s">
        <v>229</v>
      </c>
    </row>
    <row r="891" spans="1:18" s="14" customFormat="1" x14ac:dyDescent="0.25">
      <c r="A891" s="14" t="str">
        <f>"83058"</f>
        <v>83058</v>
      </c>
      <c r="B891" s="14" t="str">
        <f>"07010"</f>
        <v>07010</v>
      </c>
      <c r="C891" s="14" t="str">
        <f>"1800"</f>
        <v>1800</v>
      </c>
      <c r="D891" s="14" t="str">
        <f>""</f>
        <v/>
      </c>
      <c r="E891" s="14" t="s">
        <v>1028</v>
      </c>
      <c r="F891" s="14" t="s">
        <v>1002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228</v>
      </c>
      <c r="P891" s="14" t="s">
        <v>260</v>
      </c>
      <c r="Q891" s="14" t="s">
        <v>260</v>
      </c>
      <c r="R891" s="14" t="s">
        <v>229</v>
      </c>
    </row>
    <row r="892" spans="1:18" s="14" customFormat="1" x14ac:dyDescent="0.25">
      <c r="A892" s="14" t="str">
        <f>"83060"</f>
        <v>83060</v>
      </c>
      <c r="B892" s="14" t="str">
        <f>"07010"</f>
        <v>07010</v>
      </c>
      <c r="C892" s="14" t="str">
        <f>"1800"</f>
        <v>1800</v>
      </c>
      <c r="D892" s="14" t="str">
        <f>""</f>
        <v/>
      </c>
      <c r="E892" s="14" t="s">
        <v>1029</v>
      </c>
      <c r="F892" s="14" t="s">
        <v>1002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228</v>
      </c>
      <c r="P892" s="14" t="s">
        <v>260</v>
      </c>
      <c r="Q892" s="14" t="s">
        <v>260</v>
      </c>
      <c r="R892" s="14" t="s">
        <v>229</v>
      </c>
    </row>
    <row r="893" spans="1:18" s="14" customFormat="1" x14ac:dyDescent="0.25">
      <c r="A893" s="14" t="str">
        <f>"83061"</f>
        <v>83061</v>
      </c>
      <c r="B893" s="14" t="str">
        <f>"07010"</f>
        <v>07010</v>
      </c>
      <c r="C893" s="14" t="str">
        <f>"1800"</f>
        <v>1800</v>
      </c>
      <c r="D893" s="14" t="str">
        <f>""</f>
        <v/>
      </c>
      <c r="E893" s="14" t="s">
        <v>1030</v>
      </c>
      <c r="F893" s="14" t="s">
        <v>1002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228</v>
      </c>
      <c r="P893" s="14" t="s">
        <v>260</v>
      </c>
      <c r="Q893" s="14" t="s">
        <v>260</v>
      </c>
      <c r="R893" s="14" t="s">
        <v>229</v>
      </c>
    </row>
    <row r="894" spans="1:18" s="14" customFormat="1" x14ac:dyDescent="0.25">
      <c r="A894" s="14" t="str">
        <f>"83062"</f>
        <v>83062</v>
      </c>
      <c r="B894" s="14" t="str">
        <f>"07010"</f>
        <v>07010</v>
      </c>
      <c r="C894" s="14" t="str">
        <f>"1800"</f>
        <v>1800</v>
      </c>
      <c r="D894" s="14" t="str">
        <f>""</f>
        <v/>
      </c>
      <c r="E894" s="14" t="s">
        <v>1031</v>
      </c>
      <c r="F894" s="14" t="s">
        <v>1002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228</v>
      </c>
      <c r="P894" s="14" t="s">
        <v>260</v>
      </c>
      <c r="Q894" s="14" t="s">
        <v>260</v>
      </c>
      <c r="R894" s="14" t="s">
        <v>229</v>
      </c>
    </row>
    <row r="895" spans="1:18" s="14" customFormat="1" x14ac:dyDescent="0.25">
      <c r="A895" s="14" t="str">
        <f>"83063"</f>
        <v>83063</v>
      </c>
      <c r="B895" s="14" t="str">
        <f>"07010"</f>
        <v>07010</v>
      </c>
      <c r="C895" s="14" t="str">
        <f>"1800"</f>
        <v>1800</v>
      </c>
      <c r="D895" s="14" t="str">
        <f>""</f>
        <v/>
      </c>
      <c r="E895" s="14" t="s">
        <v>1032</v>
      </c>
      <c r="F895" s="14" t="s">
        <v>1002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228</v>
      </c>
      <c r="P895" s="14" t="s">
        <v>260</v>
      </c>
      <c r="Q895" s="14" t="s">
        <v>260</v>
      </c>
      <c r="R895" s="14" t="s">
        <v>229</v>
      </c>
    </row>
    <row r="896" spans="1:18" s="14" customFormat="1" x14ac:dyDescent="0.25">
      <c r="A896" s="14" t="str">
        <f>"83068"</f>
        <v>83068</v>
      </c>
      <c r="B896" s="14" t="str">
        <f>"07010"</f>
        <v>07010</v>
      </c>
      <c r="C896" s="14" t="str">
        <f>"1800"</f>
        <v>1800</v>
      </c>
      <c r="D896" s="14" t="str">
        <f>""</f>
        <v/>
      </c>
      <c r="E896" s="14" t="s">
        <v>1033</v>
      </c>
      <c r="F896" s="14" t="s">
        <v>1002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228</v>
      </c>
      <c r="P896" s="14" t="s">
        <v>260</v>
      </c>
      <c r="Q896" s="14" t="s">
        <v>260</v>
      </c>
      <c r="R896" s="14" t="s">
        <v>229</v>
      </c>
    </row>
    <row r="897" spans="1:18" s="14" customFormat="1" x14ac:dyDescent="0.25">
      <c r="A897" s="14" t="str">
        <f>"83071"</f>
        <v>83071</v>
      </c>
      <c r="B897" s="14" t="str">
        <f>"07010"</f>
        <v>07010</v>
      </c>
      <c r="C897" s="14" t="str">
        <f>"1800"</f>
        <v>1800</v>
      </c>
      <c r="D897" s="14" t="str">
        <f>""</f>
        <v/>
      </c>
      <c r="E897" s="14" t="s">
        <v>1034</v>
      </c>
      <c r="F897" s="14" t="s">
        <v>1002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228</v>
      </c>
      <c r="P897" s="14" t="s">
        <v>260</v>
      </c>
      <c r="Q897" s="14" t="s">
        <v>260</v>
      </c>
      <c r="R897" s="14" t="s">
        <v>229</v>
      </c>
    </row>
    <row r="898" spans="1:18" s="14" customFormat="1" x14ac:dyDescent="0.25">
      <c r="A898" s="14" t="str">
        <f>"83073"</f>
        <v>83073</v>
      </c>
      <c r="B898" s="14" t="str">
        <f>"07010"</f>
        <v>07010</v>
      </c>
      <c r="C898" s="14" t="str">
        <f>"1800"</f>
        <v>1800</v>
      </c>
      <c r="D898" s="14" t="str">
        <f>""</f>
        <v/>
      </c>
      <c r="E898" s="14" t="s">
        <v>1035</v>
      </c>
      <c r="F898" s="14" t="s">
        <v>1002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228</v>
      </c>
      <c r="P898" s="14" t="s">
        <v>260</v>
      </c>
      <c r="Q898" s="14" t="s">
        <v>260</v>
      </c>
      <c r="R898" s="14" t="s">
        <v>229</v>
      </c>
    </row>
    <row r="899" spans="1:18" s="14" customFormat="1" x14ac:dyDescent="0.25">
      <c r="A899" s="14" t="str">
        <f>"83075"</f>
        <v>83075</v>
      </c>
      <c r="B899" s="14" t="str">
        <f>"07010"</f>
        <v>07010</v>
      </c>
      <c r="C899" s="14" t="str">
        <f>"1800"</f>
        <v>1800</v>
      </c>
      <c r="D899" s="14" t="str">
        <f>""</f>
        <v/>
      </c>
      <c r="E899" s="14" t="s">
        <v>1036</v>
      </c>
      <c r="F899" s="14" t="s">
        <v>1002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228</v>
      </c>
      <c r="P899" s="14" t="s">
        <v>260</v>
      </c>
      <c r="Q899" s="14" t="s">
        <v>260</v>
      </c>
      <c r="R899" s="14" t="s">
        <v>229</v>
      </c>
    </row>
    <row r="900" spans="1:18" s="14" customFormat="1" x14ac:dyDescent="0.25">
      <c r="A900" s="14" t="str">
        <f>"83076"</f>
        <v>83076</v>
      </c>
      <c r="B900" s="14" t="str">
        <f>"07010"</f>
        <v>07010</v>
      </c>
      <c r="C900" s="14" t="str">
        <f>"1800"</f>
        <v>1800</v>
      </c>
      <c r="D900" s="14" t="str">
        <f>""</f>
        <v/>
      </c>
      <c r="E900" s="14" t="s">
        <v>1037</v>
      </c>
      <c r="F900" s="14" t="s">
        <v>1002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228</v>
      </c>
      <c r="P900" s="14" t="s">
        <v>260</v>
      </c>
      <c r="Q900" s="14" t="s">
        <v>260</v>
      </c>
      <c r="R900" s="14" t="s">
        <v>229</v>
      </c>
    </row>
    <row r="901" spans="1:18" s="14" customFormat="1" x14ac:dyDescent="0.25">
      <c r="A901" s="14" t="str">
        <f>"83079"</f>
        <v>83079</v>
      </c>
      <c r="B901" s="14" t="str">
        <f>"07010"</f>
        <v>07010</v>
      </c>
      <c r="C901" s="14" t="str">
        <f>"1800"</f>
        <v>1800</v>
      </c>
      <c r="D901" s="14" t="str">
        <f>""</f>
        <v/>
      </c>
      <c r="E901" s="14" t="s">
        <v>1038</v>
      </c>
      <c r="F901" s="14" t="s">
        <v>1002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228</v>
      </c>
      <c r="P901" s="14" t="s">
        <v>260</v>
      </c>
      <c r="Q901" s="14" t="s">
        <v>260</v>
      </c>
      <c r="R901" s="14" t="s">
        <v>229</v>
      </c>
    </row>
    <row r="902" spans="1:18" s="14" customFormat="1" x14ac:dyDescent="0.25">
      <c r="A902" s="14" t="str">
        <f>"83080"</f>
        <v>83080</v>
      </c>
      <c r="B902" s="14" t="str">
        <f>"07010"</f>
        <v>07010</v>
      </c>
      <c r="C902" s="14" t="str">
        <f>"1800"</f>
        <v>1800</v>
      </c>
      <c r="D902" s="14" t="str">
        <f>""</f>
        <v/>
      </c>
      <c r="E902" s="14" t="s">
        <v>1039</v>
      </c>
      <c r="F902" s="14" t="s">
        <v>1002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228</v>
      </c>
      <c r="P902" s="14" t="s">
        <v>260</v>
      </c>
      <c r="Q902" s="14" t="s">
        <v>260</v>
      </c>
      <c r="R902" s="14" t="s">
        <v>229</v>
      </c>
    </row>
    <row r="903" spans="1:18" s="14" customFormat="1" x14ac:dyDescent="0.25">
      <c r="A903" s="14" t="str">
        <f>"83081"</f>
        <v>83081</v>
      </c>
      <c r="B903" s="14" t="str">
        <f>"07010"</f>
        <v>07010</v>
      </c>
      <c r="C903" s="14" t="str">
        <f>"1800"</f>
        <v>1800</v>
      </c>
      <c r="D903" s="14" t="str">
        <f>""</f>
        <v/>
      </c>
      <c r="E903" s="14" t="s">
        <v>1040</v>
      </c>
      <c r="F903" s="14" t="s">
        <v>1002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228</v>
      </c>
      <c r="P903" s="14" t="s">
        <v>260</v>
      </c>
      <c r="Q903" s="14" t="s">
        <v>260</v>
      </c>
      <c r="R903" s="14" t="s">
        <v>229</v>
      </c>
    </row>
    <row r="904" spans="1:18" s="14" customFormat="1" x14ac:dyDescent="0.25">
      <c r="A904" s="14" t="str">
        <f>"83082"</f>
        <v>83082</v>
      </c>
      <c r="B904" s="14" t="str">
        <f>"07010"</f>
        <v>07010</v>
      </c>
      <c r="C904" s="14" t="str">
        <f>"1800"</f>
        <v>1800</v>
      </c>
      <c r="D904" s="14" t="str">
        <f>""</f>
        <v/>
      </c>
      <c r="E904" s="14" t="s">
        <v>1041</v>
      </c>
      <c r="F904" s="14" t="s">
        <v>1002</v>
      </c>
      <c r="G904" s="14" t="str">
        <f>""</f>
        <v/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228</v>
      </c>
      <c r="P904" s="14" t="s">
        <v>260</v>
      </c>
      <c r="Q904" s="14" t="s">
        <v>260</v>
      </c>
      <c r="R904" s="14" t="s">
        <v>229</v>
      </c>
    </row>
    <row r="905" spans="1:18" s="14" customFormat="1" x14ac:dyDescent="0.25">
      <c r="A905" s="14" t="str">
        <f>"83084"</f>
        <v>83084</v>
      </c>
      <c r="B905" s="14" t="str">
        <f>"07010"</f>
        <v>07010</v>
      </c>
      <c r="C905" s="14" t="str">
        <f>"1800"</f>
        <v>1800</v>
      </c>
      <c r="D905" s="14" t="str">
        <f>""</f>
        <v/>
      </c>
      <c r="E905" s="14" t="s">
        <v>1042</v>
      </c>
      <c r="F905" s="14" t="s">
        <v>1002</v>
      </c>
      <c r="G905" s="14" t="str">
        <f>""</f>
        <v/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228</v>
      </c>
      <c r="P905" s="14" t="s">
        <v>260</v>
      </c>
      <c r="Q905" s="14" t="s">
        <v>260</v>
      </c>
      <c r="R905" s="14" t="s">
        <v>229</v>
      </c>
    </row>
    <row r="906" spans="1:18" s="14" customFormat="1" x14ac:dyDescent="0.25">
      <c r="A906" s="14" t="str">
        <f>"83086"</f>
        <v>83086</v>
      </c>
      <c r="B906" s="14" t="str">
        <f>"07010"</f>
        <v>07010</v>
      </c>
      <c r="C906" s="14" t="str">
        <f>"1800"</f>
        <v>1800</v>
      </c>
      <c r="D906" s="14" t="str">
        <f>""</f>
        <v/>
      </c>
      <c r="E906" s="14" t="s">
        <v>1043</v>
      </c>
      <c r="F906" s="14" t="s">
        <v>1002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228</v>
      </c>
      <c r="P906" s="14" t="s">
        <v>260</v>
      </c>
      <c r="Q906" s="14" t="s">
        <v>260</v>
      </c>
      <c r="R906" s="14" t="s">
        <v>229</v>
      </c>
    </row>
    <row r="907" spans="1:18" s="14" customFormat="1" x14ac:dyDescent="0.25">
      <c r="A907" s="14" t="str">
        <f>"83087"</f>
        <v>83087</v>
      </c>
      <c r="B907" s="14" t="str">
        <f>"07010"</f>
        <v>07010</v>
      </c>
      <c r="C907" s="14" t="str">
        <f>"1800"</f>
        <v>1800</v>
      </c>
      <c r="D907" s="14" t="str">
        <f>""</f>
        <v/>
      </c>
      <c r="E907" s="14" t="s">
        <v>1044</v>
      </c>
      <c r="F907" s="14" t="s">
        <v>1002</v>
      </c>
      <c r="G907" s="14" t="str">
        <f>""</f>
        <v/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228</v>
      </c>
      <c r="P907" s="14" t="s">
        <v>260</v>
      </c>
      <c r="Q907" s="14" t="s">
        <v>260</v>
      </c>
      <c r="R907" s="14" t="s">
        <v>229</v>
      </c>
    </row>
    <row r="908" spans="1:18" s="14" customFormat="1" x14ac:dyDescent="0.25">
      <c r="A908" s="14" t="str">
        <f>"83088"</f>
        <v>83088</v>
      </c>
      <c r="B908" s="14" t="str">
        <f>"07010"</f>
        <v>07010</v>
      </c>
      <c r="C908" s="14" t="str">
        <f>"1800"</f>
        <v>1800</v>
      </c>
      <c r="D908" s="14" t="str">
        <f>""</f>
        <v/>
      </c>
      <c r="E908" s="14" t="s">
        <v>1045</v>
      </c>
      <c r="F908" s="14" t="s">
        <v>1002</v>
      </c>
      <c r="G908" s="14" t="str">
        <f>""</f>
        <v/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228</v>
      </c>
      <c r="P908" s="14" t="s">
        <v>260</v>
      </c>
      <c r="Q908" s="14" t="s">
        <v>260</v>
      </c>
      <c r="R908" s="14" t="s">
        <v>229</v>
      </c>
    </row>
    <row r="909" spans="1:18" s="14" customFormat="1" x14ac:dyDescent="0.25">
      <c r="A909" s="14" t="str">
        <f>"83093"</f>
        <v>83093</v>
      </c>
      <c r="B909" s="14" t="str">
        <f>"07010"</f>
        <v>07010</v>
      </c>
      <c r="C909" s="14" t="str">
        <f>"1800"</f>
        <v>1800</v>
      </c>
      <c r="D909" s="14" t="str">
        <f>""</f>
        <v/>
      </c>
      <c r="E909" s="14" t="s">
        <v>1046</v>
      </c>
      <c r="F909" s="14" t="s">
        <v>1002</v>
      </c>
      <c r="G909" s="14" t="str">
        <f>""</f>
        <v/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228</v>
      </c>
      <c r="P909" s="14" t="s">
        <v>260</v>
      </c>
      <c r="Q909" s="14" t="s">
        <v>260</v>
      </c>
      <c r="R909" s="14" t="s">
        <v>229</v>
      </c>
    </row>
    <row r="910" spans="1:18" s="14" customFormat="1" x14ac:dyDescent="0.25">
      <c r="A910" s="14" t="str">
        <f>"83094"</f>
        <v>83094</v>
      </c>
      <c r="B910" s="14" t="str">
        <f>"07010"</f>
        <v>07010</v>
      </c>
      <c r="C910" s="14" t="str">
        <f>"1800"</f>
        <v>1800</v>
      </c>
      <c r="D910" s="14" t="str">
        <f>""</f>
        <v/>
      </c>
      <c r="E910" s="14" t="s">
        <v>1047</v>
      </c>
      <c r="F910" s="14" t="s">
        <v>1002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228</v>
      </c>
      <c r="P910" s="14" t="s">
        <v>260</v>
      </c>
      <c r="Q910" s="14" t="s">
        <v>260</v>
      </c>
      <c r="R910" s="14" t="s">
        <v>229</v>
      </c>
    </row>
    <row r="911" spans="1:18" s="14" customFormat="1" x14ac:dyDescent="0.25">
      <c r="A911" s="14" t="str">
        <f>"83099"</f>
        <v>83099</v>
      </c>
      <c r="B911" s="14" t="str">
        <f>"07010"</f>
        <v>07010</v>
      </c>
      <c r="C911" s="14" t="str">
        <f>"1800"</f>
        <v>1800</v>
      </c>
      <c r="D911" s="14" t="str">
        <f>""</f>
        <v/>
      </c>
      <c r="E911" s="14" t="s">
        <v>1048</v>
      </c>
      <c r="F911" s="14" t="s">
        <v>1002</v>
      </c>
      <c r="G911" s="14" t="str">
        <f>""</f>
        <v/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228</v>
      </c>
      <c r="P911" s="14" t="s">
        <v>260</v>
      </c>
      <c r="Q911" s="14" t="s">
        <v>260</v>
      </c>
      <c r="R911" s="14" t="s">
        <v>229</v>
      </c>
    </row>
    <row r="912" spans="1:18" s="14" customFormat="1" x14ac:dyDescent="0.25">
      <c r="A912" s="14" t="str">
        <f>"83100"</f>
        <v>83100</v>
      </c>
      <c r="B912" s="14" t="str">
        <f>"07010"</f>
        <v>07010</v>
      </c>
      <c r="C912" s="14" t="str">
        <f>"1800"</f>
        <v>1800</v>
      </c>
      <c r="D912" s="14" t="str">
        <f>""</f>
        <v/>
      </c>
      <c r="E912" s="14" t="s">
        <v>1049</v>
      </c>
      <c r="F912" s="14" t="s">
        <v>1002</v>
      </c>
      <c r="G912" s="14" t="str">
        <f>""</f>
        <v/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228</v>
      </c>
      <c r="P912" s="14" t="s">
        <v>260</v>
      </c>
      <c r="Q912" s="14" t="s">
        <v>260</v>
      </c>
      <c r="R912" s="14" t="s">
        <v>229</v>
      </c>
    </row>
    <row r="913" spans="1:18" s="14" customFormat="1" x14ac:dyDescent="0.25">
      <c r="A913" s="14" t="str">
        <f>"83102"</f>
        <v>83102</v>
      </c>
      <c r="B913" s="14" t="str">
        <f>"07010"</f>
        <v>07010</v>
      </c>
      <c r="C913" s="14" t="str">
        <f>"1800"</f>
        <v>1800</v>
      </c>
      <c r="D913" s="14" t="str">
        <f>""</f>
        <v/>
      </c>
      <c r="E913" s="14" t="s">
        <v>1050</v>
      </c>
      <c r="F913" s="14" t="s">
        <v>1002</v>
      </c>
      <c r="G913" s="14" t="str">
        <f>""</f>
        <v/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228</v>
      </c>
      <c r="P913" s="14" t="s">
        <v>260</v>
      </c>
      <c r="Q913" s="14" t="s">
        <v>260</v>
      </c>
      <c r="R913" s="14" t="s">
        <v>229</v>
      </c>
    </row>
    <row r="914" spans="1:18" s="14" customFormat="1" x14ac:dyDescent="0.25">
      <c r="A914" s="14" t="str">
        <f>"83103"</f>
        <v>83103</v>
      </c>
      <c r="B914" s="14" t="str">
        <f>"07010"</f>
        <v>07010</v>
      </c>
      <c r="C914" s="14" t="str">
        <f>"1800"</f>
        <v>1800</v>
      </c>
      <c r="D914" s="14" t="str">
        <f>""</f>
        <v/>
      </c>
      <c r="E914" s="14" t="s">
        <v>1051</v>
      </c>
      <c r="F914" s="14" t="s">
        <v>1002</v>
      </c>
      <c r="G914" s="14" t="str">
        <f>""</f>
        <v/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228</v>
      </c>
      <c r="P914" s="14" t="s">
        <v>260</v>
      </c>
      <c r="Q914" s="14" t="s">
        <v>260</v>
      </c>
      <c r="R914" s="14" t="s">
        <v>229</v>
      </c>
    </row>
    <row r="915" spans="1:18" s="14" customFormat="1" x14ac:dyDescent="0.25">
      <c r="A915" s="14" t="str">
        <f>"83109"</f>
        <v>83109</v>
      </c>
      <c r="B915" s="14" t="str">
        <f>"07010"</f>
        <v>07010</v>
      </c>
      <c r="C915" s="14" t="str">
        <f>"1800"</f>
        <v>1800</v>
      </c>
      <c r="D915" s="14" t="str">
        <f>""</f>
        <v/>
      </c>
      <c r="E915" s="14" t="s">
        <v>1052</v>
      </c>
      <c r="F915" s="14" t="s">
        <v>1002</v>
      </c>
      <c r="G915" s="14" t="str">
        <f>""</f>
        <v/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228</v>
      </c>
      <c r="P915" s="14" t="s">
        <v>260</v>
      </c>
      <c r="Q915" s="14" t="s">
        <v>260</v>
      </c>
      <c r="R915" s="14" t="s">
        <v>229</v>
      </c>
    </row>
    <row r="916" spans="1:18" s="14" customFormat="1" x14ac:dyDescent="0.25">
      <c r="A916" s="14" t="str">
        <f>"83111"</f>
        <v>83111</v>
      </c>
      <c r="B916" s="14" t="str">
        <f>"07010"</f>
        <v>07010</v>
      </c>
      <c r="C916" s="14" t="str">
        <f>"1800"</f>
        <v>1800</v>
      </c>
      <c r="D916" s="14" t="str">
        <f>""</f>
        <v/>
      </c>
      <c r="E916" s="14" t="s">
        <v>1053</v>
      </c>
      <c r="F916" s="14" t="s">
        <v>1002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228</v>
      </c>
      <c r="P916" s="14" t="s">
        <v>260</v>
      </c>
      <c r="Q916" s="14" t="s">
        <v>260</v>
      </c>
      <c r="R916" s="14" t="s">
        <v>229</v>
      </c>
    </row>
    <row r="917" spans="1:18" s="14" customFormat="1" x14ac:dyDescent="0.25">
      <c r="A917" s="14" t="str">
        <f>"83113"</f>
        <v>83113</v>
      </c>
      <c r="B917" s="14" t="str">
        <f>"07010"</f>
        <v>07010</v>
      </c>
      <c r="C917" s="14" t="str">
        <f>"1800"</f>
        <v>1800</v>
      </c>
      <c r="D917" s="14" t="str">
        <f>""</f>
        <v/>
      </c>
      <c r="E917" s="14" t="s">
        <v>1054</v>
      </c>
      <c r="F917" s="14" t="s">
        <v>1002</v>
      </c>
      <c r="G917" s="14" t="str">
        <f>""</f>
        <v/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228</v>
      </c>
      <c r="P917" s="14" t="s">
        <v>260</v>
      </c>
      <c r="Q917" s="14" t="s">
        <v>260</v>
      </c>
      <c r="R917" s="14" t="s">
        <v>229</v>
      </c>
    </row>
    <row r="918" spans="1:18" s="14" customFormat="1" x14ac:dyDescent="0.25">
      <c r="A918" s="14" t="str">
        <f>"83115"</f>
        <v>83115</v>
      </c>
      <c r="B918" s="14" t="str">
        <f>"07010"</f>
        <v>07010</v>
      </c>
      <c r="C918" s="14" t="str">
        <f>"1800"</f>
        <v>1800</v>
      </c>
      <c r="D918" s="14" t="str">
        <f>""</f>
        <v/>
      </c>
      <c r="E918" s="14" t="s">
        <v>1055</v>
      </c>
      <c r="F918" s="14" t="s">
        <v>1002</v>
      </c>
      <c r="G918" s="14" t="str">
        <f>""</f>
        <v/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228</v>
      </c>
      <c r="P918" s="14" t="s">
        <v>260</v>
      </c>
      <c r="Q918" s="14" t="s">
        <v>260</v>
      </c>
      <c r="R918" s="14" t="s">
        <v>229</v>
      </c>
    </row>
    <row r="919" spans="1:18" s="14" customFormat="1" x14ac:dyDescent="0.25">
      <c r="A919" s="14" t="str">
        <f>"83120"</f>
        <v>83120</v>
      </c>
      <c r="B919" s="14" t="str">
        <f>"07010"</f>
        <v>07010</v>
      </c>
      <c r="C919" s="14" t="str">
        <f>"1800"</f>
        <v>1800</v>
      </c>
      <c r="D919" s="14" t="str">
        <f>""</f>
        <v/>
      </c>
      <c r="E919" s="14" t="s">
        <v>1056</v>
      </c>
      <c r="F919" s="14" t="s">
        <v>1002</v>
      </c>
      <c r="G919" s="14" t="str">
        <f>""</f>
        <v/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228</v>
      </c>
      <c r="P919" s="14" t="s">
        <v>260</v>
      </c>
      <c r="Q919" s="14" t="s">
        <v>260</v>
      </c>
      <c r="R919" s="14" t="s">
        <v>229</v>
      </c>
    </row>
    <row r="920" spans="1:18" s="14" customFormat="1" x14ac:dyDescent="0.25">
      <c r="A920" s="14" t="str">
        <f>"83122"</f>
        <v>83122</v>
      </c>
      <c r="B920" s="14" t="str">
        <f>"07010"</f>
        <v>07010</v>
      </c>
      <c r="C920" s="14" t="str">
        <f>"1800"</f>
        <v>1800</v>
      </c>
      <c r="D920" s="14" t="str">
        <f>""</f>
        <v/>
      </c>
      <c r="E920" s="14" t="s">
        <v>1057</v>
      </c>
      <c r="F920" s="14" t="s">
        <v>1002</v>
      </c>
      <c r="G920" s="14" t="str">
        <f>""</f>
        <v/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228</v>
      </c>
      <c r="P920" s="14" t="s">
        <v>260</v>
      </c>
      <c r="Q920" s="14" t="s">
        <v>260</v>
      </c>
      <c r="R920" s="14" t="s">
        <v>229</v>
      </c>
    </row>
    <row r="921" spans="1:18" s="14" customFormat="1" x14ac:dyDescent="0.25">
      <c r="A921" s="14" t="str">
        <f>"83125"</f>
        <v>83125</v>
      </c>
      <c r="B921" s="14" t="str">
        <f>"07010"</f>
        <v>07010</v>
      </c>
      <c r="C921" s="14" t="str">
        <f>"1800"</f>
        <v>1800</v>
      </c>
      <c r="D921" s="14" t="str">
        <f>""</f>
        <v/>
      </c>
      <c r="E921" s="14" t="s">
        <v>1058</v>
      </c>
      <c r="F921" s="14" t="s">
        <v>1002</v>
      </c>
      <c r="G921" s="14" t="str">
        <f>""</f>
        <v/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228</v>
      </c>
      <c r="P921" s="14" t="s">
        <v>260</v>
      </c>
      <c r="Q921" s="14" t="s">
        <v>260</v>
      </c>
      <c r="R921" s="14" t="s">
        <v>229</v>
      </c>
    </row>
    <row r="922" spans="1:18" s="14" customFormat="1" x14ac:dyDescent="0.25">
      <c r="A922" s="14" t="str">
        <f>"83130"</f>
        <v>83130</v>
      </c>
      <c r="B922" s="14" t="str">
        <f>"07010"</f>
        <v>07010</v>
      </c>
      <c r="C922" s="14" t="str">
        <f>"1800"</f>
        <v>1800</v>
      </c>
      <c r="D922" s="14" t="str">
        <f>""</f>
        <v/>
      </c>
      <c r="E922" s="14" t="s">
        <v>1059</v>
      </c>
      <c r="F922" s="14" t="s">
        <v>1002</v>
      </c>
      <c r="G922" s="14" t="str">
        <f>""</f>
        <v/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228</v>
      </c>
      <c r="P922" s="14" t="s">
        <v>260</v>
      </c>
      <c r="Q922" s="14" t="s">
        <v>260</v>
      </c>
      <c r="R922" s="14" t="s">
        <v>229</v>
      </c>
    </row>
    <row r="923" spans="1:18" s="14" customFormat="1" x14ac:dyDescent="0.25">
      <c r="A923" s="14" t="str">
        <f>"83131"</f>
        <v>83131</v>
      </c>
      <c r="B923" s="14" t="str">
        <f>"07010"</f>
        <v>07010</v>
      </c>
      <c r="C923" s="14" t="str">
        <f>"1800"</f>
        <v>1800</v>
      </c>
      <c r="D923" s="14" t="str">
        <f>""</f>
        <v/>
      </c>
      <c r="E923" s="14" t="s">
        <v>1060</v>
      </c>
      <c r="F923" s="14" t="s">
        <v>1002</v>
      </c>
      <c r="G923" s="14" t="str">
        <f>""</f>
        <v/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228</v>
      </c>
      <c r="P923" s="14" t="s">
        <v>260</v>
      </c>
      <c r="Q923" s="14" t="s">
        <v>260</v>
      </c>
      <c r="R923" s="14" t="s">
        <v>229</v>
      </c>
    </row>
    <row r="924" spans="1:18" s="14" customFormat="1" x14ac:dyDescent="0.25">
      <c r="A924" s="14" t="str">
        <f>"83132"</f>
        <v>83132</v>
      </c>
      <c r="B924" s="14" t="str">
        <f>"07010"</f>
        <v>07010</v>
      </c>
      <c r="C924" s="14" t="str">
        <f>"1800"</f>
        <v>1800</v>
      </c>
      <c r="D924" s="14" t="str">
        <f>""</f>
        <v/>
      </c>
      <c r="E924" s="14" t="s">
        <v>1061</v>
      </c>
      <c r="F924" s="14" t="s">
        <v>1002</v>
      </c>
      <c r="G924" s="14" t="str">
        <f>""</f>
        <v/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228</v>
      </c>
      <c r="P924" s="14" t="s">
        <v>260</v>
      </c>
      <c r="Q924" s="14" t="s">
        <v>260</v>
      </c>
      <c r="R924" s="14" t="s">
        <v>229</v>
      </c>
    </row>
    <row r="925" spans="1:18" s="14" customFormat="1" x14ac:dyDescent="0.25">
      <c r="A925" s="14" t="str">
        <f>"83135"</f>
        <v>83135</v>
      </c>
      <c r="B925" s="14" t="str">
        <f>"07010"</f>
        <v>07010</v>
      </c>
      <c r="C925" s="14" t="str">
        <f>"1800"</f>
        <v>1800</v>
      </c>
      <c r="D925" s="14" t="str">
        <f>""</f>
        <v/>
      </c>
      <c r="E925" s="14" t="s">
        <v>1062</v>
      </c>
      <c r="F925" s="14" t="s">
        <v>1002</v>
      </c>
      <c r="G925" s="14" t="str">
        <f>""</f>
        <v/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228</v>
      </c>
      <c r="P925" s="14" t="s">
        <v>260</v>
      </c>
      <c r="Q925" s="14" t="s">
        <v>260</v>
      </c>
      <c r="R925" s="14" t="s">
        <v>229</v>
      </c>
    </row>
    <row r="926" spans="1:18" s="14" customFormat="1" x14ac:dyDescent="0.25">
      <c r="A926" s="14" t="str">
        <f>"83137"</f>
        <v>83137</v>
      </c>
      <c r="B926" s="14" t="str">
        <f>"07010"</f>
        <v>07010</v>
      </c>
      <c r="C926" s="14" t="str">
        <f>"1800"</f>
        <v>1800</v>
      </c>
      <c r="D926" s="14" t="str">
        <f>""</f>
        <v/>
      </c>
      <c r="E926" s="14" t="s">
        <v>1063</v>
      </c>
      <c r="F926" s="14" t="s">
        <v>1002</v>
      </c>
      <c r="G926" s="14" t="str">
        <f>""</f>
        <v/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228</v>
      </c>
      <c r="P926" s="14" t="s">
        <v>260</v>
      </c>
      <c r="Q926" s="14" t="s">
        <v>260</v>
      </c>
      <c r="R926" s="14" t="s">
        <v>229</v>
      </c>
    </row>
    <row r="927" spans="1:18" s="14" customFormat="1" x14ac:dyDescent="0.25">
      <c r="A927" s="14" t="str">
        <f>"83138"</f>
        <v>83138</v>
      </c>
      <c r="B927" s="14" t="str">
        <f>"07010"</f>
        <v>07010</v>
      </c>
      <c r="C927" s="14" t="str">
        <f>"1800"</f>
        <v>1800</v>
      </c>
      <c r="D927" s="14" t="str">
        <f>""</f>
        <v/>
      </c>
      <c r="E927" s="14" t="s">
        <v>1064</v>
      </c>
      <c r="F927" s="14" t="s">
        <v>1002</v>
      </c>
      <c r="G927" s="14" t="str">
        <f>""</f>
        <v/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228</v>
      </c>
      <c r="P927" s="14" t="s">
        <v>260</v>
      </c>
      <c r="Q927" s="14" t="s">
        <v>260</v>
      </c>
      <c r="R927" s="14" t="s">
        <v>229</v>
      </c>
    </row>
    <row r="928" spans="1:18" s="14" customFormat="1" x14ac:dyDescent="0.25">
      <c r="A928" s="14" t="str">
        <f>"83139"</f>
        <v>83139</v>
      </c>
      <c r="B928" s="14" t="str">
        <f>"07010"</f>
        <v>07010</v>
      </c>
      <c r="C928" s="14" t="str">
        <f>"1800"</f>
        <v>1800</v>
      </c>
      <c r="D928" s="14" t="str">
        <f>""</f>
        <v/>
      </c>
      <c r="E928" s="14" t="s">
        <v>1065</v>
      </c>
      <c r="F928" s="14" t="s">
        <v>1002</v>
      </c>
      <c r="G928" s="14" t="str">
        <f>""</f>
        <v/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228</v>
      </c>
      <c r="P928" s="14" t="s">
        <v>260</v>
      </c>
      <c r="Q928" s="14" t="s">
        <v>260</v>
      </c>
      <c r="R928" s="14" t="s">
        <v>229</v>
      </c>
    </row>
    <row r="929" spans="1:18" s="14" customFormat="1" x14ac:dyDescent="0.25">
      <c r="A929" s="14" t="str">
        <f>"83140"</f>
        <v>83140</v>
      </c>
      <c r="B929" s="14" t="str">
        <f>"07010"</f>
        <v>07010</v>
      </c>
      <c r="C929" s="14" t="str">
        <f>"1800"</f>
        <v>1800</v>
      </c>
      <c r="D929" s="14" t="str">
        <f>""</f>
        <v/>
      </c>
      <c r="E929" s="14" t="s">
        <v>1066</v>
      </c>
      <c r="F929" s="14" t="s">
        <v>1002</v>
      </c>
      <c r="G929" s="14" t="str">
        <f>""</f>
        <v/>
      </c>
      <c r="H929" s="14" t="str">
        <f>" 00"</f>
        <v xml:space="preserve"> 00</v>
      </c>
      <c r="I929" s="14">
        <v>0.01</v>
      </c>
      <c r="J929" s="14">
        <v>9999999.9900000002</v>
      </c>
      <c r="K929" s="14" t="s">
        <v>228</v>
      </c>
      <c r="P929" s="14" t="s">
        <v>260</v>
      </c>
      <c r="Q929" s="14" t="s">
        <v>260</v>
      </c>
      <c r="R929" s="14" t="s">
        <v>229</v>
      </c>
    </row>
    <row r="930" spans="1:18" s="14" customFormat="1" x14ac:dyDescent="0.25">
      <c r="A930" s="14" t="str">
        <f>"83141"</f>
        <v>83141</v>
      </c>
      <c r="B930" s="14" t="str">
        <f>"07010"</f>
        <v>07010</v>
      </c>
      <c r="C930" s="14" t="str">
        <f>"1800"</f>
        <v>1800</v>
      </c>
      <c r="D930" s="14" t="str">
        <f>""</f>
        <v/>
      </c>
      <c r="E930" s="14" t="s">
        <v>1067</v>
      </c>
      <c r="F930" s="14" t="s">
        <v>1002</v>
      </c>
      <c r="G930" s="14" t="str">
        <f>""</f>
        <v/>
      </c>
      <c r="H930" s="14" t="str">
        <f>" 00"</f>
        <v xml:space="preserve"> 00</v>
      </c>
      <c r="I930" s="14">
        <v>0.01</v>
      </c>
      <c r="J930" s="14">
        <v>9999999.9900000002</v>
      </c>
      <c r="K930" s="14" t="s">
        <v>228</v>
      </c>
      <c r="P930" s="14" t="s">
        <v>260</v>
      </c>
      <c r="Q930" s="14" t="s">
        <v>260</v>
      </c>
      <c r="R930" s="14" t="s">
        <v>229</v>
      </c>
    </row>
    <row r="931" spans="1:18" s="14" customFormat="1" x14ac:dyDescent="0.25">
      <c r="A931" s="14" t="str">
        <f>"83142"</f>
        <v>83142</v>
      </c>
      <c r="B931" s="14" t="str">
        <f>"07010"</f>
        <v>07010</v>
      </c>
      <c r="C931" s="14" t="str">
        <f>"1800"</f>
        <v>1800</v>
      </c>
      <c r="D931" s="14" t="str">
        <f>""</f>
        <v/>
      </c>
      <c r="E931" s="14" t="s">
        <v>1068</v>
      </c>
      <c r="F931" s="14" t="s">
        <v>1002</v>
      </c>
      <c r="G931" s="14" t="str">
        <f>""</f>
        <v/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228</v>
      </c>
      <c r="P931" s="14" t="s">
        <v>260</v>
      </c>
      <c r="Q931" s="14" t="s">
        <v>260</v>
      </c>
      <c r="R931" s="14" t="s">
        <v>229</v>
      </c>
    </row>
    <row r="932" spans="1:18" s="14" customFormat="1" x14ac:dyDescent="0.25">
      <c r="A932" s="14" t="str">
        <f>"83147"</f>
        <v>83147</v>
      </c>
      <c r="B932" s="14" t="str">
        <f>"07010"</f>
        <v>07010</v>
      </c>
      <c r="C932" s="14" t="str">
        <f>"1800"</f>
        <v>1800</v>
      </c>
      <c r="D932" s="14" t="str">
        <f>""</f>
        <v/>
      </c>
      <c r="E932" s="14" t="s">
        <v>1069</v>
      </c>
      <c r="F932" s="14" t="s">
        <v>1002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228</v>
      </c>
      <c r="P932" s="14" t="s">
        <v>260</v>
      </c>
      <c r="Q932" s="14" t="s">
        <v>260</v>
      </c>
      <c r="R932" s="14" t="s">
        <v>229</v>
      </c>
    </row>
    <row r="933" spans="1:18" s="14" customFormat="1" x14ac:dyDescent="0.25">
      <c r="A933" s="14" t="str">
        <f>"83150"</f>
        <v>83150</v>
      </c>
      <c r="B933" s="14" t="str">
        <f>"07010"</f>
        <v>07010</v>
      </c>
      <c r="C933" s="14" t="str">
        <f>"1800"</f>
        <v>1800</v>
      </c>
      <c r="D933" s="14" t="str">
        <f>""</f>
        <v/>
      </c>
      <c r="E933" s="14" t="s">
        <v>1070</v>
      </c>
      <c r="F933" s="14" t="s">
        <v>1002</v>
      </c>
      <c r="G933" s="14" t="str">
        <f>""</f>
        <v/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228</v>
      </c>
      <c r="P933" s="14" t="s">
        <v>260</v>
      </c>
      <c r="Q933" s="14" t="s">
        <v>260</v>
      </c>
      <c r="R933" s="14" t="s">
        <v>229</v>
      </c>
    </row>
    <row r="934" spans="1:18" s="14" customFormat="1" x14ac:dyDescent="0.25">
      <c r="A934" s="14" t="str">
        <f>"83154"</f>
        <v>83154</v>
      </c>
      <c r="B934" s="14" t="str">
        <f>"07010"</f>
        <v>07010</v>
      </c>
      <c r="C934" s="14" t="str">
        <f>"1800"</f>
        <v>1800</v>
      </c>
      <c r="D934" s="14" t="str">
        <f>""</f>
        <v/>
      </c>
      <c r="E934" s="14" t="s">
        <v>1071</v>
      </c>
      <c r="F934" s="14" t="s">
        <v>1002</v>
      </c>
      <c r="G934" s="14" t="str">
        <f>""</f>
        <v/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228</v>
      </c>
      <c r="P934" s="14" t="s">
        <v>260</v>
      </c>
      <c r="Q934" s="14" t="s">
        <v>260</v>
      </c>
      <c r="R934" s="14" t="s">
        <v>229</v>
      </c>
    </row>
    <row r="935" spans="1:18" s="14" customFormat="1" x14ac:dyDescent="0.25">
      <c r="A935" s="14" t="str">
        <f>"83156"</f>
        <v>83156</v>
      </c>
      <c r="B935" s="14" t="str">
        <f>"07010"</f>
        <v>07010</v>
      </c>
      <c r="C935" s="14" t="str">
        <f>"1800"</f>
        <v>1800</v>
      </c>
      <c r="D935" s="14" t="str">
        <f>""</f>
        <v/>
      </c>
      <c r="E935" s="14" t="s">
        <v>1072</v>
      </c>
      <c r="F935" s="14" t="s">
        <v>1002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228</v>
      </c>
      <c r="P935" s="14" t="s">
        <v>260</v>
      </c>
      <c r="Q935" s="14" t="s">
        <v>260</v>
      </c>
      <c r="R935" s="14" t="s">
        <v>229</v>
      </c>
    </row>
    <row r="936" spans="1:18" s="14" customFormat="1" x14ac:dyDescent="0.25">
      <c r="A936" s="14" t="str">
        <f>"83159"</f>
        <v>83159</v>
      </c>
      <c r="B936" s="14" t="str">
        <f>"07010"</f>
        <v>07010</v>
      </c>
      <c r="C936" s="14" t="str">
        <f>"1800"</f>
        <v>1800</v>
      </c>
      <c r="D936" s="14" t="str">
        <f>""</f>
        <v/>
      </c>
      <c r="E936" s="14" t="s">
        <v>1073</v>
      </c>
      <c r="F936" s="14" t="s">
        <v>1002</v>
      </c>
      <c r="G936" s="14" t="str">
        <f>""</f>
        <v/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228</v>
      </c>
      <c r="P936" s="14" t="s">
        <v>260</v>
      </c>
      <c r="Q936" s="14" t="s">
        <v>260</v>
      </c>
      <c r="R936" s="14" t="s">
        <v>229</v>
      </c>
    </row>
    <row r="937" spans="1:18" s="14" customFormat="1" x14ac:dyDescent="0.25">
      <c r="A937" s="14" t="str">
        <f>"83160"</f>
        <v>83160</v>
      </c>
      <c r="B937" s="14" t="str">
        <f>"07010"</f>
        <v>07010</v>
      </c>
      <c r="C937" s="14" t="str">
        <f>"1800"</f>
        <v>1800</v>
      </c>
      <c r="D937" s="14" t="str">
        <f>""</f>
        <v/>
      </c>
      <c r="E937" s="14" t="s">
        <v>1074</v>
      </c>
      <c r="F937" s="14" t="s">
        <v>1002</v>
      </c>
      <c r="G937" s="14" t="str">
        <f>""</f>
        <v/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228</v>
      </c>
      <c r="P937" s="14" t="s">
        <v>260</v>
      </c>
      <c r="Q937" s="14" t="s">
        <v>260</v>
      </c>
      <c r="R937" s="14" t="s">
        <v>229</v>
      </c>
    </row>
    <row r="938" spans="1:18" s="14" customFormat="1" x14ac:dyDescent="0.25">
      <c r="A938" s="14" t="str">
        <f>"83161"</f>
        <v>83161</v>
      </c>
      <c r="B938" s="14" t="str">
        <f>"07010"</f>
        <v>07010</v>
      </c>
      <c r="C938" s="14" t="str">
        <f>"1800"</f>
        <v>1800</v>
      </c>
      <c r="D938" s="14" t="str">
        <f>""</f>
        <v/>
      </c>
      <c r="E938" s="14" t="s">
        <v>1075</v>
      </c>
      <c r="F938" s="14" t="s">
        <v>1002</v>
      </c>
      <c r="G938" s="14" t="str">
        <f>""</f>
        <v/>
      </c>
      <c r="H938" s="14" t="str">
        <f>" 00"</f>
        <v xml:space="preserve"> 00</v>
      </c>
      <c r="I938" s="14">
        <v>0.01</v>
      </c>
      <c r="J938" s="14">
        <v>9999999.9900000002</v>
      </c>
      <c r="K938" s="14" t="s">
        <v>228</v>
      </c>
      <c r="P938" s="14" t="s">
        <v>260</v>
      </c>
      <c r="Q938" s="14" t="s">
        <v>260</v>
      </c>
      <c r="R938" s="14" t="s">
        <v>229</v>
      </c>
    </row>
    <row r="939" spans="1:18" s="14" customFormat="1" x14ac:dyDescent="0.25">
      <c r="A939" s="14" t="str">
        <f>"83164"</f>
        <v>83164</v>
      </c>
      <c r="B939" s="14" t="str">
        <f>"07010"</f>
        <v>07010</v>
      </c>
      <c r="C939" s="14" t="str">
        <f>"1800"</f>
        <v>1800</v>
      </c>
      <c r="D939" s="14" t="str">
        <f>""</f>
        <v/>
      </c>
      <c r="E939" s="14" t="s">
        <v>1076</v>
      </c>
      <c r="F939" s="14" t="s">
        <v>1002</v>
      </c>
      <c r="G939" s="14" t="str">
        <f>""</f>
        <v/>
      </c>
      <c r="H939" s="14" t="str">
        <f>" 00"</f>
        <v xml:space="preserve"> 00</v>
      </c>
      <c r="I939" s="14">
        <v>0.01</v>
      </c>
      <c r="J939" s="14">
        <v>9999999.9900000002</v>
      </c>
      <c r="K939" s="14" t="s">
        <v>228</v>
      </c>
      <c r="P939" s="14" t="s">
        <v>260</v>
      </c>
      <c r="Q939" s="14" t="s">
        <v>260</v>
      </c>
      <c r="R939" s="14" t="s">
        <v>229</v>
      </c>
    </row>
    <row r="940" spans="1:18" s="14" customFormat="1" x14ac:dyDescent="0.25">
      <c r="A940" s="14" t="str">
        <f>"83167"</f>
        <v>83167</v>
      </c>
      <c r="B940" s="14" t="str">
        <f>"07010"</f>
        <v>07010</v>
      </c>
      <c r="C940" s="14" t="str">
        <f>"1800"</f>
        <v>1800</v>
      </c>
      <c r="D940" s="14" t="str">
        <f>""</f>
        <v/>
      </c>
      <c r="E940" s="14" t="s">
        <v>1077</v>
      </c>
      <c r="F940" s="14" t="s">
        <v>1002</v>
      </c>
      <c r="G940" s="14" t="str">
        <f>""</f>
        <v/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228</v>
      </c>
      <c r="P940" s="14" t="s">
        <v>260</v>
      </c>
      <c r="Q940" s="14" t="s">
        <v>260</v>
      </c>
      <c r="R940" s="14" t="s">
        <v>229</v>
      </c>
    </row>
    <row r="941" spans="1:18" s="14" customFormat="1" x14ac:dyDescent="0.25">
      <c r="A941" s="14" t="str">
        <f>"83168"</f>
        <v>83168</v>
      </c>
      <c r="B941" s="14" t="str">
        <f>"07010"</f>
        <v>07010</v>
      </c>
      <c r="C941" s="14" t="str">
        <f>"1800"</f>
        <v>1800</v>
      </c>
      <c r="D941" s="14" t="str">
        <f>""</f>
        <v/>
      </c>
      <c r="E941" s="14" t="s">
        <v>1078</v>
      </c>
      <c r="F941" s="14" t="s">
        <v>1002</v>
      </c>
      <c r="G941" s="14" t="str">
        <f>""</f>
        <v/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228</v>
      </c>
      <c r="P941" s="14" t="s">
        <v>260</v>
      </c>
      <c r="Q941" s="14" t="s">
        <v>260</v>
      </c>
      <c r="R941" s="14" t="s">
        <v>229</v>
      </c>
    </row>
    <row r="942" spans="1:18" s="14" customFormat="1" x14ac:dyDescent="0.25">
      <c r="A942" s="14" t="str">
        <f>"83172"</f>
        <v>83172</v>
      </c>
      <c r="B942" s="14" t="str">
        <f>"07010"</f>
        <v>07010</v>
      </c>
      <c r="C942" s="14" t="str">
        <f>"1800"</f>
        <v>1800</v>
      </c>
      <c r="D942" s="14" t="str">
        <f>""</f>
        <v/>
      </c>
      <c r="E942" s="14" t="s">
        <v>1079</v>
      </c>
      <c r="F942" s="14" t="s">
        <v>1002</v>
      </c>
      <c r="G942" s="14" t="str">
        <f>""</f>
        <v/>
      </c>
      <c r="H942" s="14" t="str">
        <f>" 00"</f>
        <v xml:space="preserve"> 00</v>
      </c>
      <c r="I942" s="14">
        <v>0.01</v>
      </c>
      <c r="J942" s="14">
        <v>9999999.9900000002</v>
      </c>
      <c r="K942" s="14" t="s">
        <v>228</v>
      </c>
      <c r="P942" s="14" t="s">
        <v>260</v>
      </c>
      <c r="Q942" s="14" t="s">
        <v>260</v>
      </c>
      <c r="R942" s="14" t="s">
        <v>229</v>
      </c>
    </row>
    <row r="943" spans="1:18" s="14" customFormat="1" x14ac:dyDescent="0.25">
      <c r="A943" s="14" t="str">
        <f>"83175"</f>
        <v>83175</v>
      </c>
      <c r="B943" s="14" t="str">
        <f>"07010"</f>
        <v>07010</v>
      </c>
      <c r="C943" s="14" t="str">
        <f>"1800"</f>
        <v>1800</v>
      </c>
      <c r="D943" s="14" t="str">
        <f>""</f>
        <v/>
      </c>
      <c r="E943" s="14" t="s">
        <v>1080</v>
      </c>
      <c r="F943" s="14" t="s">
        <v>1002</v>
      </c>
      <c r="G943" s="14" t="str">
        <f>""</f>
        <v/>
      </c>
      <c r="H943" s="14" t="str">
        <f>" 00"</f>
        <v xml:space="preserve"> 00</v>
      </c>
      <c r="I943" s="14">
        <v>0.01</v>
      </c>
      <c r="J943" s="14">
        <v>9999999.9900000002</v>
      </c>
      <c r="K943" s="14" t="s">
        <v>228</v>
      </c>
      <c r="P943" s="14" t="s">
        <v>260</v>
      </c>
      <c r="Q943" s="14" t="s">
        <v>260</v>
      </c>
      <c r="R943" s="14" t="s">
        <v>229</v>
      </c>
    </row>
    <row r="944" spans="1:18" s="14" customFormat="1" x14ac:dyDescent="0.25">
      <c r="A944" s="14" t="str">
        <f>"83177"</f>
        <v>83177</v>
      </c>
      <c r="B944" s="14" t="str">
        <f>"07010"</f>
        <v>07010</v>
      </c>
      <c r="C944" s="14" t="str">
        <f>"1800"</f>
        <v>1800</v>
      </c>
      <c r="D944" s="14" t="str">
        <f>""</f>
        <v/>
      </c>
      <c r="E944" s="14" t="s">
        <v>1081</v>
      </c>
      <c r="F944" s="14" t="s">
        <v>1002</v>
      </c>
      <c r="G944" s="14" t="str">
        <f>""</f>
        <v/>
      </c>
      <c r="H944" s="14" t="str">
        <f>" 00"</f>
        <v xml:space="preserve"> 00</v>
      </c>
      <c r="I944" s="14">
        <v>0.01</v>
      </c>
      <c r="J944" s="14">
        <v>9999999.9900000002</v>
      </c>
      <c r="K944" s="14" t="s">
        <v>228</v>
      </c>
      <c r="P944" s="14" t="s">
        <v>260</v>
      </c>
      <c r="Q944" s="14" t="s">
        <v>260</v>
      </c>
      <c r="R944" s="14" t="s">
        <v>229</v>
      </c>
    </row>
    <row r="945" spans="1:18" s="14" customFormat="1" x14ac:dyDescent="0.25">
      <c r="A945" s="14" t="str">
        <f>"83178"</f>
        <v>83178</v>
      </c>
      <c r="B945" s="14" t="str">
        <f>"07010"</f>
        <v>07010</v>
      </c>
      <c r="C945" s="14" t="str">
        <f>"1800"</f>
        <v>1800</v>
      </c>
      <c r="D945" s="14" t="str">
        <f>""</f>
        <v/>
      </c>
      <c r="E945" s="14" t="s">
        <v>1082</v>
      </c>
      <c r="F945" s="14" t="s">
        <v>1002</v>
      </c>
      <c r="G945" s="14" t="str">
        <f>""</f>
        <v/>
      </c>
      <c r="H945" s="14" t="str">
        <f>" 00"</f>
        <v xml:space="preserve"> 00</v>
      </c>
      <c r="I945" s="14">
        <v>0.01</v>
      </c>
      <c r="J945" s="14">
        <v>9999999.9900000002</v>
      </c>
      <c r="K945" s="14" t="s">
        <v>228</v>
      </c>
      <c r="P945" s="14" t="s">
        <v>260</v>
      </c>
      <c r="Q945" s="14" t="s">
        <v>260</v>
      </c>
      <c r="R945" s="14" t="s">
        <v>229</v>
      </c>
    </row>
    <row r="946" spans="1:18" s="14" customFormat="1" x14ac:dyDescent="0.25">
      <c r="A946" s="14" t="str">
        <f>"83179"</f>
        <v>83179</v>
      </c>
      <c r="B946" s="14" t="str">
        <f>"07010"</f>
        <v>07010</v>
      </c>
      <c r="C946" s="14" t="str">
        <f>"1800"</f>
        <v>1800</v>
      </c>
      <c r="D946" s="14" t="str">
        <f>""</f>
        <v/>
      </c>
      <c r="E946" s="14" t="s">
        <v>1083</v>
      </c>
      <c r="F946" s="14" t="s">
        <v>1002</v>
      </c>
      <c r="G946" s="14" t="str">
        <f>""</f>
        <v/>
      </c>
      <c r="H946" s="14" t="str">
        <f>" 00"</f>
        <v xml:space="preserve"> 00</v>
      </c>
      <c r="I946" s="14">
        <v>0.01</v>
      </c>
      <c r="J946" s="14">
        <v>9999999.9900000002</v>
      </c>
      <c r="K946" s="14" t="s">
        <v>228</v>
      </c>
      <c r="P946" s="14" t="s">
        <v>260</v>
      </c>
      <c r="Q946" s="14" t="s">
        <v>260</v>
      </c>
      <c r="R946" s="14" t="s">
        <v>229</v>
      </c>
    </row>
    <row r="947" spans="1:18" s="14" customFormat="1" x14ac:dyDescent="0.25">
      <c r="A947" s="14" t="str">
        <f>"83186"</f>
        <v>83186</v>
      </c>
      <c r="B947" s="14" t="str">
        <f>"07010"</f>
        <v>07010</v>
      </c>
      <c r="C947" s="14" t="str">
        <f>"1800"</f>
        <v>1800</v>
      </c>
      <c r="D947" s="14" t="str">
        <f>""</f>
        <v/>
      </c>
      <c r="E947" s="14" t="s">
        <v>1084</v>
      </c>
      <c r="F947" s="14" t="s">
        <v>1002</v>
      </c>
      <c r="G947" s="14" t="str">
        <f>""</f>
        <v/>
      </c>
      <c r="H947" s="14" t="str">
        <f>" 00"</f>
        <v xml:space="preserve"> 00</v>
      </c>
      <c r="I947" s="14">
        <v>0.01</v>
      </c>
      <c r="J947" s="14">
        <v>9999999.9900000002</v>
      </c>
      <c r="K947" s="14" t="s">
        <v>228</v>
      </c>
      <c r="P947" s="14" t="s">
        <v>260</v>
      </c>
      <c r="Q947" s="14" t="s">
        <v>260</v>
      </c>
      <c r="R947" s="14" t="s">
        <v>229</v>
      </c>
    </row>
    <row r="948" spans="1:18" s="14" customFormat="1" x14ac:dyDescent="0.25">
      <c r="A948" s="14" t="str">
        <f>"83188"</f>
        <v>83188</v>
      </c>
      <c r="B948" s="14" t="str">
        <f>"07010"</f>
        <v>07010</v>
      </c>
      <c r="C948" s="14" t="str">
        <f>"1800"</f>
        <v>1800</v>
      </c>
      <c r="D948" s="14" t="str">
        <f>""</f>
        <v/>
      </c>
      <c r="E948" s="14" t="s">
        <v>1085</v>
      </c>
      <c r="F948" s="14" t="s">
        <v>1002</v>
      </c>
      <c r="G948" s="14" t="str">
        <f>""</f>
        <v/>
      </c>
      <c r="H948" s="14" t="str">
        <f>" 00"</f>
        <v xml:space="preserve"> 00</v>
      </c>
      <c r="I948" s="14">
        <v>0.01</v>
      </c>
      <c r="J948" s="14">
        <v>9999999.9900000002</v>
      </c>
      <c r="K948" s="14" t="s">
        <v>228</v>
      </c>
      <c r="P948" s="14" t="s">
        <v>260</v>
      </c>
      <c r="Q948" s="14" t="s">
        <v>260</v>
      </c>
      <c r="R948" s="14" t="s">
        <v>229</v>
      </c>
    </row>
    <row r="949" spans="1:18" s="14" customFormat="1" x14ac:dyDescent="0.25">
      <c r="A949" s="14" t="str">
        <f>"83189"</f>
        <v>83189</v>
      </c>
      <c r="B949" s="14" t="str">
        <f>"07010"</f>
        <v>07010</v>
      </c>
      <c r="C949" s="14" t="str">
        <f>"1800"</f>
        <v>1800</v>
      </c>
      <c r="D949" s="14" t="str">
        <f>""</f>
        <v/>
      </c>
      <c r="E949" s="14" t="s">
        <v>1086</v>
      </c>
      <c r="F949" s="14" t="s">
        <v>1002</v>
      </c>
      <c r="G949" s="14" t="str">
        <f>""</f>
        <v/>
      </c>
      <c r="H949" s="14" t="str">
        <f>" 00"</f>
        <v xml:space="preserve"> 00</v>
      </c>
      <c r="I949" s="14">
        <v>0.01</v>
      </c>
      <c r="J949" s="14">
        <v>9999999.9900000002</v>
      </c>
      <c r="K949" s="14" t="s">
        <v>228</v>
      </c>
      <c r="P949" s="14" t="s">
        <v>260</v>
      </c>
      <c r="Q949" s="14" t="s">
        <v>260</v>
      </c>
      <c r="R949" s="14" t="s">
        <v>229</v>
      </c>
    </row>
    <row r="950" spans="1:18" s="14" customFormat="1" x14ac:dyDescent="0.25">
      <c r="A950" s="14" t="str">
        <f>"83191"</f>
        <v>83191</v>
      </c>
      <c r="B950" s="14" t="str">
        <f>"07010"</f>
        <v>07010</v>
      </c>
      <c r="C950" s="14" t="str">
        <f>"1800"</f>
        <v>1800</v>
      </c>
      <c r="D950" s="14" t="str">
        <f>""</f>
        <v/>
      </c>
      <c r="E950" s="14" t="s">
        <v>1087</v>
      </c>
      <c r="F950" s="14" t="s">
        <v>1002</v>
      </c>
      <c r="G950" s="14" t="str">
        <f>""</f>
        <v/>
      </c>
      <c r="H950" s="14" t="str">
        <f>" 00"</f>
        <v xml:space="preserve"> 00</v>
      </c>
      <c r="I950" s="14">
        <v>0.01</v>
      </c>
      <c r="J950" s="14">
        <v>9999999.9900000002</v>
      </c>
      <c r="K950" s="14" t="s">
        <v>228</v>
      </c>
      <c r="P950" s="14" t="s">
        <v>260</v>
      </c>
      <c r="Q950" s="14" t="s">
        <v>260</v>
      </c>
      <c r="R950" s="14" t="s">
        <v>229</v>
      </c>
    </row>
    <row r="951" spans="1:18" s="14" customFormat="1" x14ac:dyDescent="0.25">
      <c r="A951" s="14" t="str">
        <f>"83193"</f>
        <v>83193</v>
      </c>
      <c r="B951" s="14" t="str">
        <f>"07010"</f>
        <v>07010</v>
      </c>
      <c r="C951" s="14" t="str">
        <f>"1800"</f>
        <v>1800</v>
      </c>
      <c r="D951" s="14" t="str">
        <f>""</f>
        <v/>
      </c>
      <c r="E951" s="14" t="s">
        <v>1088</v>
      </c>
      <c r="F951" s="14" t="s">
        <v>1002</v>
      </c>
      <c r="G951" s="14" t="str">
        <f>""</f>
        <v/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228</v>
      </c>
      <c r="P951" s="14" t="s">
        <v>260</v>
      </c>
      <c r="Q951" s="14" t="s">
        <v>260</v>
      </c>
      <c r="R951" s="14" t="s">
        <v>229</v>
      </c>
    </row>
    <row r="952" spans="1:18" s="14" customFormat="1" x14ac:dyDescent="0.25">
      <c r="A952" s="14" t="str">
        <f>"83194"</f>
        <v>83194</v>
      </c>
      <c r="B952" s="14" t="str">
        <f>"07010"</f>
        <v>07010</v>
      </c>
      <c r="C952" s="14" t="str">
        <f>"1800"</f>
        <v>1800</v>
      </c>
      <c r="D952" s="14" t="str">
        <f>""</f>
        <v/>
      </c>
      <c r="E952" s="14" t="s">
        <v>1089</v>
      </c>
      <c r="F952" s="14" t="s">
        <v>1002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228</v>
      </c>
      <c r="P952" s="14" t="s">
        <v>260</v>
      </c>
      <c r="Q952" s="14" t="s">
        <v>260</v>
      </c>
      <c r="R952" s="14" t="s">
        <v>229</v>
      </c>
    </row>
    <row r="953" spans="1:18" s="14" customFormat="1" x14ac:dyDescent="0.25">
      <c r="A953" s="14" t="str">
        <f>"83197"</f>
        <v>83197</v>
      </c>
      <c r="B953" s="14" t="str">
        <f>"07010"</f>
        <v>07010</v>
      </c>
      <c r="C953" s="14" t="str">
        <f>"1800"</f>
        <v>1800</v>
      </c>
      <c r="D953" s="14" t="str">
        <f>""</f>
        <v/>
      </c>
      <c r="E953" s="14" t="s">
        <v>1090</v>
      </c>
      <c r="F953" s="14" t="s">
        <v>1002</v>
      </c>
      <c r="G953" s="14" t="str">
        <f>""</f>
        <v/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228</v>
      </c>
      <c r="P953" s="14" t="s">
        <v>260</v>
      </c>
      <c r="Q953" s="14" t="s">
        <v>260</v>
      </c>
      <c r="R953" s="14" t="s">
        <v>229</v>
      </c>
    </row>
    <row r="954" spans="1:18" s="14" customFormat="1" x14ac:dyDescent="0.25">
      <c r="A954" s="14" t="str">
        <f>"83200"</f>
        <v>83200</v>
      </c>
      <c r="B954" s="14" t="str">
        <f>"07010"</f>
        <v>07010</v>
      </c>
      <c r="C954" s="14" t="str">
        <f>"1800"</f>
        <v>1800</v>
      </c>
      <c r="D954" s="14" t="str">
        <f>""</f>
        <v/>
      </c>
      <c r="E954" s="14" t="s">
        <v>1091</v>
      </c>
      <c r="F954" s="14" t="s">
        <v>1002</v>
      </c>
      <c r="G954" s="14" t="str">
        <f>""</f>
        <v/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228</v>
      </c>
      <c r="P954" s="14" t="s">
        <v>260</v>
      </c>
      <c r="Q954" s="14" t="s">
        <v>260</v>
      </c>
      <c r="R954" s="14" t="s">
        <v>229</v>
      </c>
    </row>
    <row r="955" spans="1:18" s="14" customFormat="1" x14ac:dyDescent="0.25">
      <c r="A955" s="14" t="str">
        <f>"83202"</f>
        <v>83202</v>
      </c>
      <c r="B955" s="14" t="str">
        <f>"07010"</f>
        <v>07010</v>
      </c>
      <c r="C955" s="14" t="str">
        <f>"1800"</f>
        <v>1800</v>
      </c>
      <c r="D955" s="14" t="str">
        <f>""</f>
        <v/>
      </c>
      <c r="E955" s="14" t="s">
        <v>1092</v>
      </c>
      <c r="F955" s="14" t="s">
        <v>1002</v>
      </c>
      <c r="G955" s="14" t="str">
        <f>""</f>
        <v/>
      </c>
      <c r="H955" s="14" t="str">
        <f>" 00"</f>
        <v xml:space="preserve"> 00</v>
      </c>
      <c r="I955" s="14">
        <v>0.01</v>
      </c>
      <c r="J955" s="14">
        <v>9999999.9900000002</v>
      </c>
      <c r="K955" s="14" t="s">
        <v>228</v>
      </c>
      <c r="P955" s="14" t="s">
        <v>260</v>
      </c>
      <c r="Q955" s="14" t="s">
        <v>260</v>
      </c>
      <c r="R955" s="14" t="s">
        <v>229</v>
      </c>
    </row>
    <row r="956" spans="1:18" s="14" customFormat="1" x14ac:dyDescent="0.25">
      <c r="A956" s="14" t="str">
        <f>"83204"</f>
        <v>83204</v>
      </c>
      <c r="B956" s="14" t="str">
        <f>"07010"</f>
        <v>07010</v>
      </c>
      <c r="C956" s="14" t="str">
        <f>"1800"</f>
        <v>1800</v>
      </c>
      <c r="D956" s="14" t="str">
        <f>""</f>
        <v/>
      </c>
      <c r="E956" s="14" t="s">
        <v>1093</v>
      </c>
      <c r="F956" s="14" t="s">
        <v>1002</v>
      </c>
      <c r="G956" s="14" t="str">
        <f>""</f>
        <v/>
      </c>
      <c r="H956" s="14" t="str">
        <f>" 00"</f>
        <v xml:space="preserve"> 00</v>
      </c>
      <c r="I956" s="14">
        <v>0.01</v>
      </c>
      <c r="J956" s="14">
        <v>9999999.9900000002</v>
      </c>
      <c r="K956" s="14" t="s">
        <v>228</v>
      </c>
      <c r="P956" s="14" t="s">
        <v>260</v>
      </c>
      <c r="Q956" s="14" t="s">
        <v>260</v>
      </c>
      <c r="R956" s="14" t="s">
        <v>229</v>
      </c>
    </row>
    <row r="957" spans="1:18" s="14" customFormat="1" x14ac:dyDescent="0.25">
      <c r="A957" s="14" t="str">
        <f>"83205"</f>
        <v>83205</v>
      </c>
      <c r="B957" s="14" t="str">
        <f>"07010"</f>
        <v>07010</v>
      </c>
      <c r="C957" s="14" t="str">
        <f>"1800"</f>
        <v>1800</v>
      </c>
      <c r="D957" s="14" t="str">
        <f>""</f>
        <v/>
      </c>
      <c r="E957" s="14" t="s">
        <v>1094</v>
      </c>
      <c r="F957" s="14" t="s">
        <v>1002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228</v>
      </c>
      <c r="P957" s="14" t="s">
        <v>260</v>
      </c>
      <c r="Q957" s="14" t="s">
        <v>260</v>
      </c>
      <c r="R957" s="14" t="s">
        <v>229</v>
      </c>
    </row>
    <row r="958" spans="1:18" s="14" customFormat="1" x14ac:dyDescent="0.25">
      <c r="A958" s="14" t="str">
        <f>"83206"</f>
        <v>83206</v>
      </c>
      <c r="B958" s="14" t="str">
        <f>"07010"</f>
        <v>07010</v>
      </c>
      <c r="C958" s="14" t="str">
        <f>"1800"</f>
        <v>1800</v>
      </c>
      <c r="D958" s="14" t="str">
        <f>""</f>
        <v/>
      </c>
      <c r="E958" s="14" t="s">
        <v>1095</v>
      </c>
      <c r="F958" s="14" t="s">
        <v>1002</v>
      </c>
      <c r="G958" s="14" t="str">
        <f>""</f>
        <v/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228</v>
      </c>
      <c r="P958" s="14" t="s">
        <v>260</v>
      </c>
      <c r="Q958" s="14" t="s">
        <v>260</v>
      </c>
      <c r="R958" s="14" t="s">
        <v>229</v>
      </c>
    </row>
    <row r="959" spans="1:18" s="14" customFormat="1" x14ac:dyDescent="0.25">
      <c r="A959" s="14" t="str">
        <f>"83207"</f>
        <v>83207</v>
      </c>
      <c r="B959" s="14" t="str">
        <f>"07010"</f>
        <v>07010</v>
      </c>
      <c r="C959" s="14" t="str">
        <f>"1800"</f>
        <v>1800</v>
      </c>
      <c r="D959" s="14" t="str">
        <f>""</f>
        <v/>
      </c>
      <c r="E959" s="14" t="s">
        <v>1096</v>
      </c>
      <c r="F959" s="14" t="s">
        <v>1002</v>
      </c>
      <c r="G959" s="14" t="str">
        <f>""</f>
        <v/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228</v>
      </c>
      <c r="P959" s="14" t="s">
        <v>260</v>
      </c>
      <c r="Q959" s="14" t="s">
        <v>260</v>
      </c>
      <c r="R959" s="14" t="s">
        <v>229</v>
      </c>
    </row>
    <row r="960" spans="1:18" s="14" customFormat="1" x14ac:dyDescent="0.25">
      <c r="A960" s="14" t="str">
        <f>"83210"</f>
        <v>83210</v>
      </c>
      <c r="B960" s="14" t="str">
        <f>"07010"</f>
        <v>07010</v>
      </c>
      <c r="C960" s="14" t="str">
        <f>"1800"</f>
        <v>1800</v>
      </c>
      <c r="D960" s="14" t="str">
        <f>""</f>
        <v/>
      </c>
      <c r="E960" s="14" t="s">
        <v>1097</v>
      </c>
      <c r="F960" s="14" t="s">
        <v>1002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228</v>
      </c>
      <c r="P960" s="14" t="s">
        <v>260</v>
      </c>
      <c r="Q960" s="14" t="s">
        <v>260</v>
      </c>
      <c r="R960" s="14" t="s">
        <v>229</v>
      </c>
    </row>
    <row r="961" spans="1:18" s="14" customFormat="1" x14ac:dyDescent="0.25">
      <c r="A961" s="14" t="str">
        <f>"83214"</f>
        <v>83214</v>
      </c>
      <c r="B961" s="14" t="str">
        <f>"07010"</f>
        <v>07010</v>
      </c>
      <c r="C961" s="14" t="str">
        <f>"1800"</f>
        <v>1800</v>
      </c>
      <c r="D961" s="14" t="str">
        <f>""</f>
        <v/>
      </c>
      <c r="E961" s="14" t="s">
        <v>1098</v>
      </c>
      <c r="F961" s="14" t="s">
        <v>1002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228</v>
      </c>
      <c r="P961" s="14" t="s">
        <v>260</v>
      </c>
      <c r="Q961" s="14" t="s">
        <v>260</v>
      </c>
      <c r="R961" s="14" t="s">
        <v>229</v>
      </c>
    </row>
    <row r="962" spans="1:18" s="14" customFormat="1" x14ac:dyDescent="0.25">
      <c r="A962" s="14" t="str">
        <f>"83215"</f>
        <v>83215</v>
      </c>
      <c r="B962" s="14" t="str">
        <f>"07010"</f>
        <v>07010</v>
      </c>
      <c r="C962" s="14" t="str">
        <f>"1800"</f>
        <v>1800</v>
      </c>
      <c r="D962" s="14" t="str">
        <f>""</f>
        <v/>
      </c>
      <c r="E962" s="14" t="s">
        <v>1099</v>
      </c>
      <c r="F962" s="14" t="s">
        <v>1002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228</v>
      </c>
      <c r="P962" s="14" t="s">
        <v>260</v>
      </c>
      <c r="Q962" s="14" t="s">
        <v>260</v>
      </c>
      <c r="R962" s="14" t="s">
        <v>229</v>
      </c>
    </row>
    <row r="963" spans="1:18" s="14" customFormat="1" x14ac:dyDescent="0.25">
      <c r="A963" s="14" t="str">
        <f>"83216"</f>
        <v>83216</v>
      </c>
      <c r="B963" s="14" t="str">
        <f>"07010"</f>
        <v>07010</v>
      </c>
      <c r="C963" s="14" t="str">
        <f>"1800"</f>
        <v>1800</v>
      </c>
      <c r="D963" s="14" t="str">
        <f>""</f>
        <v/>
      </c>
      <c r="E963" s="14" t="s">
        <v>1100</v>
      </c>
      <c r="F963" s="14" t="s">
        <v>1002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228</v>
      </c>
      <c r="P963" s="14" t="s">
        <v>260</v>
      </c>
      <c r="Q963" s="14" t="s">
        <v>260</v>
      </c>
      <c r="R963" s="14" t="s">
        <v>229</v>
      </c>
    </row>
    <row r="964" spans="1:18" s="14" customFormat="1" x14ac:dyDescent="0.25">
      <c r="A964" s="14" t="str">
        <f>"83217"</f>
        <v>83217</v>
      </c>
      <c r="B964" s="14" t="str">
        <f>"07010"</f>
        <v>07010</v>
      </c>
      <c r="C964" s="14" t="str">
        <f>"1800"</f>
        <v>1800</v>
      </c>
      <c r="D964" s="14" t="str">
        <f>""</f>
        <v/>
      </c>
      <c r="E964" s="14" t="s">
        <v>1101</v>
      </c>
      <c r="F964" s="14" t="s">
        <v>1002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228</v>
      </c>
      <c r="P964" s="14" t="s">
        <v>260</v>
      </c>
      <c r="Q964" s="14" t="s">
        <v>260</v>
      </c>
      <c r="R964" s="14" t="s">
        <v>229</v>
      </c>
    </row>
    <row r="965" spans="1:18" s="14" customFormat="1" x14ac:dyDescent="0.25">
      <c r="A965" s="14" t="str">
        <f>"83218"</f>
        <v>83218</v>
      </c>
      <c r="B965" s="14" t="str">
        <f>"07010"</f>
        <v>07010</v>
      </c>
      <c r="C965" s="14" t="str">
        <f>"1800"</f>
        <v>1800</v>
      </c>
      <c r="D965" s="14" t="str">
        <f>""</f>
        <v/>
      </c>
      <c r="E965" s="14" t="s">
        <v>1102</v>
      </c>
      <c r="F965" s="14" t="s">
        <v>1002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228</v>
      </c>
      <c r="P965" s="14" t="s">
        <v>260</v>
      </c>
      <c r="Q965" s="14" t="s">
        <v>260</v>
      </c>
      <c r="R965" s="14" t="s">
        <v>229</v>
      </c>
    </row>
    <row r="966" spans="1:18" s="14" customFormat="1" x14ac:dyDescent="0.25">
      <c r="A966" s="14" t="str">
        <f>"83219"</f>
        <v>83219</v>
      </c>
      <c r="B966" s="14" t="str">
        <f>"07010"</f>
        <v>07010</v>
      </c>
      <c r="C966" s="14" t="str">
        <f>"1800"</f>
        <v>1800</v>
      </c>
      <c r="D966" s="14" t="str">
        <f>""</f>
        <v/>
      </c>
      <c r="E966" s="14" t="s">
        <v>1103</v>
      </c>
      <c r="F966" s="14" t="s">
        <v>1002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228</v>
      </c>
      <c r="P966" s="14" t="s">
        <v>260</v>
      </c>
      <c r="Q966" s="14" t="s">
        <v>260</v>
      </c>
      <c r="R966" s="14" t="s">
        <v>229</v>
      </c>
    </row>
    <row r="967" spans="1:18" s="14" customFormat="1" x14ac:dyDescent="0.25">
      <c r="A967" s="14" t="str">
        <f>"83220"</f>
        <v>83220</v>
      </c>
      <c r="B967" s="14" t="str">
        <f>"07010"</f>
        <v>07010</v>
      </c>
      <c r="C967" s="14" t="str">
        <f>"1800"</f>
        <v>1800</v>
      </c>
      <c r="D967" s="14" t="str">
        <f>""</f>
        <v/>
      </c>
      <c r="E967" s="14" t="s">
        <v>1104</v>
      </c>
      <c r="F967" s="14" t="s">
        <v>1002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228</v>
      </c>
      <c r="P967" s="14" t="s">
        <v>260</v>
      </c>
      <c r="Q967" s="14" t="s">
        <v>260</v>
      </c>
      <c r="R967" s="14" t="s">
        <v>229</v>
      </c>
    </row>
    <row r="968" spans="1:18" s="14" customFormat="1" x14ac:dyDescent="0.25">
      <c r="A968" s="14" t="str">
        <f>"83221"</f>
        <v>83221</v>
      </c>
      <c r="B968" s="14" t="str">
        <f>"07010"</f>
        <v>07010</v>
      </c>
      <c r="C968" s="14" t="str">
        <f>"1800"</f>
        <v>1800</v>
      </c>
      <c r="D968" s="14" t="str">
        <f>""</f>
        <v/>
      </c>
      <c r="E968" s="14" t="s">
        <v>1105</v>
      </c>
      <c r="F968" s="14" t="s">
        <v>1002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228</v>
      </c>
      <c r="P968" s="14" t="s">
        <v>260</v>
      </c>
      <c r="Q968" s="14" t="s">
        <v>260</v>
      </c>
      <c r="R968" s="14" t="s">
        <v>229</v>
      </c>
    </row>
    <row r="969" spans="1:18" s="14" customFormat="1" x14ac:dyDescent="0.25">
      <c r="A969" s="14" t="str">
        <f>"83222"</f>
        <v>83222</v>
      </c>
      <c r="B969" s="14" t="str">
        <f>"07010"</f>
        <v>07010</v>
      </c>
      <c r="C969" s="14" t="str">
        <f>"1800"</f>
        <v>1800</v>
      </c>
      <c r="D969" s="14" t="str">
        <f>""</f>
        <v/>
      </c>
      <c r="E969" s="14" t="s">
        <v>1106</v>
      </c>
      <c r="F969" s="14" t="s">
        <v>1002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228</v>
      </c>
      <c r="P969" s="14" t="s">
        <v>260</v>
      </c>
      <c r="Q969" s="14" t="s">
        <v>260</v>
      </c>
      <c r="R969" s="14" t="s">
        <v>229</v>
      </c>
    </row>
    <row r="970" spans="1:18" s="14" customFormat="1" x14ac:dyDescent="0.25">
      <c r="A970" s="14" t="str">
        <f>"83225"</f>
        <v>83225</v>
      </c>
      <c r="B970" s="14" t="str">
        <f>"07010"</f>
        <v>07010</v>
      </c>
      <c r="C970" s="14" t="str">
        <f>"1800"</f>
        <v>1800</v>
      </c>
      <c r="D970" s="14" t="str">
        <f>""</f>
        <v/>
      </c>
      <c r="E970" s="14" t="s">
        <v>1107</v>
      </c>
      <c r="F970" s="14" t="s">
        <v>1002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228</v>
      </c>
      <c r="P970" s="14" t="s">
        <v>260</v>
      </c>
      <c r="Q970" s="14" t="s">
        <v>260</v>
      </c>
      <c r="R970" s="14" t="s">
        <v>229</v>
      </c>
    </row>
    <row r="971" spans="1:18" s="14" customFormat="1" x14ac:dyDescent="0.25">
      <c r="A971" s="14" t="str">
        <f>"83226"</f>
        <v>83226</v>
      </c>
      <c r="B971" s="14" t="str">
        <f>"07010"</f>
        <v>07010</v>
      </c>
      <c r="C971" s="14" t="str">
        <f>"1800"</f>
        <v>1800</v>
      </c>
      <c r="D971" s="14" t="str">
        <f>""</f>
        <v/>
      </c>
      <c r="E971" s="14" t="s">
        <v>1108</v>
      </c>
      <c r="F971" s="14" t="s">
        <v>1002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228</v>
      </c>
      <c r="P971" s="14" t="s">
        <v>260</v>
      </c>
      <c r="Q971" s="14" t="s">
        <v>260</v>
      </c>
      <c r="R971" s="14" t="s">
        <v>229</v>
      </c>
    </row>
    <row r="972" spans="1:18" s="14" customFormat="1" x14ac:dyDescent="0.25">
      <c r="A972" s="14" t="str">
        <f>"83228"</f>
        <v>83228</v>
      </c>
      <c r="B972" s="14" t="str">
        <f>"07010"</f>
        <v>07010</v>
      </c>
      <c r="C972" s="14" t="str">
        <f>"1800"</f>
        <v>1800</v>
      </c>
      <c r="D972" s="14" t="str">
        <f>""</f>
        <v/>
      </c>
      <c r="E972" s="14" t="s">
        <v>1109</v>
      </c>
      <c r="F972" s="14" t="s">
        <v>1002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228</v>
      </c>
      <c r="P972" s="14" t="s">
        <v>260</v>
      </c>
      <c r="Q972" s="14" t="s">
        <v>260</v>
      </c>
      <c r="R972" s="14" t="s">
        <v>229</v>
      </c>
    </row>
    <row r="973" spans="1:18" s="14" customFormat="1" x14ac:dyDescent="0.25">
      <c r="A973" s="14" t="str">
        <f>"83229"</f>
        <v>83229</v>
      </c>
      <c r="B973" s="14" t="str">
        <f>"07010"</f>
        <v>07010</v>
      </c>
      <c r="C973" s="14" t="str">
        <f>"1800"</f>
        <v>1800</v>
      </c>
      <c r="D973" s="14" t="str">
        <f>""</f>
        <v/>
      </c>
      <c r="E973" s="14" t="s">
        <v>1110</v>
      </c>
      <c r="F973" s="14" t="s">
        <v>1002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228</v>
      </c>
      <c r="P973" s="14" t="s">
        <v>260</v>
      </c>
      <c r="Q973" s="14" t="s">
        <v>260</v>
      </c>
      <c r="R973" s="14" t="s">
        <v>229</v>
      </c>
    </row>
    <row r="974" spans="1:18" s="14" customFormat="1" x14ac:dyDescent="0.25">
      <c r="A974" s="14" t="str">
        <f>"83230"</f>
        <v>83230</v>
      </c>
      <c r="B974" s="14" t="str">
        <f>"07010"</f>
        <v>07010</v>
      </c>
      <c r="C974" s="14" t="str">
        <f>"1800"</f>
        <v>1800</v>
      </c>
      <c r="D974" s="14" t="str">
        <f>""</f>
        <v/>
      </c>
      <c r="E974" s="14" t="s">
        <v>1111</v>
      </c>
      <c r="F974" s="14" t="s">
        <v>1002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228</v>
      </c>
      <c r="P974" s="14" t="s">
        <v>260</v>
      </c>
      <c r="Q974" s="14" t="s">
        <v>260</v>
      </c>
      <c r="R974" s="14" t="s">
        <v>229</v>
      </c>
    </row>
    <row r="975" spans="1:18" s="14" customFormat="1" x14ac:dyDescent="0.25">
      <c r="A975" s="14" t="str">
        <f>"83231"</f>
        <v>83231</v>
      </c>
      <c r="B975" s="14" t="str">
        <f>"07010"</f>
        <v>07010</v>
      </c>
      <c r="C975" s="14" t="str">
        <f>"1800"</f>
        <v>1800</v>
      </c>
      <c r="D975" s="14" t="str">
        <f>""</f>
        <v/>
      </c>
      <c r="E975" s="14" t="s">
        <v>1112</v>
      </c>
      <c r="F975" s="14" t="s">
        <v>1002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228</v>
      </c>
      <c r="P975" s="14" t="s">
        <v>260</v>
      </c>
      <c r="Q975" s="14" t="s">
        <v>260</v>
      </c>
      <c r="R975" s="14" t="s">
        <v>229</v>
      </c>
    </row>
    <row r="976" spans="1:18" s="14" customFormat="1" x14ac:dyDescent="0.25">
      <c r="A976" s="14" t="str">
        <f>"83232"</f>
        <v>83232</v>
      </c>
      <c r="B976" s="14" t="str">
        <f>"07010"</f>
        <v>07010</v>
      </c>
      <c r="C976" s="14" t="str">
        <f>"1800"</f>
        <v>1800</v>
      </c>
      <c r="D976" s="14" t="str">
        <f>""</f>
        <v/>
      </c>
      <c r="E976" s="14" t="s">
        <v>1113</v>
      </c>
      <c r="F976" s="14" t="s">
        <v>1002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228</v>
      </c>
      <c r="P976" s="14" t="s">
        <v>260</v>
      </c>
      <c r="Q976" s="14" t="s">
        <v>260</v>
      </c>
      <c r="R976" s="14" t="s">
        <v>229</v>
      </c>
    </row>
    <row r="977" spans="1:18" s="14" customFormat="1" x14ac:dyDescent="0.25">
      <c r="A977" s="14" t="str">
        <f>"83233"</f>
        <v>83233</v>
      </c>
      <c r="B977" s="14" t="str">
        <f>"07010"</f>
        <v>07010</v>
      </c>
      <c r="C977" s="14" t="str">
        <f>"1800"</f>
        <v>1800</v>
      </c>
      <c r="D977" s="14" t="str">
        <f>""</f>
        <v/>
      </c>
      <c r="E977" s="14" t="s">
        <v>1114</v>
      </c>
      <c r="F977" s="14" t="s">
        <v>1002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228</v>
      </c>
      <c r="P977" s="14" t="s">
        <v>260</v>
      </c>
      <c r="Q977" s="14" t="s">
        <v>260</v>
      </c>
      <c r="R977" s="14" t="s">
        <v>229</v>
      </c>
    </row>
    <row r="978" spans="1:18" s="14" customFormat="1" x14ac:dyDescent="0.25">
      <c r="A978" s="14" t="str">
        <f>"83234"</f>
        <v>83234</v>
      </c>
      <c r="B978" s="14" t="str">
        <f>"07010"</f>
        <v>07010</v>
      </c>
      <c r="C978" s="14" t="str">
        <f>"1800"</f>
        <v>1800</v>
      </c>
      <c r="D978" s="14" t="str">
        <f>""</f>
        <v/>
      </c>
      <c r="E978" s="14" t="s">
        <v>1115</v>
      </c>
      <c r="F978" s="14" t="s">
        <v>1002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228</v>
      </c>
      <c r="P978" s="14" t="s">
        <v>260</v>
      </c>
      <c r="Q978" s="14" t="s">
        <v>260</v>
      </c>
      <c r="R978" s="14" t="s">
        <v>229</v>
      </c>
    </row>
    <row r="979" spans="1:18" s="14" customFormat="1" x14ac:dyDescent="0.25">
      <c r="A979" s="14" t="str">
        <f>"83237"</f>
        <v>83237</v>
      </c>
      <c r="B979" s="14" t="str">
        <f>"07010"</f>
        <v>07010</v>
      </c>
      <c r="C979" s="14" t="str">
        <f>"1800"</f>
        <v>1800</v>
      </c>
      <c r="D979" s="14" t="str">
        <f>""</f>
        <v/>
      </c>
      <c r="E979" s="14" t="s">
        <v>1116</v>
      </c>
      <c r="F979" s="14" t="s">
        <v>1002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228</v>
      </c>
      <c r="P979" s="14" t="s">
        <v>260</v>
      </c>
      <c r="Q979" s="14" t="s">
        <v>260</v>
      </c>
      <c r="R979" s="14" t="s">
        <v>229</v>
      </c>
    </row>
    <row r="980" spans="1:18" s="14" customFormat="1" x14ac:dyDescent="0.25">
      <c r="A980" s="14" t="str">
        <f>"83241"</f>
        <v>83241</v>
      </c>
      <c r="B980" s="14" t="str">
        <f>"07010"</f>
        <v>07010</v>
      </c>
      <c r="C980" s="14" t="str">
        <f>"1800"</f>
        <v>1800</v>
      </c>
      <c r="D980" s="14" t="str">
        <f>""</f>
        <v/>
      </c>
      <c r="E980" s="14" t="s">
        <v>1117</v>
      </c>
      <c r="F980" s="14" t="s">
        <v>1002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228</v>
      </c>
      <c r="P980" s="14" t="s">
        <v>260</v>
      </c>
      <c r="Q980" s="14" t="s">
        <v>260</v>
      </c>
      <c r="R980" s="14" t="s">
        <v>229</v>
      </c>
    </row>
    <row r="981" spans="1:18" s="14" customFormat="1" x14ac:dyDescent="0.25">
      <c r="A981" s="14" t="str">
        <f>"83243"</f>
        <v>83243</v>
      </c>
      <c r="B981" s="14" t="str">
        <f>"07010"</f>
        <v>07010</v>
      </c>
      <c r="C981" s="14" t="str">
        <f>"1800"</f>
        <v>1800</v>
      </c>
      <c r="D981" s="14" t="str">
        <f>""</f>
        <v/>
      </c>
      <c r="E981" s="14" t="s">
        <v>1118</v>
      </c>
      <c r="F981" s="14" t="s">
        <v>1002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228</v>
      </c>
      <c r="P981" s="14" t="s">
        <v>260</v>
      </c>
      <c r="Q981" s="14" t="s">
        <v>260</v>
      </c>
      <c r="R981" s="14" t="s">
        <v>229</v>
      </c>
    </row>
    <row r="982" spans="1:18" s="14" customFormat="1" x14ac:dyDescent="0.25">
      <c r="A982" s="14" t="str">
        <f>"83244"</f>
        <v>83244</v>
      </c>
      <c r="B982" s="14" t="str">
        <f>"07010"</f>
        <v>07010</v>
      </c>
      <c r="C982" s="14" t="str">
        <f>"1800"</f>
        <v>1800</v>
      </c>
      <c r="D982" s="14" t="str">
        <f>""</f>
        <v/>
      </c>
      <c r="E982" s="14" t="s">
        <v>1119</v>
      </c>
      <c r="F982" s="14" t="s">
        <v>1002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228</v>
      </c>
      <c r="P982" s="14" t="s">
        <v>260</v>
      </c>
      <c r="Q982" s="14" t="s">
        <v>260</v>
      </c>
      <c r="R982" s="14" t="s">
        <v>229</v>
      </c>
    </row>
    <row r="983" spans="1:18" s="14" customFormat="1" x14ac:dyDescent="0.25">
      <c r="A983" s="14" t="str">
        <f>"83247"</f>
        <v>83247</v>
      </c>
      <c r="B983" s="14" t="str">
        <f>"07010"</f>
        <v>07010</v>
      </c>
      <c r="C983" s="14" t="str">
        <f>"1800"</f>
        <v>1800</v>
      </c>
      <c r="D983" s="14" t="str">
        <f>""</f>
        <v/>
      </c>
      <c r="E983" s="14" t="s">
        <v>1120</v>
      </c>
      <c r="F983" s="14" t="s">
        <v>1002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228</v>
      </c>
      <c r="P983" s="14" t="s">
        <v>260</v>
      </c>
      <c r="Q983" s="14" t="s">
        <v>260</v>
      </c>
      <c r="R983" s="14" t="s">
        <v>229</v>
      </c>
    </row>
    <row r="984" spans="1:18" s="14" customFormat="1" x14ac:dyDescent="0.25">
      <c r="A984" s="14" t="str">
        <f>"83248"</f>
        <v>83248</v>
      </c>
      <c r="B984" s="14" t="str">
        <f>"07010"</f>
        <v>07010</v>
      </c>
      <c r="C984" s="14" t="str">
        <f>"1800"</f>
        <v>1800</v>
      </c>
      <c r="D984" s="14" t="str">
        <f>""</f>
        <v/>
      </c>
      <c r="E984" s="14" t="s">
        <v>1121</v>
      </c>
      <c r="F984" s="14" t="s">
        <v>1002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228</v>
      </c>
      <c r="P984" s="14" t="s">
        <v>260</v>
      </c>
      <c r="Q984" s="14" t="s">
        <v>260</v>
      </c>
      <c r="R984" s="14" t="s">
        <v>229</v>
      </c>
    </row>
    <row r="985" spans="1:18" s="14" customFormat="1" x14ac:dyDescent="0.25">
      <c r="A985" s="14" t="str">
        <f>"83251"</f>
        <v>83251</v>
      </c>
      <c r="B985" s="14" t="str">
        <f>"07010"</f>
        <v>07010</v>
      </c>
      <c r="C985" s="14" t="str">
        <f>"1800"</f>
        <v>1800</v>
      </c>
      <c r="D985" s="14" t="str">
        <f>""</f>
        <v/>
      </c>
      <c r="E985" s="14" t="s">
        <v>1122</v>
      </c>
      <c r="F985" s="14" t="s">
        <v>1002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228</v>
      </c>
      <c r="P985" s="14" t="s">
        <v>260</v>
      </c>
      <c r="Q985" s="14" t="s">
        <v>260</v>
      </c>
      <c r="R985" s="14" t="s">
        <v>229</v>
      </c>
    </row>
    <row r="986" spans="1:18" s="14" customFormat="1" x14ac:dyDescent="0.25">
      <c r="A986" s="14" t="str">
        <f>"83257"</f>
        <v>83257</v>
      </c>
      <c r="B986" s="14" t="str">
        <f>"07010"</f>
        <v>07010</v>
      </c>
      <c r="C986" s="14" t="str">
        <f>"1800"</f>
        <v>1800</v>
      </c>
      <c r="D986" s="14" t="str">
        <f>""</f>
        <v/>
      </c>
      <c r="E986" s="14" t="s">
        <v>1123</v>
      </c>
      <c r="F986" s="14" t="s">
        <v>1002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228</v>
      </c>
      <c r="P986" s="14" t="s">
        <v>260</v>
      </c>
      <c r="Q986" s="14" t="s">
        <v>260</v>
      </c>
      <c r="R986" s="14" t="s">
        <v>229</v>
      </c>
    </row>
    <row r="987" spans="1:18" s="14" customFormat="1" x14ac:dyDescent="0.25">
      <c r="A987" s="14" t="str">
        <f>"83258"</f>
        <v>83258</v>
      </c>
      <c r="B987" s="14" t="str">
        <f>"07010"</f>
        <v>07010</v>
      </c>
      <c r="C987" s="14" t="str">
        <f>"1800"</f>
        <v>1800</v>
      </c>
      <c r="D987" s="14" t="str">
        <f>""</f>
        <v/>
      </c>
      <c r="E987" s="14" t="s">
        <v>1124</v>
      </c>
      <c r="F987" s="14" t="s">
        <v>1002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228</v>
      </c>
      <c r="P987" s="14" t="s">
        <v>260</v>
      </c>
      <c r="Q987" s="14" t="s">
        <v>260</v>
      </c>
      <c r="R987" s="14" t="s">
        <v>229</v>
      </c>
    </row>
    <row r="988" spans="1:18" s="14" customFormat="1" x14ac:dyDescent="0.25">
      <c r="A988" s="14" t="str">
        <f>"83259"</f>
        <v>83259</v>
      </c>
      <c r="B988" s="14" t="str">
        <f>"07010"</f>
        <v>07010</v>
      </c>
      <c r="C988" s="14" t="str">
        <f>"1800"</f>
        <v>1800</v>
      </c>
      <c r="D988" s="14" t="str">
        <f>""</f>
        <v/>
      </c>
      <c r="E988" s="14" t="s">
        <v>1125</v>
      </c>
      <c r="F988" s="14" t="s">
        <v>1002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228</v>
      </c>
      <c r="P988" s="14" t="s">
        <v>260</v>
      </c>
      <c r="Q988" s="14" t="s">
        <v>260</v>
      </c>
      <c r="R988" s="14" t="s">
        <v>229</v>
      </c>
    </row>
    <row r="989" spans="1:18" s="14" customFormat="1" x14ac:dyDescent="0.25">
      <c r="A989" s="14" t="str">
        <f>"83260"</f>
        <v>83260</v>
      </c>
      <c r="B989" s="14" t="str">
        <f>"07010"</f>
        <v>07010</v>
      </c>
      <c r="C989" s="14" t="str">
        <f>"1800"</f>
        <v>1800</v>
      </c>
      <c r="D989" s="14" t="str">
        <f>""</f>
        <v/>
      </c>
      <c r="E989" s="14" t="s">
        <v>1126</v>
      </c>
      <c r="F989" s="14" t="s">
        <v>1002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228</v>
      </c>
      <c r="P989" s="14" t="s">
        <v>260</v>
      </c>
      <c r="Q989" s="14" t="s">
        <v>260</v>
      </c>
      <c r="R989" s="14" t="s">
        <v>229</v>
      </c>
    </row>
    <row r="990" spans="1:18" s="14" customFormat="1" x14ac:dyDescent="0.25">
      <c r="A990" s="14" t="str">
        <f>"83261"</f>
        <v>83261</v>
      </c>
      <c r="B990" s="14" t="str">
        <f>"07010"</f>
        <v>07010</v>
      </c>
      <c r="C990" s="14" t="str">
        <f>"1800"</f>
        <v>1800</v>
      </c>
      <c r="D990" s="14" t="str">
        <f>""</f>
        <v/>
      </c>
      <c r="E990" s="14" t="s">
        <v>1127</v>
      </c>
      <c r="F990" s="14" t="s">
        <v>1002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228</v>
      </c>
      <c r="P990" s="14" t="s">
        <v>260</v>
      </c>
      <c r="Q990" s="14" t="s">
        <v>260</v>
      </c>
      <c r="R990" s="14" t="s">
        <v>229</v>
      </c>
    </row>
    <row r="991" spans="1:18" s="14" customFormat="1" x14ac:dyDescent="0.25">
      <c r="A991" s="14" t="str">
        <f>"83262"</f>
        <v>83262</v>
      </c>
      <c r="B991" s="14" t="str">
        <f>"07010"</f>
        <v>07010</v>
      </c>
      <c r="C991" s="14" t="str">
        <f>"1800"</f>
        <v>1800</v>
      </c>
      <c r="D991" s="14" t="str">
        <f>""</f>
        <v/>
      </c>
      <c r="E991" s="14" t="s">
        <v>1128</v>
      </c>
      <c r="F991" s="14" t="s">
        <v>1002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228</v>
      </c>
      <c r="P991" s="14" t="s">
        <v>260</v>
      </c>
      <c r="Q991" s="14" t="s">
        <v>260</v>
      </c>
      <c r="R991" s="14" t="s">
        <v>229</v>
      </c>
    </row>
    <row r="992" spans="1:18" s="14" customFormat="1" x14ac:dyDescent="0.25">
      <c r="A992" s="14" t="str">
        <f>"83265"</f>
        <v>83265</v>
      </c>
      <c r="B992" s="14" t="str">
        <f>"07010"</f>
        <v>07010</v>
      </c>
      <c r="C992" s="14" t="str">
        <f>"1800"</f>
        <v>1800</v>
      </c>
      <c r="D992" s="14" t="str">
        <f>""</f>
        <v/>
      </c>
      <c r="E992" s="14" t="s">
        <v>1129</v>
      </c>
      <c r="F992" s="14" t="s">
        <v>1002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228</v>
      </c>
      <c r="P992" s="14" t="s">
        <v>260</v>
      </c>
      <c r="Q992" s="14" t="s">
        <v>260</v>
      </c>
      <c r="R992" s="14" t="s">
        <v>229</v>
      </c>
    </row>
    <row r="993" spans="1:18" s="14" customFormat="1" x14ac:dyDescent="0.25">
      <c r="A993" s="14" t="str">
        <f>"83269"</f>
        <v>83269</v>
      </c>
      <c r="B993" s="14" t="str">
        <f>"07010"</f>
        <v>07010</v>
      </c>
      <c r="C993" s="14" t="str">
        <f>"1800"</f>
        <v>1800</v>
      </c>
      <c r="D993" s="14" t="str">
        <f>""</f>
        <v/>
      </c>
      <c r="E993" s="14" t="s">
        <v>1130</v>
      </c>
      <c r="F993" s="14" t="s">
        <v>1002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228</v>
      </c>
      <c r="P993" s="14" t="s">
        <v>260</v>
      </c>
      <c r="Q993" s="14" t="s">
        <v>260</v>
      </c>
      <c r="R993" s="14" t="s">
        <v>229</v>
      </c>
    </row>
    <row r="994" spans="1:18" s="14" customFormat="1" x14ac:dyDescent="0.25">
      <c r="A994" s="14" t="str">
        <f>"83270"</f>
        <v>83270</v>
      </c>
      <c r="B994" s="14" t="str">
        <f>"07010"</f>
        <v>07010</v>
      </c>
      <c r="C994" s="14" t="str">
        <f>"1800"</f>
        <v>1800</v>
      </c>
      <c r="D994" s="14" t="str">
        <f>""</f>
        <v/>
      </c>
      <c r="E994" s="14" t="s">
        <v>1131</v>
      </c>
      <c r="F994" s="14" t="s">
        <v>1002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228</v>
      </c>
      <c r="P994" s="14" t="s">
        <v>260</v>
      </c>
      <c r="Q994" s="14" t="s">
        <v>260</v>
      </c>
      <c r="R994" s="14" t="s">
        <v>229</v>
      </c>
    </row>
    <row r="995" spans="1:18" s="14" customFormat="1" x14ac:dyDescent="0.25">
      <c r="A995" s="14" t="str">
        <f>"83273"</f>
        <v>83273</v>
      </c>
      <c r="B995" s="14" t="str">
        <f>"07010"</f>
        <v>07010</v>
      </c>
      <c r="C995" s="14" t="str">
        <f>"1800"</f>
        <v>1800</v>
      </c>
      <c r="D995" s="14" t="str">
        <f>""</f>
        <v/>
      </c>
      <c r="E995" s="14" t="s">
        <v>1132</v>
      </c>
      <c r="F995" s="14" t="s">
        <v>1002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228</v>
      </c>
      <c r="P995" s="14" t="s">
        <v>260</v>
      </c>
      <c r="Q995" s="14" t="s">
        <v>260</v>
      </c>
      <c r="R995" s="14" t="s">
        <v>229</v>
      </c>
    </row>
    <row r="996" spans="1:18" s="14" customFormat="1" x14ac:dyDescent="0.25">
      <c r="A996" s="14" t="str">
        <f>"83275"</f>
        <v>83275</v>
      </c>
      <c r="B996" s="14" t="str">
        <f>"07010"</f>
        <v>07010</v>
      </c>
      <c r="C996" s="14" t="str">
        <f>"1800"</f>
        <v>1800</v>
      </c>
      <c r="D996" s="14" t="str">
        <f>""</f>
        <v/>
      </c>
      <c r="E996" s="14" t="s">
        <v>1133</v>
      </c>
      <c r="F996" s="14" t="s">
        <v>1002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228</v>
      </c>
      <c r="P996" s="14" t="s">
        <v>260</v>
      </c>
      <c r="Q996" s="14" t="s">
        <v>260</v>
      </c>
      <c r="R996" s="14" t="s">
        <v>229</v>
      </c>
    </row>
    <row r="997" spans="1:18" s="14" customFormat="1" x14ac:dyDescent="0.25">
      <c r="A997" s="14" t="str">
        <f>"83278"</f>
        <v>83278</v>
      </c>
      <c r="B997" s="14" t="str">
        <f>"07010"</f>
        <v>07010</v>
      </c>
      <c r="C997" s="14" t="str">
        <f>"1800"</f>
        <v>1800</v>
      </c>
      <c r="D997" s="14" t="str">
        <f>""</f>
        <v/>
      </c>
      <c r="E997" s="14" t="s">
        <v>1134</v>
      </c>
      <c r="F997" s="14" t="s">
        <v>1002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228</v>
      </c>
      <c r="P997" s="14" t="s">
        <v>260</v>
      </c>
      <c r="Q997" s="14" t="s">
        <v>260</v>
      </c>
      <c r="R997" s="14" t="s">
        <v>229</v>
      </c>
    </row>
    <row r="998" spans="1:18" s="14" customFormat="1" x14ac:dyDescent="0.25">
      <c r="A998" s="14" t="str">
        <f>"83279"</f>
        <v>83279</v>
      </c>
      <c r="B998" s="14" t="str">
        <f>"07010"</f>
        <v>07010</v>
      </c>
      <c r="C998" s="14" t="str">
        <f>"1800"</f>
        <v>1800</v>
      </c>
      <c r="D998" s="14" t="str">
        <f>""</f>
        <v/>
      </c>
      <c r="E998" s="14" t="s">
        <v>1135</v>
      </c>
      <c r="F998" s="14" t="s">
        <v>1002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228</v>
      </c>
      <c r="P998" s="14" t="s">
        <v>260</v>
      </c>
      <c r="Q998" s="14" t="s">
        <v>260</v>
      </c>
      <c r="R998" s="14" t="s">
        <v>229</v>
      </c>
    </row>
    <row r="999" spans="1:18" s="14" customFormat="1" x14ac:dyDescent="0.25">
      <c r="A999" s="14" t="str">
        <f>"83280"</f>
        <v>83280</v>
      </c>
      <c r="B999" s="14" t="str">
        <f>"07010"</f>
        <v>07010</v>
      </c>
      <c r="C999" s="14" t="str">
        <f>"1800"</f>
        <v>1800</v>
      </c>
      <c r="D999" s="14" t="str">
        <f>""</f>
        <v/>
      </c>
      <c r="E999" s="14" t="s">
        <v>1136</v>
      </c>
      <c r="F999" s="14" t="s">
        <v>1002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228</v>
      </c>
      <c r="P999" s="14" t="s">
        <v>260</v>
      </c>
      <c r="Q999" s="14" t="s">
        <v>260</v>
      </c>
      <c r="R999" s="14" t="s">
        <v>229</v>
      </c>
    </row>
    <row r="1000" spans="1:18" s="14" customFormat="1" x14ac:dyDescent="0.25">
      <c r="A1000" s="14" t="str">
        <f>"83283"</f>
        <v>83283</v>
      </c>
      <c r="B1000" s="14" t="str">
        <f>"07010"</f>
        <v>07010</v>
      </c>
      <c r="C1000" s="14" t="str">
        <f>"1800"</f>
        <v>1800</v>
      </c>
      <c r="D1000" s="14" t="str">
        <f>""</f>
        <v/>
      </c>
      <c r="E1000" s="14" t="s">
        <v>1137</v>
      </c>
      <c r="F1000" s="14" t="s">
        <v>1002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228</v>
      </c>
      <c r="P1000" s="14" t="s">
        <v>260</v>
      </c>
      <c r="Q1000" s="14" t="s">
        <v>260</v>
      </c>
      <c r="R1000" s="14" t="s">
        <v>229</v>
      </c>
    </row>
    <row r="1001" spans="1:18" s="14" customFormat="1" x14ac:dyDescent="0.25">
      <c r="A1001" s="14" t="str">
        <f>"83284"</f>
        <v>83284</v>
      </c>
      <c r="B1001" s="14" t="str">
        <f>"07010"</f>
        <v>07010</v>
      </c>
      <c r="C1001" s="14" t="str">
        <f>"1800"</f>
        <v>1800</v>
      </c>
      <c r="D1001" s="14" t="str">
        <f>""</f>
        <v/>
      </c>
      <c r="E1001" s="14" t="s">
        <v>1138</v>
      </c>
      <c r="F1001" s="14" t="s">
        <v>1002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228</v>
      </c>
      <c r="P1001" s="14" t="s">
        <v>260</v>
      </c>
      <c r="Q1001" s="14" t="s">
        <v>260</v>
      </c>
      <c r="R1001" s="14" t="s">
        <v>229</v>
      </c>
    </row>
    <row r="1002" spans="1:18" s="14" customFormat="1" x14ac:dyDescent="0.25">
      <c r="A1002" s="14" t="str">
        <f>"83287"</f>
        <v>83287</v>
      </c>
      <c r="B1002" s="14" t="str">
        <f>"07010"</f>
        <v>07010</v>
      </c>
      <c r="C1002" s="14" t="str">
        <f>"1800"</f>
        <v>1800</v>
      </c>
      <c r="D1002" s="14" t="str">
        <f>""</f>
        <v/>
      </c>
      <c r="E1002" s="14" t="s">
        <v>1139</v>
      </c>
      <c r="F1002" s="14" t="s">
        <v>1002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228</v>
      </c>
      <c r="P1002" s="14" t="s">
        <v>260</v>
      </c>
      <c r="Q1002" s="14" t="s">
        <v>260</v>
      </c>
      <c r="R1002" s="14" t="s">
        <v>229</v>
      </c>
    </row>
    <row r="1003" spans="1:18" s="14" customFormat="1" x14ac:dyDescent="0.25">
      <c r="A1003" s="14" t="str">
        <f>"83288"</f>
        <v>83288</v>
      </c>
      <c r="B1003" s="14" t="str">
        <f>"07010"</f>
        <v>07010</v>
      </c>
      <c r="C1003" s="14" t="str">
        <f>"1800"</f>
        <v>1800</v>
      </c>
      <c r="D1003" s="14" t="str">
        <f>""</f>
        <v/>
      </c>
      <c r="E1003" s="14" t="s">
        <v>1140</v>
      </c>
      <c r="F1003" s="14" t="s">
        <v>1002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228</v>
      </c>
      <c r="P1003" s="14" t="s">
        <v>260</v>
      </c>
      <c r="Q1003" s="14" t="s">
        <v>260</v>
      </c>
      <c r="R1003" s="14" t="s">
        <v>229</v>
      </c>
    </row>
    <row r="1004" spans="1:18" s="14" customFormat="1" x14ac:dyDescent="0.25">
      <c r="A1004" s="14" t="str">
        <f>"83289"</f>
        <v>83289</v>
      </c>
      <c r="B1004" s="14" t="str">
        <f>"07010"</f>
        <v>07010</v>
      </c>
      <c r="C1004" s="14" t="str">
        <f>"1800"</f>
        <v>1800</v>
      </c>
      <c r="D1004" s="14" t="str">
        <f>""</f>
        <v/>
      </c>
      <c r="E1004" s="14" t="s">
        <v>1141</v>
      </c>
      <c r="F1004" s="14" t="s">
        <v>1002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228</v>
      </c>
      <c r="P1004" s="14" t="s">
        <v>260</v>
      </c>
      <c r="Q1004" s="14" t="s">
        <v>260</v>
      </c>
      <c r="R1004" s="14" t="s">
        <v>229</v>
      </c>
    </row>
    <row r="1005" spans="1:18" s="14" customFormat="1" x14ac:dyDescent="0.25">
      <c r="A1005" s="14" t="str">
        <f>"83290"</f>
        <v>83290</v>
      </c>
      <c r="B1005" s="14" t="str">
        <f>"07010"</f>
        <v>07010</v>
      </c>
      <c r="C1005" s="14" t="str">
        <f>"1800"</f>
        <v>1800</v>
      </c>
      <c r="D1005" s="14" t="str">
        <f>""</f>
        <v/>
      </c>
      <c r="E1005" s="14" t="s">
        <v>1142</v>
      </c>
      <c r="F1005" s="14" t="s">
        <v>1002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228</v>
      </c>
      <c r="P1005" s="14" t="s">
        <v>260</v>
      </c>
      <c r="Q1005" s="14" t="s">
        <v>260</v>
      </c>
      <c r="R1005" s="14" t="s">
        <v>229</v>
      </c>
    </row>
    <row r="1006" spans="1:18" s="14" customFormat="1" x14ac:dyDescent="0.25">
      <c r="A1006" s="14" t="str">
        <f>"83291"</f>
        <v>83291</v>
      </c>
      <c r="B1006" s="14" t="str">
        <f>"07010"</f>
        <v>07010</v>
      </c>
      <c r="C1006" s="14" t="str">
        <f>"1800"</f>
        <v>1800</v>
      </c>
      <c r="D1006" s="14" t="str">
        <f>""</f>
        <v/>
      </c>
      <c r="E1006" s="14" t="s">
        <v>1143</v>
      </c>
      <c r="F1006" s="14" t="s">
        <v>1002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228</v>
      </c>
      <c r="P1006" s="14" t="s">
        <v>260</v>
      </c>
      <c r="Q1006" s="14" t="s">
        <v>260</v>
      </c>
      <c r="R1006" s="14" t="s">
        <v>229</v>
      </c>
    </row>
    <row r="1007" spans="1:18" s="14" customFormat="1" x14ac:dyDescent="0.25">
      <c r="A1007" s="14" t="str">
        <f>"83293"</f>
        <v>83293</v>
      </c>
      <c r="B1007" s="14" t="str">
        <f>"07010"</f>
        <v>07010</v>
      </c>
      <c r="C1007" s="14" t="str">
        <f>"1800"</f>
        <v>1800</v>
      </c>
      <c r="D1007" s="14" t="str">
        <f>""</f>
        <v/>
      </c>
      <c r="E1007" s="14" t="s">
        <v>1144</v>
      </c>
      <c r="F1007" s="14" t="s">
        <v>1002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228</v>
      </c>
      <c r="P1007" s="14" t="s">
        <v>260</v>
      </c>
      <c r="Q1007" s="14" t="s">
        <v>260</v>
      </c>
      <c r="R1007" s="14" t="s">
        <v>229</v>
      </c>
    </row>
    <row r="1008" spans="1:18" s="14" customFormat="1" x14ac:dyDescent="0.25">
      <c r="A1008" s="14" t="str">
        <f>"83294"</f>
        <v>83294</v>
      </c>
      <c r="B1008" s="14" t="str">
        <f>"07010"</f>
        <v>07010</v>
      </c>
      <c r="C1008" s="14" t="str">
        <f>"1800"</f>
        <v>1800</v>
      </c>
      <c r="D1008" s="14" t="str">
        <f>""</f>
        <v/>
      </c>
      <c r="E1008" s="14" t="s">
        <v>1145</v>
      </c>
      <c r="F1008" s="14" t="s">
        <v>1002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228</v>
      </c>
      <c r="P1008" s="14" t="s">
        <v>260</v>
      </c>
      <c r="Q1008" s="14" t="s">
        <v>260</v>
      </c>
      <c r="R1008" s="14" t="s">
        <v>229</v>
      </c>
    </row>
    <row r="1009" spans="1:18" s="14" customFormat="1" x14ac:dyDescent="0.25">
      <c r="A1009" s="14" t="str">
        <f>"83296"</f>
        <v>83296</v>
      </c>
      <c r="B1009" s="14" t="str">
        <f>"07010"</f>
        <v>07010</v>
      </c>
      <c r="C1009" s="14" t="str">
        <f>"1800"</f>
        <v>1800</v>
      </c>
      <c r="D1009" s="14" t="str">
        <f>""</f>
        <v/>
      </c>
      <c r="E1009" s="14" t="s">
        <v>1146</v>
      </c>
      <c r="F1009" s="14" t="s">
        <v>1002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228</v>
      </c>
      <c r="P1009" s="14" t="s">
        <v>260</v>
      </c>
      <c r="Q1009" s="14" t="s">
        <v>260</v>
      </c>
      <c r="R1009" s="14" t="s">
        <v>229</v>
      </c>
    </row>
    <row r="1010" spans="1:18" s="14" customFormat="1" x14ac:dyDescent="0.25">
      <c r="A1010" s="14" t="str">
        <f>"83299"</f>
        <v>83299</v>
      </c>
      <c r="B1010" s="14" t="str">
        <f>"07010"</f>
        <v>07010</v>
      </c>
      <c r="C1010" s="14" t="str">
        <f>"1800"</f>
        <v>1800</v>
      </c>
      <c r="D1010" s="14" t="str">
        <f>""</f>
        <v/>
      </c>
      <c r="E1010" s="14" t="s">
        <v>1147</v>
      </c>
      <c r="F1010" s="14" t="s">
        <v>1002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228</v>
      </c>
      <c r="P1010" s="14" t="s">
        <v>260</v>
      </c>
      <c r="Q1010" s="14" t="s">
        <v>260</v>
      </c>
      <c r="R1010" s="14" t="s">
        <v>229</v>
      </c>
    </row>
    <row r="1011" spans="1:18" s="14" customFormat="1" x14ac:dyDescent="0.25">
      <c r="A1011" s="14" t="str">
        <f>"83300"</f>
        <v>83300</v>
      </c>
      <c r="B1011" s="14" t="str">
        <f>"07010"</f>
        <v>07010</v>
      </c>
      <c r="C1011" s="14" t="str">
        <f>"1800"</f>
        <v>1800</v>
      </c>
      <c r="D1011" s="14" t="str">
        <f>""</f>
        <v/>
      </c>
      <c r="E1011" s="14" t="s">
        <v>1148</v>
      </c>
      <c r="F1011" s="14" t="s">
        <v>1002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228</v>
      </c>
      <c r="P1011" s="14" t="s">
        <v>260</v>
      </c>
      <c r="Q1011" s="14" t="s">
        <v>260</v>
      </c>
      <c r="R1011" s="14" t="s">
        <v>229</v>
      </c>
    </row>
    <row r="1012" spans="1:18" s="14" customFormat="1" x14ac:dyDescent="0.25">
      <c r="A1012" s="14" t="str">
        <f>"83301"</f>
        <v>83301</v>
      </c>
      <c r="B1012" s="14" t="str">
        <f>"07010"</f>
        <v>07010</v>
      </c>
      <c r="C1012" s="14" t="str">
        <f>"1800"</f>
        <v>1800</v>
      </c>
      <c r="D1012" s="14" t="str">
        <f>""</f>
        <v/>
      </c>
      <c r="E1012" s="14" t="s">
        <v>1149</v>
      </c>
      <c r="F1012" s="14" t="s">
        <v>1002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228</v>
      </c>
      <c r="P1012" s="14" t="s">
        <v>260</v>
      </c>
      <c r="Q1012" s="14" t="s">
        <v>260</v>
      </c>
      <c r="R1012" s="14" t="s">
        <v>229</v>
      </c>
    </row>
    <row r="1013" spans="1:18" s="14" customFormat="1" x14ac:dyDescent="0.25">
      <c r="A1013" s="14" t="str">
        <f>"83306"</f>
        <v>83306</v>
      </c>
      <c r="B1013" s="14" t="str">
        <f>"07010"</f>
        <v>07010</v>
      </c>
      <c r="C1013" s="14" t="str">
        <f>"1800"</f>
        <v>1800</v>
      </c>
      <c r="D1013" s="14" t="str">
        <f>""</f>
        <v/>
      </c>
      <c r="E1013" s="14" t="s">
        <v>1150</v>
      </c>
      <c r="F1013" s="14" t="s">
        <v>1002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228</v>
      </c>
      <c r="P1013" s="14" t="s">
        <v>260</v>
      </c>
      <c r="Q1013" s="14" t="s">
        <v>260</v>
      </c>
      <c r="R1013" s="14" t="s">
        <v>229</v>
      </c>
    </row>
    <row r="1014" spans="1:18" s="14" customFormat="1" x14ac:dyDescent="0.25">
      <c r="A1014" s="14" t="str">
        <f>"83309"</f>
        <v>83309</v>
      </c>
      <c r="B1014" s="14" t="str">
        <f>"07010"</f>
        <v>07010</v>
      </c>
      <c r="C1014" s="14" t="str">
        <f>"1800"</f>
        <v>1800</v>
      </c>
      <c r="D1014" s="14" t="str">
        <f>""</f>
        <v/>
      </c>
      <c r="E1014" s="14" t="s">
        <v>1151</v>
      </c>
      <c r="F1014" s="14" t="s">
        <v>1002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228</v>
      </c>
      <c r="P1014" s="14" t="s">
        <v>260</v>
      </c>
      <c r="Q1014" s="14" t="s">
        <v>260</v>
      </c>
      <c r="R1014" s="14" t="s">
        <v>229</v>
      </c>
    </row>
    <row r="1015" spans="1:18" s="14" customFormat="1" x14ac:dyDescent="0.25">
      <c r="A1015" s="14" t="str">
        <f>"83310"</f>
        <v>83310</v>
      </c>
      <c r="B1015" s="14" t="str">
        <f>"07010"</f>
        <v>07010</v>
      </c>
      <c r="C1015" s="14" t="str">
        <f>"1800"</f>
        <v>1800</v>
      </c>
      <c r="D1015" s="14" t="str">
        <f>""</f>
        <v/>
      </c>
      <c r="E1015" s="14" t="s">
        <v>1152</v>
      </c>
      <c r="F1015" s="14" t="s">
        <v>1002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228</v>
      </c>
      <c r="P1015" s="14" t="s">
        <v>260</v>
      </c>
      <c r="Q1015" s="14" t="s">
        <v>260</v>
      </c>
      <c r="R1015" s="14" t="s">
        <v>229</v>
      </c>
    </row>
    <row r="1016" spans="1:18" s="14" customFormat="1" x14ac:dyDescent="0.25">
      <c r="A1016" s="14" t="str">
        <f>"83312"</f>
        <v>83312</v>
      </c>
      <c r="B1016" s="14" t="str">
        <f>"07010"</f>
        <v>07010</v>
      </c>
      <c r="C1016" s="14" t="str">
        <f>"1800"</f>
        <v>1800</v>
      </c>
      <c r="D1016" s="14" t="str">
        <f>""</f>
        <v/>
      </c>
      <c r="E1016" s="14" t="s">
        <v>1153</v>
      </c>
      <c r="F1016" s="14" t="s">
        <v>1002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228</v>
      </c>
      <c r="P1016" s="14" t="s">
        <v>260</v>
      </c>
      <c r="Q1016" s="14" t="s">
        <v>260</v>
      </c>
      <c r="R1016" s="14" t="s">
        <v>229</v>
      </c>
    </row>
    <row r="1017" spans="1:18" s="14" customFormat="1" x14ac:dyDescent="0.25">
      <c r="A1017" s="14" t="str">
        <f>"83313"</f>
        <v>83313</v>
      </c>
      <c r="B1017" s="14" t="str">
        <f>"07010"</f>
        <v>07010</v>
      </c>
      <c r="C1017" s="14" t="str">
        <f>"1800"</f>
        <v>1800</v>
      </c>
      <c r="D1017" s="14" t="str">
        <f>""</f>
        <v/>
      </c>
      <c r="E1017" s="14" t="s">
        <v>1154</v>
      </c>
      <c r="F1017" s="14" t="s">
        <v>1002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228</v>
      </c>
      <c r="P1017" s="14" t="s">
        <v>260</v>
      </c>
      <c r="Q1017" s="14" t="s">
        <v>260</v>
      </c>
      <c r="R1017" s="14" t="s">
        <v>229</v>
      </c>
    </row>
    <row r="1018" spans="1:18" s="14" customFormat="1" x14ac:dyDescent="0.25">
      <c r="A1018" s="14" t="str">
        <f>"83315"</f>
        <v>83315</v>
      </c>
      <c r="B1018" s="14" t="str">
        <f>"07010"</f>
        <v>07010</v>
      </c>
      <c r="C1018" s="14" t="str">
        <f>"1800"</f>
        <v>1800</v>
      </c>
      <c r="D1018" s="14" t="str">
        <f>""</f>
        <v/>
      </c>
      <c r="E1018" s="14" t="s">
        <v>1155</v>
      </c>
      <c r="F1018" s="14" t="s">
        <v>1002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228</v>
      </c>
      <c r="P1018" s="14" t="s">
        <v>260</v>
      </c>
      <c r="Q1018" s="14" t="s">
        <v>260</v>
      </c>
      <c r="R1018" s="14" t="s">
        <v>229</v>
      </c>
    </row>
    <row r="1019" spans="1:18" s="14" customFormat="1" x14ac:dyDescent="0.25">
      <c r="A1019" s="14" t="str">
        <f>"83316"</f>
        <v>83316</v>
      </c>
      <c r="B1019" s="14" t="str">
        <f>"07010"</f>
        <v>07010</v>
      </c>
      <c r="C1019" s="14" t="str">
        <f>"1800"</f>
        <v>1800</v>
      </c>
      <c r="D1019" s="14" t="str">
        <f>""</f>
        <v/>
      </c>
      <c r="E1019" s="14" t="s">
        <v>1156</v>
      </c>
      <c r="F1019" s="14" t="s">
        <v>1002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228</v>
      </c>
      <c r="P1019" s="14" t="s">
        <v>260</v>
      </c>
      <c r="Q1019" s="14" t="s">
        <v>260</v>
      </c>
      <c r="R1019" s="14" t="s">
        <v>229</v>
      </c>
    </row>
    <row r="1020" spans="1:18" s="14" customFormat="1" x14ac:dyDescent="0.25">
      <c r="A1020" s="14" t="str">
        <f>"83317"</f>
        <v>83317</v>
      </c>
      <c r="B1020" s="14" t="str">
        <f>"07010"</f>
        <v>07010</v>
      </c>
      <c r="C1020" s="14" t="str">
        <f>"1800"</f>
        <v>1800</v>
      </c>
      <c r="D1020" s="14" t="str">
        <f>""</f>
        <v/>
      </c>
      <c r="E1020" s="14" t="s">
        <v>1157</v>
      </c>
      <c r="F1020" s="14" t="s">
        <v>1002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228</v>
      </c>
      <c r="P1020" s="14" t="s">
        <v>260</v>
      </c>
      <c r="Q1020" s="14" t="s">
        <v>260</v>
      </c>
      <c r="R1020" s="14" t="s">
        <v>229</v>
      </c>
    </row>
    <row r="1021" spans="1:18" s="14" customFormat="1" x14ac:dyDescent="0.25">
      <c r="A1021" s="14" t="str">
        <f>"83318"</f>
        <v>83318</v>
      </c>
      <c r="B1021" s="14" t="str">
        <f>"07010"</f>
        <v>07010</v>
      </c>
      <c r="C1021" s="14" t="str">
        <f>"1800"</f>
        <v>1800</v>
      </c>
      <c r="D1021" s="14" t="str">
        <f>""</f>
        <v/>
      </c>
      <c r="E1021" s="14" t="s">
        <v>1158</v>
      </c>
      <c r="F1021" s="14" t="s">
        <v>1002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228</v>
      </c>
      <c r="P1021" s="14" t="s">
        <v>260</v>
      </c>
      <c r="Q1021" s="14" t="s">
        <v>260</v>
      </c>
      <c r="R1021" s="14" t="s">
        <v>229</v>
      </c>
    </row>
    <row r="1022" spans="1:18" s="14" customFormat="1" x14ac:dyDescent="0.25">
      <c r="A1022" s="14" t="str">
        <f>"83319"</f>
        <v>83319</v>
      </c>
      <c r="B1022" s="14" t="str">
        <f>"07010"</f>
        <v>07010</v>
      </c>
      <c r="C1022" s="14" t="str">
        <f>"1800"</f>
        <v>1800</v>
      </c>
      <c r="D1022" s="14" t="str">
        <f>""</f>
        <v/>
      </c>
      <c r="E1022" s="14" t="s">
        <v>1159</v>
      </c>
      <c r="F1022" s="14" t="s">
        <v>1002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228</v>
      </c>
      <c r="P1022" s="14" t="s">
        <v>260</v>
      </c>
      <c r="Q1022" s="14" t="s">
        <v>260</v>
      </c>
      <c r="R1022" s="14" t="s">
        <v>229</v>
      </c>
    </row>
    <row r="1023" spans="1:18" s="14" customFormat="1" x14ac:dyDescent="0.25">
      <c r="A1023" s="14" t="str">
        <f>"83320"</f>
        <v>83320</v>
      </c>
      <c r="B1023" s="14" t="str">
        <f>"07010"</f>
        <v>07010</v>
      </c>
      <c r="C1023" s="14" t="str">
        <f>"1800"</f>
        <v>1800</v>
      </c>
      <c r="D1023" s="14" t="str">
        <f>""</f>
        <v/>
      </c>
      <c r="E1023" s="14" t="s">
        <v>1160</v>
      </c>
      <c r="F1023" s="14" t="s">
        <v>1002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228</v>
      </c>
      <c r="P1023" s="14" t="s">
        <v>260</v>
      </c>
      <c r="Q1023" s="14" t="s">
        <v>260</v>
      </c>
      <c r="R1023" s="14" t="s">
        <v>229</v>
      </c>
    </row>
    <row r="1024" spans="1:18" s="14" customFormat="1" x14ac:dyDescent="0.25">
      <c r="A1024" s="14" t="str">
        <f>"83321"</f>
        <v>83321</v>
      </c>
      <c r="B1024" s="14" t="str">
        <f>"07010"</f>
        <v>07010</v>
      </c>
      <c r="C1024" s="14" t="str">
        <f>"1800"</f>
        <v>1800</v>
      </c>
      <c r="D1024" s="14" t="str">
        <f>""</f>
        <v/>
      </c>
      <c r="E1024" s="14" t="s">
        <v>1161</v>
      </c>
      <c r="F1024" s="14" t="s">
        <v>1002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228</v>
      </c>
      <c r="P1024" s="14" t="s">
        <v>260</v>
      </c>
      <c r="Q1024" s="14" t="s">
        <v>260</v>
      </c>
      <c r="R1024" s="14" t="s">
        <v>229</v>
      </c>
    </row>
    <row r="1025" spans="1:18" s="14" customFormat="1" x14ac:dyDescent="0.25">
      <c r="A1025" s="14" t="str">
        <f>"83323"</f>
        <v>83323</v>
      </c>
      <c r="B1025" s="14" t="str">
        <f>"07010"</f>
        <v>07010</v>
      </c>
      <c r="C1025" s="14" t="str">
        <f>"1800"</f>
        <v>1800</v>
      </c>
      <c r="D1025" s="14" t="str">
        <f>""</f>
        <v/>
      </c>
      <c r="E1025" s="14" t="s">
        <v>1162</v>
      </c>
      <c r="F1025" s="14" t="s">
        <v>1002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228</v>
      </c>
      <c r="P1025" s="14" t="s">
        <v>260</v>
      </c>
      <c r="Q1025" s="14" t="s">
        <v>260</v>
      </c>
      <c r="R1025" s="14" t="s">
        <v>229</v>
      </c>
    </row>
    <row r="1026" spans="1:18" s="14" customFormat="1" x14ac:dyDescent="0.25">
      <c r="A1026" s="14" t="str">
        <f>"83324"</f>
        <v>83324</v>
      </c>
      <c r="B1026" s="14" t="str">
        <f>"07010"</f>
        <v>07010</v>
      </c>
      <c r="C1026" s="14" t="str">
        <f>"1800"</f>
        <v>1800</v>
      </c>
      <c r="D1026" s="14" t="str">
        <f>""</f>
        <v/>
      </c>
      <c r="E1026" s="14" t="s">
        <v>1163</v>
      </c>
      <c r="F1026" s="14" t="s">
        <v>1002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228</v>
      </c>
      <c r="P1026" s="14" t="s">
        <v>260</v>
      </c>
      <c r="Q1026" s="14" t="s">
        <v>260</v>
      </c>
      <c r="R1026" s="14" t="s">
        <v>229</v>
      </c>
    </row>
    <row r="1027" spans="1:18" s="14" customFormat="1" x14ac:dyDescent="0.25">
      <c r="A1027" s="14" t="str">
        <f>"83326"</f>
        <v>83326</v>
      </c>
      <c r="B1027" s="14" t="str">
        <f>"07010"</f>
        <v>07010</v>
      </c>
      <c r="C1027" s="14" t="str">
        <f>"1800"</f>
        <v>1800</v>
      </c>
      <c r="D1027" s="14" t="str">
        <f>""</f>
        <v/>
      </c>
      <c r="E1027" s="14" t="s">
        <v>1164</v>
      </c>
      <c r="F1027" s="14" t="s">
        <v>1002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228</v>
      </c>
      <c r="P1027" s="14" t="s">
        <v>260</v>
      </c>
      <c r="Q1027" s="14" t="s">
        <v>260</v>
      </c>
      <c r="R1027" s="14" t="s">
        <v>229</v>
      </c>
    </row>
    <row r="1028" spans="1:18" s="14" customFormat="1" x14ac:dyDescent="0.25">
      <c r="A1028" s="14" t="str">
        <f>"83330"</f>
        <v>83330</v>
      </c>
      <c r="B1028" s="14" t="str">
        <f>"07010"</f>
        <v>07010</v>
      </c>
      <c r="C1028" s="14" t="str">
        <f>"1800"</f>
        <v>1800</v>
      </c>
      <c r="D1028" s="14" t="str">
        <f>""</f>
        <v/>
      </c>
      <c r="E1028" s="14" t="s">
        <v>1165</v>
      </c>
      <c r="F1028" s="14" t="s">
        <v>1002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228</v>
      </c>
      <c r="P1028" s="14" t="s">
        <v>260</v>
      </c>
      <c r="Q1028" s="14" t="s">
        <v>260</v>
      </c>
      <c r="R1028" s="14" t="s">
        <v>229</v>
      </c>
    </row>
    <row r="1029" spans="1:18" s="14" customFormat="1" x14ac:dyDescent="0.25">
      <c r="A1029" s="14" t="str">
        <f>"83332"</f>
        <v>83332</v>
      </c>
      <c r="B1029" s="14" t="str">
        <f>"07010"</f>
        <v>07010</v>
      </c>
      <c r="C1029" s="14" t="str">
        <f>"1800"</f>
        <v>1800</v>
      </c>
      <c r="D1029" s="14" t="str">
        <f>""</f>
        <v/>
      </c>
      <c r="E1029" s="14" t="s">
        <v>1166</v>
      </c>
      <c r="F1029" s="14" t="s">
        <v>1002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228</v>
      </c>
      <c r="P1029" s="14" t="s">
        <v>260</v>
      </c>
      <c r="Q1029" s="14" t="s">
        <v>260</v>
      </c>
      <c r="R1029" s="14" t="s">
        <v>229</v>
      </c>
    </row>
    <row r="1030" spans="1:18" s="14" customFormat="1" x14ac:dyDescent="0.25">
      <c r="A1030" s="14" t="str">
        <f>"83334"</f>
        <v>83334</v>
      </c>
      <c r="B1030" s="14" t="str">
        <f>"07010"</f>
        <v>07010</v>
      </c>
      <c r="C1030" s="14" t="str">
        <f>"1800"</f>
        <v>1800</v>
      </c>
      <c r="D1030" s="14" t="str">
        <f>""</f>
        <v/>
      </c>
      <c r="E1030" s="14" t="s">
        <v>1167</v>
      </c>
      <c r="F1030" s="14" t="s">
        <v>1002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228</v>
      </c>
      <c r="P1030" s="14" t="s">
        <v>260</v>
      </c>
      <c r="Q1030" s="14" t="s">
        <v>260</v>
      </c>
      <c r="R1030" s="14" t="s">
        <v>229</v>
      </c>
    </row>
    <row r="1031" spans="1:18" s="14" customFormat="1" x14ac:dyDescent="0.25">
      <c r="A1031" s="14" t="str">
        <f>"83335"</f>
        <v>83335</v>
      </c>
      <c r="B1031" s="14" t="str">
        <f>"07010"</f>
        <v>07010</v>
      </c>
      <c r="C1031" s="14" t="str">
        <f>"1800"</f>
        <v>1800</v>
      </c>
      <c r="D1031" s="14" t="str">
        <f>""</f>
        <v/>
      </c>
      <c r="E1031" s="14" t="s">
        <v>1168</v>
      </c>
      <c r="F1031" s="14" t="s">
        <v>1002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228</v>
      </c>
      <c r="P1031" s="14" t="s">
        <v>260</v>
      </c>
      <c r="Q1031" s="14" t="s">
        <v>260</v>
      </c>
      <c r="R1031" s="14" t="s">
        <v>229</v>
      </c>
    </row>
    <row r="1032" spans="1:18" s="14" customFormat="1" x14ac:dyDescent="0.25">
      <c r="A1032" s="14" t="str">
        <f>"83337"</f>
        <v>83337</v>
      </c>
      <c r="B1032" s="14" t="str">
        <f>"07010"</f>
        <v>07010</v>
      </c>
      <c r="C1032" s="14" t="str">
        <f>"1800"</f>
        <v>1800</v>
      </c>
      <c r="D1032" s="14" t="str">
        <f>""</f>
        <v/>
      </c>
      <c r="E1032" s="14" t="s">
        <v>1169</v>
      </c>
      <c r="F1032" s="14" t="s">
        <v>1002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228</v>
      </c>
      <c r="P1032" s="14" t="s">
        <v>260</v>
      </c>
      <c r="Q1032" s="14" t="s">
        <v>260</v>
      </c>
      <c r="R1032" s="14" t="s">
        <v>229</v>
      </c>
    </row>
    <row r="1033" spans="1:18" s="14" customFormat="1" x14ac:dyDescent="0.25">
      <c r="A1033" s="14" t="str">
        <f>"83339"</f>
        <v>83339</v>
      </c>
      <c r="B1033" s="14" t="str">
        <f>"07010"</f>
        <v>07010</v>
      </c>
      <c r="C1033" s="14" t="str">
        <f>"1800"</f>
        <v>1800</v>
      </c>
      <c r="D1033" s="14" t="str">
        <f>""</f>
        <v/>
      </c>
      <c r="E1033" s="14" t="s">
        <v>1170</v>
      </c>
      <c r="F1033" s="14" t="s">
        <v>1002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228</v>
      </c>
      <c r="P1033" s="14" t="s">
        <v>260</v>
      </c>
      <c r="Q1033" s="14" t="s">
        <v>260</v>
      </c>
      <c r="R1033" s="14" t="s">
        <v>229</v>
      </c>
    </row>
    <row r="1034" spans="1:18" s="14" customFormat="1" x14ac:dyDescent="0.25">
      <c r="A1034" s="14" t="str">
        <f>"83340"</f>
        <v>83340</v>
      </c>
      <c r="B1034" s="14" t="str">
        <f>"07010"</f>
        <v>07010</v>
      </c>
      <c r="C1034" s="14" t="str">
        <f>"1800"</f>
        <v>1800</v>
      </c>
      <c r="D1034" s="14" t="str">
        <f>""</f>
        <v/>
      </c>
      <c r="E1034" s="14" t="s">
        <v>1171</v>
      </c>
      <c r="F1034" s="14" t="s">
        <v>1002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228</v>
      </c>
      <c r="P1034" s="14" t="s">
        <v>260</v>
      </c>
      <c r="Q1034" s="14" t="s">
        <v>260</v>
      </c>
      <c r="R1034" s="14" t="s">
        <v>229</v>
      </c>
    </row>
    <row r="1035" spans="1:18" s="14" customFormat="1" x14ac:dyDescent="0.25">
      <c r="A1035" s="14" t="str">
        <f>"83343"</f>
        <v>83343</v>
      </c>
      <c r="B1035" s="14" t="str">
        <f>"07010"</f>
        <v>07010</v>
      </c>
      <c r="C1035" s="14" t="str">
        <f>"1800"</f>
        <v>1800</v>
      </c>
      <c r="D1035" s="14" t="str">
        <f>""</f>
        <v/>
      </c>
      <c r="E1035" s="14" t="s">
        <v>1172</v>
      </c>
      <c r="F1035" s="14" t="s">
        <v>1002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228</v>
      </c>
      <c r="P1035" s="14" t="s">
        <v>260</v>
      </c>
      <c r="Q1035" s="14" t="s">
        <v>260</v>
      </c>
      <c r="R1035" s="14" t="s">
        <v>229</v>
      </c>
    </row>
    <row r="1036" spans="1:18" s="14" customFormat="1" x14ac:dyDescent="0.25">
      <c r="A1036" s="14" t="str">
        <f>"83344"</f>
        <v>83344</v>
      </c>
      <c r="B1036" s="14" t="str">
        <f>"07010"</f>
        <v>07010</v>
      </c>
      <c r="C1036" s="14" t="str">
        <f>"1800"</f>
        <v>1800</v>
      </c>
      <c r="D1036" s="14" t="str">
        <f>""</f>
        <v/>
      </c>
      <c r="E1036" s="14" t="s">
        <v>1173</v>
      </c>
      <c r="F1036" s="14" t="s">
        <v>1002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228</v>
      </c>
      <c r="P1036" s="14" t="s">
        <v>260</v>
      </c>
      <c r="Q1036" s="14" t="s">
        <v>260</v>
      </c>
      <c r="R1036" s="14" t="s">
        <v>229</v>
      </c>
    </row>
    <row r="1037" spans="1:18" s="14" customFormat="1" x14ac:dyDescent="0.25">
      <c r="A1037" s="14" t="str">
        <f>"83345"</f>
        <v>83345</v>
      </c>
      <c r="B1037" s="14" t="str">
        <f>"07010"</f>
        <v>07010</v>
      </c>
      <c r="C1037" s="14" t="str">
        <f>"1800"</f>
        <v>1800</v>
      </c>
      <c r="D1037" s="14" t="str">
        <f>""</f>
        <v/>
      </c>
      <c r="E1037" s="14" t="s">
        <v>1174</v>
      </c>
      <c r="F1037" s="14" t="s">
        <v>1002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228</v>
      </c>
      <c r="P1037" s="14" t="s">
        <v>260</v>
      </c>
      <c r="Q1037" s="14" t="s">
        <v>260</v>
      </c>
      <c r="R1037" s="14" t="s">
        <v>229</v>
      </c>
    </row>
    <row r="1038" spans="1:18" s="14" customFormat="1" x14ac:dyDescent="0.25">
      <c r="A1038" s="14" t="str">
        <f>"83346"</f>
        <v>83346</v>
      </c>
      <c r="B1038" s="14" t="str">
        <f>"07010"</f>
        <v>07010</v>
      </c>
      <c r="C1038" s="14" t="str">
        <f>"1800"</f>
        <v>1800</v>
      </c>
      <c r="D1038" s="14" t="str">
        <f>""</f>
        <v/>
      </c>
      <c r="E1038" s="14" t="s">
        <v>1175</v>
      </c>
      <c r="F1038" s="14" t="s">
        <v>1002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228</v>
      </c>
      <c r="P1038" s="14" t="s">
        <v>260</v>
      </c>
      <c r="Q1038" s="14" t="s">
        <v>260</v>
      </c>
      <c r="R1038" s="14" t="s">
        <v>229</v>
      </c>
    </row>
    <row r="1039" spans="1:18" s="14" customFormat="1" x14ac:dyDescent="0.25">
      <c r="A1039" s="14" t="str">
        <f>"83351"</f>
        <v>83351</v>
      </c>
      <c r="B1039" s="14" t="str">
        <f>"07010"</f>
        <v>07010</v>
      </c>
      <c r="C1039" s="14" t="str">
        <f>"1800"</f>
        <v>1800</v>
      </c>
      <c r="D1039" s="14" t="str">
        <f>""</f>
        <v/>
      </c>
      <c r="E1039" s="14" t="s">
        <v>1176</v>
      </c>
      <c r="F1039" s="14" t="s">
        <v>1002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228</v>
      </c>
      <c r="P1039" s="14" t="s">
        <v>260</v>
      </c>
      <c r="Q1039" s="14" t="s">
        <v>260</v>
      </c>
      <c r="R1039" s="14" t="s">
        <v>229</v>
      </c>
    </row>
    <row r="1040" spans="1:18" s="14" customFormat="1" x14ac:dyDescent="0.25">
      <c r="A1040" s="14" t="str">
        <f>"83352"</f>
        <v>83352</v>
      </c>
      <c r="B1040" s="14" t="str">
        <f>"07010"</f>
        <v>07010</v>
      </c>
      <c r="C1040" s="14" t="str">
        <f>"1800"</f>
        <v>1800</v>
      </c>
      <c r="D1040" s="14" t="str">
        <f>""</f>
        <v/>
      </c>
      <c r="E1040" s="14" t="s">
        <v>1177</v>
      </c>
      <c r="F1040" s="14" t="s">
        <v>1002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228</v>
      </c>
      <c r="P1040" s="14" t="s">
        <v>260</v>
      </c>
      <c r="Q1040" s="14" t="s">
        <v>260</v>
      </c>
      <c r="R1040" s="14" t="s">
        <v>229</v>
      </c>
    </row>
    <row r="1041" spans="1:18" s="14" customFormat="1" x14ac:dyDescent="0.25">
      <c r="A1041" s="14" t="str">
        <f>"83353"</f>
        <v>83353</v>
      </c>
      <c r="B1041" s="14" t="str">
        <f>"07010"</f>
        <v>07010</v>
      </c>
      <c r="C1041" s="14" t="str">
        <f>"1800"</f>
        <v>1800</v>
      </c>
      <c r="D1041" s="14" t="str">
        <f>""</f>
        <v/>
      </c>
      <c r="E1041" s="14" t="s">
        <v>1178</v>
      </c>
      <c r="F1041" s="14" t="s">
        <v>1002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228</v>
      </c>
      <c r="P1041" s="14" t="s">
        <v>260</v>
      </c>
      <c r="Q1041" s="14" t="s">
        <v>260</v>
      </c>
      <c r="R1041" s="14" t="s">
        <v>229</v>
      </c>
    </row>
    <row r="1042" spans="1:18" s="14" customFormat="1" x14ac:dyDescent="0.25">
      <c r="A1042" s="14" t="str">
        <f>"83354"</f>
        <v>83354</v>
      </c>
      <c r="B1042" s="14" t="str">
        <f>"07010"</f>
        <v>07010</v>
      </c>
      <c r="C1042" s="14" t="str">
        <f>"1800"</f>
        <v>1800</v>
      </c>
      <c r="D1042" s="14" t="str">
        <f>""</f>
        <v/>
      </c>
      <c r="E1042" s="14" t="s">
        <v>1179</v>
      </c>
      <c r="F1042" s="14" t="s">
        <v>1002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228</v>
      </c>
      <c r="P1042" s="14" t="s">
        <v>260</v>
      </c>
      <c r="Q1042" s="14" t="s">
        <v>260</v>
      </c>
      <c r="R1042" s="14" t="s">
        <v>229</v>
      </c>
    </row>
    <row r="1043" spans="1:18" s="14" customFormat="1" x14ac:dyDescent="0.25">
      <c r="A1043" s="14" t="str">
        <f>"83355"</f>
        <v>83355</v>
      </c>
      <c r="B1043" s="14" t="str">
        <f>"07010"</f>
        <v>07010</v>
      </c>
      <c r="C1043" s="14" t="str">
        <f>"1800"</f>
        <v>1800</v>
      </c>
      <c r="D1043" s="14" t="str">
        <f>""</f>
        <v/>
      </c>
      <c r="E1043" s="14" t="s">
        <v>1180</v>
      </c>
      <c r="F1043" s="14" t="s">
        <v>1002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228</v>
      </c>
      <c r="P1043" s="14" t="s">
        <v>260</v>
      </c>
      <c r="Q1043" s="14" t="s">
        <v>260</v>
      </c>
      <c r="R1043" s="14" t="s">
        <v>229</v>
      </c>
    </row>
    <row r="1044" spans="1:18" s="14" customFormat="1" x14ac:dyDescent="0.25">
      <c r="A1044" s="14" t="str">
        <f>"83356"</f>
        <v>83356</v>
      </c>
      <c r="B1044" s="14" t="str">
        <f>"07010"</f>
        <v>07010</v>
      </c>
      <c r="C1044" s="14" t="str">
        <f>"1800"</f>
        <v>1800</v>
      </c>
      <c r="D1044" s="14" t="str">
        <f>""</f>
        <v/>
      </c>
      <c r="E1044" s="14" t="s">
        <v>1181</v>
      </c>
      <c r="F1044" s="14" t="s">
        <v>1002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228</v>
      </c>
      <c r="P1044" s="14" t="s">
        <v>260</v>
      </c>
      <c r="Q1044" s="14" t="s">
        <v>260</v>
      </c>
      <c r="R1044" s="14" t="s">
        <v>229</v>
      </c>
    </row>
    <row r="1045" spans="1:18" s="14" customFormat="1" x14ac:dyDescent="0.25">
      <c r="A1045" s="14" t="str">
        <f>"83357"</f>
        <v>83357</v>
      </c>
      <c r="B1045" s="14" t="str">
        <f>"07010"</f>
        <v>07010</v>
      </c>
      <c r="C1045" s="14" t="str">
        <f>"1800"</f>
        <v>1800</v>
      </c>
      <c r="D1045" s="14" t="str">
        <f>""</f>
        <v/>
      </c>
      <c r="E1045" s="14" t="s">
        <v>1182</v>
      </c>
      <c r="F1045" s="14" t="s">
        <v>1002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228</v>
      </c>
      <c r="P1045" s="14" t="s">
        <v>260</v>
      </c>
      <c r="Q1045" s="14" t="s">
        <v>260</v>
      </c>
      <c r="R1045" s="14" t="s">
        <v>229</v>
      </c>
    </row>
    <row r="1046" spans="1:18" s="14" customFormat="1" x14ac:dyDescent="0.25">
      <c r="A1046" s="14" t="str">
        <f>"83359"</f>
        <v>83359</v>
      </c>
      <c r="B1046" s="14" t="str">
        <f>"07010"</f>
        <v>07010</v>
      </c>
      <c r="C1046" s="14" t="str">
        <f>"1800"</f>
        <v>1800</v>
      </c>
      <c r="D1046" s="14" t="str">
        <f>""</f>
        <v/>
      </c>
      <c r="E1046" s="14" t="s">
        <v>1183</v>
      </c>
      <c r="F1046" s="14" t="s">
        <v>1002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228</v>
      </c>
      <c r="P1046" s="14" t="s">
        <v>260</v>
      </c>
      <c r="Q1046" s="14" t="s">
        <v>260</v>
      </c>
      <c r="R1046" s="14" t="s">
        <v>229</v>
      </c>
    </row>
    <row r="1047" spans="1:18" s="14" customFormat="1" x14ac:dyDescent="0.25">
      <c r="A1047" s="14" t="str">
        <f>"83360"</f>
        <v>83360</v>
      </c>
      <c r="B1047" s="14" t="str">
        <f>"07010"</f>
        <v>07010</v>
      </c>
      <c r="C1047" s="14" t="str">
        <f>"1800"</f>
        <v>1800</v>
      </c>
      <c r="D1047" s="14" t="str">
        <f>""</f>
        <v/>
      </c>
      <c r="E1047" s="14" t="s">
        <v>1184</v>
      </c>
      <c r="F1047" s="14" t="s">
        <v>1002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228</v>
      </c>
      <c r="P1047" s="14" t="s">
        <v>260</v>
      </c>
      <c r="Q1047" s="14" t="s">
        <v>260</v>
      </c>
      <c r="R1047" s="14" t="s">
        <v>229</v>
      </c>
    </row>
    <row r="1048" spans="1:18" s="14" customFormat="1" x14ac:dyDescent="0.25">
      <c r="A1048" s="14" t="str">
        <f>"83363"</f>
        <v>83363</v>
      </c>
      <c r="B1048" s="14" t="str">
        <f>"07010"</f>
        <v>07010</v>
      </c>
      <c r="C1048" s="14" t="str">
        <f>"1800"</f>
        <v>1800</v>
      </c>
      <c r="D1048" s="14" t="str">
        <f>""</f>
        <v/>
      </c>
      <c r="E1048" s="14" t="s">
        <v>1185</v>
      </c>
      <c r="F1048" s="14" t="s">
        <v>1002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228</v>
      </c>
      <c r="P1048" s="14" t="s">
        <v>260</v>
      </c>
      <c r="Q1048" s="14" t="s">
        <v>260</v>
      </c>
      <c r="R1048" s="14" t="s">
        <v>229</v>
      </c>
    </row>
    <row r="1049" spans="1:18" s="14" customFormat="1" x14ac:dyDescent="0.25">
      <c r="A1049" s="14" t="str">
        <f>"83364"</f>
        <v>83364</v>
      </c>
      <c r="B1049" s="14" t="str">
        <f>"07010"</f>
        <v>07010</v>
      </c>
      <c r="C1049" s="14" t="str">
        <f>"1800"</f>
        <v>1800</v>
      </c>
      <c r="D1049" s="14" t="str">
        <f>""</f>
        <v/>
      </c>
      <c r="E1049" s="14" t="s">
        <v>1186</v>
      </c>
      <c r="F1049" s="14" t="s">
        <v>1002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228</v>
      </c>
      <c r="P1049" s="14" t="s">
        <v>260</v>
      </c>
      <c r="Q1049" s="14" t="s">
        <v>260</v>
      </c>
      <c r="R1049" s="14" t="s">
        <v>229</v>
      </c>
    </row>
    <row r="1050" spans="1:18" s="14" customFormat="1" x14ac:dyDescent="0.25">
      <c r="A1050" s="14" t="str">
        <f>"83365"</f>
        <v>83365</v>
      </c>
      <c r="B1050" s="14" t="str">
        <f>"07010"</f>
        <v>07010</v>
      </c>
      <c r="C1050" s="14" t="str">
        <f>"1800"</f>
        <v>1800</v>
      </c>
      <c r="D1050" s="14" t="str">
        <f>""</f>
        <v/>
      </c>
      <c r="E1050" s="14" t="s">
        <v>1187</v>
      </c>
      <c r="F1050" s="14" t="s">
        <v>1002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228</v>
      </c>
      <c r="P1050" s="14" t="s">
        <v>260</v>
      </c>
      <c r="Q1050" s="14" t="s">
        <v>260</v>
      </c>
      <c r="R1050" s="14" t="s">
        <v>229</v>
      </c>
    </row>
    <row r="1051" spans="1:18" s="14" customFormat="1" x14ac:dyDescent="0.25">
      <c r="A1051" s="14" t="str">
        <f>"83367"</f>
        <v>83367</v>
      </c>
      <c r="B1051" s="14" t="str">
        <f>"07010"</f>
        <v>07010</v>
      </c>
      <c r="C1051" s="14" t="str">
        <f>"1800"</f>
        <v>1800</v>
      </c>
      <c r="D1051" s="14" t="str">
        <f>""</f>
        <v/>
      </c>
      <c r="E1051" s="14" t="s">
        <v>1188</v>
      </c>
      <c r="F1051" s="14" t="s">
        <v>1002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228</v>
      </c>
      <c r="P1051" s="14" t="s">
        <v>260</v>
      </c>
      <c r="Q1051" s="14" t="s">
        <v>260</v>
      </c>
      <c r="R1051" s="14" t="s">
        <v>229</v>
      </c>
    </row>
    <row r="1052" spans="1:18" s="14" customFormat="1" x14ac:dyDescent="0.25">
      <c r="A1052" s="14" t="str">
        <f>"83368"</f>
        <v>83368</v>
      </c>
      <c r="B1052" s="14" t="str">
        <f>"07010"</f>
        <v>07010</v>
      </c>
      <c r="C1052" s="14" t="str">
        <f>"1800"</f>
        <v>1800</v>
      </c>
      <c r="D1052" s="14" t="str">
        <f>""</f>
        <v/>
      </c>
      <c r="E1052" s="14" t="s">
        <v>1189</v>
      </c>
      <c r="F1052" s="14" t="s">
        <v>1002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228</v>
      </c>
      <c r="P1052" s="14" t="s">
        <v>260</v>
      </c>
      <c r="Q1052" s="14" t="s">
        <v>260</v>
      </c>
      <c r="R1052" s="14" t="s">
        <v>229</v>
      </c>
    </row>
    <row r="1053" spans="1:18" s="14" customFormat="1" x14ac:dyDescent="0.25">
      <c r="A1053" s="14" t="str">
        <f>"83369"</f>
        <v>83369</v>
      </c>
      <c r="B1053" s="14" t="str">
        <f>"07010"</f>
        <v>07010</v>
      </c>
      <c r="C1053" s="14" t="str">
        <f>"1800"</f>
        <v>1800</v>
      </c>
      <c r="D1053" s="14" t="str">
        <f>""</f>
        <v/>
      </c>
      <c r="E1053" s="14" t="s">
        <v>1190</v>
      </c>
      <c r="F1053" s="14" t="s">
        <v>1002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228</v>
      </c>
      <c r="P1053" s="14" t="s">
        <v>260</v>
      </c>
      <c r="Q1053" s="14" t="s">
        <v>260</v>
      </c>
      <c r="R1053" s="14" t="s">
        <v>229</v>
      </c>
    </row>
    <row r="1054" spans="1:18" s="14" customFormat="1" x14ac:dyDescent="0.25">
      <c r="A1054" s="14" t="str">
        <f>"83370"</f>
        <v>83370</v>
      </c>
      <c r="B1054" s="14" t="str">
        <f>"07010"</f>
        <v>07010</v>
      </c>
      <c r="C1054" s="14" t="str">
        <f>"1800"</f>
        <v>1800</v>
      </c>
      <c r="D1054" s="14" t="str">
        <f>""</f>
        <v/>
      </c>
      <c r="E1054" s="14" t="s">
        <v>1191</v>
      </c>
      <c r="F1054" s="14" t="s">
        <v>1002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228</v>
      </c>
      <c r="P1054" s="14" t="s">
        <v>260</v>
      </c>
      <c r="Q1054" s="14" t="s">
        <v>260</v>
      </c>
      <c r="R1054" s="14" t="s">
        <v>229</v>
      </c>
    </row>
    <row r="1055" spans="1:18" s="14" customFormat="1" x14ac:dyDescent="0.25">
      <c r="A1055" s="14" t="str">
        <f>"83371"</f>
        <v>83371</v>
      </c>
      <c r="B1055" s="14" t="str">
        <f>"07010"</f>
        <v>07010</v>
      </c>
      <c r="C1055" s="14" t="str">
        <f>"1800"</f>
        <v>1800</v>
      </c>
      <c r="D1055" s="14" t="str">
        <f>""</f>
        <v/>
      </c>
      <c r="E1055" s="14" t="s">
        <v>1192</v>
      </c>
      <c r="F1055" s="14" t="s">
        <v>1002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228</v>
      </c>
      <c r="P1055" s="14" t="s">
        <v>260</v>
      </c>
      <c r="Q1055" s="14" t="s">
        <v>260</v>
      </c>
      <c r="R1055" s="14" t="s">
        <v>229</v>
      </c>
    </row>
    <row r="1056" spans="1:18" s="14" customFormat="1" x14ac:dyDescent="0.25">
      <c r="A1056" s="14" t="str">
        <f>"83372"</f>
        <v>83372</v>
      </c>
      <c r="B1056" s="14" t="str">
        <f>"07010"</f>
        <v>07010</v>
      </c>
      <c r="C1056" s="14" t="str">
        <f>"1800"</f>
        <v>1800</v>
      </c>
      <c r="D1056" s="14" t="str">
        <f>""</f>
        <v/>
      </c>
      <c r="E1056" s="14" t="s">
        <v>1193</v>
      </c>
      <c r="F1056" s="14" t="s">
        <v>1002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228</v>
      </c>
      <c r="P1056" s="14" t="s">
        <v>260</v>
      </c>
      <c r="Q1056" s="14" t="s">
        <v>260</v>
      </c>
      <c r="R1056" s="14" t="s">
        <v>229</v>
      </c>
    </row>
    <row r="1057" spans="1:18" s="14" customFormat="1" x14ac:dyDescent="0.25">
      <c r="A1057" s="14" t="str">
        <f>"83373"</f>
        <v>83373</v>
      </c>
      <c r="B1057" s="14" t="str">
        <f>"07010"</f>
        <v>07010</v>
      </c>
      <c r="C1057" s="14" t="str">
        <f>"1800"</f>
        <v>1800</v>
      </c>
      <c r="D1057" s="14" t="str">
        <f>""</f>
        <v/>
      </c>
      <c r="E1057" s="14" t="s">
        <v>1194</v>
      </c>
      <c r="F1057" s="14" t="s">
        <v>1002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228</v>
      </c>
      <c r="P1057" s="14" t="s">
        <v>260</v>
      </c>
      <c r="Q1057" s="14" t="s">
        <v>260</v>
      </c>
      <c r="R1057" s="14" t="s">
        <v>229</v>
      </c>
    </row>
    <row r="1058" spans="1:18" s="14" customFormat="1" x14ac:dyDescent="0.25">
      <c r="A1058" s="14" t="str">
        <f>"83374"</f>
        <v>83374</v>
      </c>
      <c r="B1058" s="14" t="str">
        <f>"07010"</f>
        <v>07010</v>
      </c>
      <c r="C1058" s="14" t="str">
        <f>"1800"</f>
        <v>1800</v>
      </c>
      <c r="D1058" s="14" t="str">
        <f>""</f>
        <v/>
      </c>
      <c r="E1058" s="14" t="s">
        <v>1195</v>
      </c>
      <c r="F1058" s="14" t="s">
        <v>1002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228</v>
      </c>
      <c r="P1058" s="14" t="s">
        <v>260</v>
      </c>
      <c r="Q1058" s="14" t="s">
        <v>260</v>
      </c>
      <c r="R1058" s="14" t="s">
        <v>229</v>
      </c>
    </row>
    <row r="1059" spans="1:18" s="14" customFormat="1" x14ac:dyDescent="0.25">
      <c r="A1059" s="14" t="str">
        <f>"83375"</f>
        <v>83375</v>
      </c>
      <c r="B1059" s="14" t="str">
        <f>"07010"</f>
        <v>07010</v>
      </c>
      <c r="C1059" s="14" t="str">
        <f>"1800"</f>
        <v>1800</v>
      </c>
      <c r="D1059" s="14" t="str">
        <f>""</f>
        <v/>
      </c>
      <c r="E1059" s="14" t="s">
        <v>1196</v>
      </c>
      <c r="F1059" s="14" t="s">
        <v>1002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228</v>
      </c>
      <c r="P1059" s="14" t="s">
        <v>260</v>
      </c>
      <c r="Q1059" s="14" t="s">
        <v>260</v>
      </c>
      <c r="R1059" s="14" t="s">
        <v>229</v>
      </c>
    </row>
    <row r="1060" spans="1:18" s="14" customFormat="1" x14ac:dyDescent="0.25">
      <c r="A1060" s="14" t="str">
        <f>"83376"</f>
        <v>83376</v>
      </c>
      <c r="B1060" s="14" t="str">
        <f>"07010"</f>
        <v>07010</v>
      </c>
      <c r="C1060" s="14" t="str">
        <f>"1800"</f>
        <v>1800</v>
      </c>
      <c r="D1060" s="14" t="str">
        <f>""</f>
        <v/>
      </c>
      <c r="E1060" s="14" t="s">
        <v>1197</v>
      </c>
      <c r="F1060" s="14" t="s">
        <v>1002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228</v>
      </c>
      <c r="P1060" s="14" t="s">
        <v>260</v>
      </c>
      <c r="Q1060" s="14" t="s">
        <v>260</v>
      </c>
      <c r="R1060" s="14" t="s">
        <v>229</v>
      </c>
    </row>
    <row r="1061" spans="1:18" s="14" customFormat="1" x14ac:dyDescent="0.25">
      <c r="A1061" s="14" t="str">
        <f>"83378"</f>
        <v>83378</v>
      </c>
      <c r="B1061" s="14" t="str">
        <f>"07010"</f>
        <v>07010</v>
      </c>
      <c r="C1061" s="14" t="str">
        <f>"1800"</f>
        <v>1800</v>
      </c>
      <c r="D1061" s="14" t="str">
        <f>""</f>
        <v/>
      </c>
      <c r="E1061" s="14" t="s">
        <v>1198</v>
      </c>
      <c r="F1061" s="14" t="s">
        <v>1002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228</v>
      </c>
      <c r="P1061" s="14" t="s">
        <v>260</v>
      </c>
      <c r="Q1061" s="14" t="s">
        <v>260</v>
      </c>
      <c r="R1061" s="14" t="s">
        <v>229</v>
      </c>
    </row>
    <row r="1062" spans="1:18" s="14" customFormat="1" x14ac:dyDescent="0.25">
      <c r="A1062" s="14" t="str">
        <f>"83379"</f>
        <v>83379</v>
      </c>
      <c r="B1062" s="14" t="str">
        <f>"07010"</f>
        <v>07010</v>
      </c>
      <c r="C1062" s="14" t="str">
        <f>"1800"</f>
        <v>1800</v>
      </c>
      <c r="D1062" s="14" t="str">
        <f>""</f>
        <v/>
      </c>
      <c r="E1062" s="14" t="s">
        <v>1199</v>
      </c>
      <c r="F1062" s="14" t="s">
        <v>1002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228</v>
      </c>
      <c r="P1062" s="14" t="s">
        <v>260</v>
      </c>
      <c r="Q1062" s="14" t="s">
        <v>260</v>
      </c>
      <c r="R1062" s="14" t="s">
        <v>229</v>
      </c>
    </row>
    <row r="1063" spans="1:18" s="14" customFormat="1" x14ac:dyDescent="0.25">
      <c r="A1063" s="14" t="str">
        <f>"83380"</f>
        <v>83380</v>
      </c>
      <c r="B1063" s="14" t="str">
        <f>"07010"</f>
        <v>07010</v>
      </c>
      <c r="C1063" s="14" t="str">
        <f>"1800"</f>
        <v>1800</v>
      </c>
      <c r="D1063" s="14" t="str">
        <f>""</f>
        <v/>
      </c>
      <c r="E1063" s="14" t="s">
        <v>1200</v>
      </c>
      <c r="F1063" s="14" t="s">
        <v>1002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228</v>
      </c>
      <c r="P1063" s="14" t="s">
        <v>260</v>
      </c>
      <c r="Q1063" s="14" t="s">
        <v>260</v>
      </c>
      <c r="R1063" s="14" t="s">
        <v>229</v>
      </c>
    </row>
    <row r="1064" spans="1:18" s="14" customFormat="1" x14ac:dyDescent="0.25">
      <c r="A1064" s="14" t="str">
        <f>"83381"</f>
        <v>83381</v>
      </c>
      <c r="B1064" s="14" t="str">
        <f>"07010"</f>
        <v>07010</v>
      </c>
      <c r="C1064" s="14" t="str">
        <f>"1800"</f>
        <v>1800</v>
      </c>
      <c r="D1064" s="14" t="str">
        <f>""</f>
        <v/>
      </c>
      <c r="E1064" s="14" t="s">
        <v>1201</v>
      </c>
      <c r="F1064" s="14" t="s">
        <v>1002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228</v>
      </c>
      <c r="P1064" s="14" t="s">
        <v>260</v>
      </c>
      <c r="Q1064" s="14" t="s">
        <v>260</v>
      </c>
      <c r="R1064" s="14" t="s">
        <v>229</v>
      </c>
    </row>
    <row r="1065" spans="1:18" s="14" customFormat="1" x14ac:dyDescent="0.25">
      <c r="A1065" s="14" t="str">
        <f>"83383"</f>
        <v>83383</v>
      </c>
      <c r="B1065" s="14" t="str">
        <f>"07010"</f>
        <v>07010</v>
      </c>
      <c r="C1065" s="14" t="str">
        <f>"1800"</f>
        <v>1800</v>
      </c>
      <c r="D1065" s="14" t="str">
        <f>""</f>
        <v/>
      </c>
      <c r="E1065" s="14" t="s">
        <v>1202</v>
      </c>
      <c r="F1065" s="14" t="s">
        <v>1002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228</v>
      </c>
      <c r="P1065" s="14" t="s">
        <v>260</v>
      </c>
      <c r="Q1065" s="14" t="s">
        <v>260</v>
      </c>
      <c r="R1065" s="14" t="s">
        <v>229</v>
      </c>
    </row>
    <row r="1066" spans="1:18" s="14" customFormat="1" x14ac:dyDescent="0.25">
      <c r="A1066" s="14" t="str">
        <f>"83384"</f>
        <v>83384</v>
      </c>
      <c r="B1066" s="14" t="str">
        <f>"07010"</f>
        <v>07010</v>
      </c>
      <c r="C1066" s="14" t="str">
        <f>"1800"</f>
        <v>1800</v>
      </c>
      <c r="D1066" s="14" t="str">
        <f>""</f>
        <v/>
      </c>
      <c r="E1066" s="14" t="s">
        <v>1203</v>
      </c>
      <c r="F1066" s="14" t="s">
        <v>1002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228</v>
      </c>
      <c r="P1066" s="14" t="s">
        <v>260</v>
      </c>
      <c r="Q1066" s="14" t="s">
        <v>260</v>
      </c>
      <c r="R1066" s="14" t="s">
        <v>229</v>
      </c>
    </row>
    <row r="1067" spans="1:18" s="14" customFormat="1" x14ac:dyDescent="0.25">
      <c r="A1067" s="14" t="str">
        <f>"83385"</f>
        <v>83385</v>
      </c>
      <c r="B1067" s="14" t="str">
        <f>"07010"</f>
        <v>07010</v>
      </c>
      <c r="C1067" s="14" t="str">
        <f>"1800"</f>
        <v>1800</v>
      </c>
      <c r="D1067" s="14" t="str">
        <f>""</f>
        <v/>
      </c>
      <c r="E1067" s="14" t="s">
        <v>1204</v>
      </c>
      <c r="F1067" s="14" t="s">
        <v>1002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228</v>
      </c>
      <c r="P1067" s="14" t="s">
        <v>260</v>
      </c>
      <c r="Q1067" s="14" t="s">
        <v>260</v>
      </c>
      <c r="R1067" s="14" t="s">
        <v>229</v>
      </c>
    </row>
    <row r="1068" spans="1:18" s="14" customFormat="1" x14ac:dyDescent="0.25">
      <c r="A1068" s="14" t="str">
        <f>"83388"</f>
        <v>83388</v>
      </c>
      <c r="B1068" s="14" t="str">
        <f>"07010"</f>
        <v>07010</v>
      </c>
      <c r="C1068" s="14" t="str">
        <f>"1800"</f>
        <v>1800</v>
      </c>
      <c r="D1068" s="14" t="str">
        <f>""</f>
        <v/>
      </c>
      <c r="E1068" s="14" t="s">
        <v>1205</v>
      </c>
      <c r="F1068" s="14" t="s">
        <v>1002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228</v>
      </c>
      <c r="P1068" s="14" t="s">
        <v>260</v>
      </c>
      <c r="Q1068" s="14" t="s">
        <v>260</v>
      </c>
      <c r="R1068" s="14" t="s">
        <v>229</v>
      </c>
    </row>
    <row r="1069" spans="1:18" s="14" customFormat="1" x14ac:dyDescent="0.25">
      <c r="A1069" s="14" t="str">
        <f>"83391"</f>
        <v>83391</v>
      </c>
      <c r="B1069" s="14" t="str">
        <f>"07010"</f>
        <v>07010</v>
      </c>
      <c r="C1069" s="14" t="str">
        <f>"1800"</f>
        <v>1800</v>
      </c>
      <c r="D1069" s="14" t="str">
        <f>""</f>
        <v/>
      </c>
      <c r="E1069" s="14" t="s">
        <v>1206</v>
      </c>
      <c r="F1069" s="14" t="s">
        <v>1002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228</v>
      </c>
      <c r="P1069" s="14" t="s">
        <v>260</v>
      </c>
      <c r="Q1069" s="14" t="s">
        <v>260</v>
      </c>
      <c r="R1069" s="14" t="s">
        <v>229</v>
      </c>
    </row>
    <row r="1070" spans="1:18" s="14" customFormat="1" x14ac:dyDescent="0.25">
      <c r="A1070" s="14" t="str">
        <f>"83392"</f>
        <v>83392</v>
      </c>
      <c r="B1070" s="14" t="str">
        <f>"07010"</f>
        <v>07010</v>
      </c>
      <c r="C1070" s="14" t="str">
        <f>"1800"</f>
        <v>1800</v>
      </c>
      <c r="D1070" s="14" t="str">
        <f>""</f>
        <v/>
      </c>
      <c r="E1070" s="14" t="s">
        <v>1207</v>
      </c>
      <c r="F1070" s="14" t="s">
        <v>1002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228</v>
      </c>
      <c r="P1070" s="14" t="s">
        <v>260</v>
      </c>
      <c r="Q1070" s="14" t="s">
        <v>260</v>
      </c>
      <c r="R1070" s="14" t="s">
        <v>229</v>
      </c>
    </row>
    <row r="1071" spans="1:18" s="14" customFormat="1" x14ac:dyDescent="0.25">
      <c r="A1071" s="14" t="str">
        <f>"83393"</f>
        <v>83393</v>
      </c>
      <c r="B1071" s="14" t="str">
        <f>"07010"</f>
        <v>07010</v>
      </c>
      <c r="C1071" s="14" t="str">
        <f>"1800"</f>
        <v>1800</v>
      </c>
      <c r="D1071" s="14" t="str">
        <f>""</f>
        <v/>
      </c>
      <c r="E1071" s="14" t="s">
        <v>1208</v>
      </c>
      <c r="F1071" s="14" t="s">
        <v>1002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228</v>
      </c>
      <c r="P1071" s="14" t="s">
        <v>260</v>
      </c>
      <c r="Q1071" s="14" t="s">
        <v>260</v>
      </c>
      <c r="R1071" s="14" t="s">
        <v>229</v>
      </c>
    </row>
    <row r="1072" spans="1:18" s="14" customFormat="1" x14ac:dyDescent="0.25">
      <c r="A1072" s="14" t="str">
        <f>"83394"</f>
        <v>83394</v>
      </c>
      <c r="B1072" s="14" t="str">
        <f>"07010"</f>
        <v>07010</v>
      </c>
      <c r="C1072" s="14" t="str">
        <f>"1800"</f>
        <v>1800</v>
      </c>
      <c r="D1072" s="14" t="str">
        <f>""</f>
        <v/>
      </c>
      <c r="E1072" s="14" t="s">
        <v>1209</v>
      </c>
      <c r="F1072" s="14" t="s">
        <v>1002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228</v>
      </c>
      <c r="P1072" s="14" t="s">
        <v>260</v>
      </c>
      <c r="Q1072" s="14" t="s">
        <v>260</v>
      </c>
      <c r="R1072" s="14" t="s">
        <v>229</v>
      </c>
    </row>
    <row r="1073" spans="1:18" s="14" customFormat="1" x14ac:dyDescent="0.25">
      <c r="A1073" s="14" t="str">
        <f>"83395"</f>
        <v>83395</v>
      </c>
      <c r="B1073" s="14" t="str">
        <f>"07010"</f>
        <v>07010</v>
      </c>
      <c r="C1073" s="14" t="str">
        <f>"1800"</f>
        <v>1800</v>
      </c>
      <c r="D1073" s="14" t="str">
        <f>""</f>
        <v/>
      </c>
      <c r="E1073" s="14" t="s">
        <v>1210</v>
      </c>
      <c r="F1073" s="14" t="s">
        <v>1002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228</v>
      </c>
      <c r="P1073" s="14" t="s">
        <v>260</v>
      </c>
      <c r="Q1073" s="14" t="s">
        <v>260</v>
      </c>
      <c r="R1073" s="14" t="s">
        <v>229</v>
      </c>
    </row>
    <row r="1074" spans="1:18" s="14" customFormat="1" x14ac:dyDescent="0.25">
      <c r="A1074" s="14" t="str">
        <f>"83396"</f>
        <v>83396</v>
      </c>
      <c r="B1074" s="14" t="str">
        <f>"07010"</f>
        <v>07010</v>
      </c>
      <c r="C1074" s="14" t="str">
        <f>"1800"</f>
        <v>1800</v>
      </c>
      <c r="D1074" s="14" t="str">
        <f>""</f>
        <v/>
      </c>
      <c r="E1074" s="14" t="s">
        <v>1211</v>
      </c>
      <c r="F1074" s="14" t="s">
        <v>1002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228</v>
      </c>
      <c r="P1074" s="14" t="s">
        <v>260</v>
      </c>
      <c r="Q1074" s="14" t="s">
        <v>260</v>
      </c>
      <c r="R1074" s="14" t="s">
        <v>229</v>
      </c>
    </row>
    <row r="1075" spans="1:18" s="14" customFormat="1" x14ac:dyDescent="0.25">
      <c r="A1075" s="14" t="str">
        <f>"83397"</f>
        <v>83397</v>
      </c>
      <c r="B1075" s="14" t="str">
        <f>"07010"</f>
        <v>07010</v>
      </c>
      <c r="C1075" s="14" t="str">
        <f>"1800"</f>
        <v>1800</v>
      </c>
      <c r="D1075" s="14" t="str">
        <f>""</f>
        <v/>
      </c>
      <c r="E1075" s="14" t="s">
        <v>1212</v>
      </c>
      <c r="F1075" s="14" t="s">
        <v>1002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228</v>
      </c>
      <c r="P1075" s="14" t="s">
        <v>260</v>
      </c>
      <c r="Q1075" s="14" t="s">
        <v>260</v>
      </c>
      <c r="R1075" s="14" t="s">
        <v>229</v>
      </c>
    </row>
    <row r="1076" spans="1:18" s="14" customFormat="1" x14ac:dyDescent="0.25">
      <c r="A1076" s="14" t="str">
        <f>"83398"</f>
        <v>83398</v>
      </c>
      <c r="B1076" s="14" t="str">
        <f>"07010"</f>
        <v>07010</v>
      </c>
      <c r="C1076" s="14" t="str">
        <f>"1800"</f>
        <v>1800</v>
      </c>
      <c r="D1076" s="14" t="str">
        <f>""</f>
        <v/>
      </c>
      <c r="E1076" s="14" t="s">
        <v>1213</v>
      </c>
      <c r="F1076" s="14" t="s">
        <v>1002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228</v>
      </c>
      <c r="P1076" s="14" t="s">
        <v>260</v>
      </c>
      <c r="Q1076" s="14" t="s">
        <v>260</v>
      </c>
      <c r="R1076" s="14" t="s">
        <v>229</v>
      </c>
    </row>
    <row r="1077" spans="1:18" s="14" customFormat="1" x14ac:dyDescent="0.25">
      <c r="A1077" s="14" t="str">
        <f>"83399"</f>
        <v>83399</v>
      </c>
      <c r="B1077" s="14" t="str">
        <f>"07010"</f>
        <v>07010</v>
      </c>
      <c r="C1077" s="14" t="str">
        <f>"1800"</f>
        <v>1800</v>
      </c>
      <c r="D1077" s="14" t="str">
        <f>""</f>
        <v/>
      </c>
      <c r="E1077" s="14" t="s">
        <v>1214</v>
      </c>
      <c r="F1077" s="14" t="s">
        <v>1002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228</v>
      </c>
      <c r="P1077" s="14" t="s">
        <v>260</v>
      </c>
      <c r="Q1077" s="14" t="s">
        <v>260</v>
      </c>
      <c r="R1077" s="14" t="s">
        <v>229</v>
      </c>
    </row>
    <row r="1078" spans="1:18" s="14" customFormat="1" x14ac:dyDescent="0.25">
      <c r="A1078" s="14" t="str">
        <f>"83401"</f>
        <v>83401</v>
      </c>
      <c r="B1078" s="14" t="str">
        <f>"07010"</f>
        <v>07010</v>
      </c>
      <c r="C1078" s="14" t="str">
        <f>"1800"</f>
        <v>1800</v>
      </c>
      <c r="D1078" s="14" t="str">
        <f>""</f>
        <v/>
      </c>
      <c r="E1078" s="14" t="s">
        <v>1215</v>
      </c>
      <c r="F1078" s="14" t="s">
        <v>1002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228</v>
      </c>
      <c r="P1078" s="14" t="s">
        <v>260</v>
      </c>
      <c r="Q1078" s="14" t="s">
        <v>260</v>
      </c>
      <c r="R1078" s="14" t="s">
        <v>229</v>
      </c>
    </row>
    <row r="1079" spans="1:18" s="14" customFormat="1" x14ac:dyDescent="0.25">
      <c r="A1079" s="14" t="str">
        <f>"83402"</f>
        <v>83402</v>
      </c>
      <c r="B1079" s="14" t="str">
        <f>"07010"</f>
        <v>07010</v>
      </c>
      <c r="C1079" s="14" t="str">
        <f>"1800"</f>
        <v>1800</v>
      </c>
      <c r="D1079" s="14" t="str">
        <f>""</f>
        <v/>
      </c>
      <c r="E1079" s="14" t="s">
        <v>1216</v>
      </c>
      <c r="F1079" s="14" t="s">
        <v>1002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228</v>
      </c>
      <c r="P1079" s="14" t="s">
        <v>260</v>
      </c>
      <c r="Q1079" s="14" t="s">
        <v>260</v>
      </c>
      <c r="R1079" s="14" t="s">
        <v>229</v>
      </c>
    </row>
    <row r="1080" spans="1:18" s="14" customFormat="1" x14ac:dyDescent="0.25">
      <c r="A1080" s="14" t="str">
        <f>"83403"</f>
        <v>83403</v>
      </c>
      <c r="B1080" s="14" t="str">
        <f>"07010"</f>
        <v>07010</v>
      </c>
      <c r="C1080" s="14" t="str">
        <f>"1800"</f>
        <v>1800</v>
      </c>
      <c r="D1080" s="14" t="str">
        <f>""</f>
        <v/>
      </c>
      <c r="E1080" s="14" t="s">
        <v>1217</v>
      </c>
      <c r="F1080" s="14" t="s">
        <v>1002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228</v>
      </c>
      <c r="P1080" s="14" t="s">
        <v>260</v>
      </c>
      <c r="Q1080" s="14" t="s">
        <v>260</v>
      </c>
      <c r="R1080" s="14" t="s">
        <v>229</v>
      </c>
    </row>
    <row r="1081" spans="1:18" s="14" customFormat="1" x14ac:dyDescent="0.25">
      <c r="A1081" s="14" t="str">
        <f>"83404"</f>
        <v>83404</v>
      </c>
      <c r="B1081" s="14" t="str">
        <f>"07010"</f>
        <v>07010</v>
      </c>
      <c r="C1081" s="14" t="str">
        <f>"1800"</f>
        <v>1800</v>
      </c>
      <c r="D1081" s="14" t="str">
        <f>""</f>
        <v/>
      </c>
      <c r="E1081" s="14" t="s">
        <v>1218</v>
      </c>
      <c r="F1081" s="14" t="s">
        <v>1002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228</v>
      </c>
      <c r="P1081" s="14" t="s">
        <v>260</v>
      </c>
      <c r="Q1081" s="14" t="s">
        <v>260</v>
      </c>
      <c r="R1081" s="14" t="s">
        <v>229</v>
      </c>
    </row>
    <row r="1082" spans="1:18" s="14" customFormat="1" x14ac:dyDescent="0.25">
      <c r="A1082" s="14" t="str">
        <f>"83405"</f>
        <v>83405</v>
      </c>
      <c r="B1082" s="14" t="str">
        <f>"07010"</f>
        <v>07010</v>
      </c>
      <c r="C1082" s="14" t="str">
        <f>"1800"</f>
        <v>1800</v>
      </c>
      <c r="D1082" s="14" t="str">
        <f>""</f>
        <v/>
      </c>
      <c r="E1082" s="14" t="s">
        <v>1219</v>
      </c>
      <c r="F1082" s="14" t="s">
        <v>1002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228</v>
      </c>
      <c r="P1082" s="14" t="s">
        <v>260</v>
      </c>
      <c r="Q1082" s="14" t="s">
        <v>260</v>
      </c>
      <c r="R1082" s="14" t="s">
        <v>229</v>
      </c>
    </row>
    <row r="1083" spans="1:18" s="14" customFormat="1" x14ac:dyDescent="0.25">
      <c r="A1083" s="14" t="str">
        <f>"83406"</f>
        <v>83406</v>
      </c>
      <c r="B1083" s="14" t="str">
        <f>"07010"</f>
        <v>07010</v>
      </c>
      <c r="C1083" s="14" t="str">
        <f>"1800"</f>
        <v>1800</v>
      </c>
      <c r="D1083" s="14" t="str">
        <f>""</f>
        <v/>
      </c>
      <c r="E1083" s="14" t="s">
        <v>1220</v>
      </c>
      <c r="F1083" s="14" t="s">
        <v>1002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228</v>
      </c>
      <c r="P1083" s="14" t="s">
        <v>260</v>
      </c>
      <c r="Q1083" s="14" t="s">
        <v>260</v>
      </c>
      <c r="R1083" s="14" t="s">
        <v>229</v>
      </c>
    </row>
    <row r="1084" spans="1:18" s="14" customFormat="1" x14ac:dyDescent="0.25">
      <c r="A1084" s="14" t="str">
        <f>"83407"</f>
        <v>83407</v>
      </c>
      <c r="B1084" s="14" t="str">
        <f>"07010"</f>
        <v>07010</v>
      </c>
      <c r="C1084" s="14" t="str">
        <f>"1800"</f>
        <v>1800</v>
      </c>
      <c r="D1084" s="14" t="str">
        <f>""</f>
        <v/>
      </c>
      <c r="E1084" s="14" t="s">
        <v>1221</v>
      </c>
      <c r="F1084" s="14" t="s">
        <v>1002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228</v>
      </c>
      <c r="P1084" s="14" t="s">
        <v>260</v>
      </c>
      <c r="Q1084" s="14" t="s">
        <v>260</v>
      </c>
      <c r="R1084" s="14" t="s">
        <v>229</v>
      </c>
    </row>
    <row r="1085" spans="1:18" s="14" customFormat="1" x14ac:dyDescent="0.25">
      <c r="A1085" s="14" t="str">
        <f>"83408"</f>
        <v>83408</v>
      </c>
      <c r="B1085" s="14" t="str">
        <f>"07010"</f>
        <v>07010</v>
      </c>
      <c r="C1085" s="14" t="str">
        <f>"1800"</f>
        <v>1800</v>
      </c>
      <c r="D1085" s="14" t="str">
        <f>""</f>
        <v/>
      </c>
      <c r="E1085" s="14" t="s">
        <v>1222</v>
      </c>
      <c r="F1085" s="14" t="s">
        <v>1002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228</v>
      </c>
      <c r="P1085" s="14" t="s">
        <v>260</v>
      </c>
      <c r="Q1085" s="14" t="s">
        <v>260</v>
      </c>
      <c r="R1085" s="14" t="s">
        <v>229</v>
      </c>
    </row>
    <row r="1086" spans="1:18" s="14" customFormat="1" x14ac:dyDescent="0.25">
      <c r="A1086" s="14" t="str">
        <f>"83409"</f>
        <v>83409</v>
      </c>
      <c r="B1086" s="14" t="str">
        <f>"07010"</f>
        <v>07010</v>
      </c>
      <c r="C1086" s="14" t="str">
        <f>"1800"</f>
        <v>1800</v>
      </c>
      <c r="D1086" s="14" t="str">
        <f>""</f>
        <v/>
      </c>
      <c r="E1086" s="14" t="s">
        <v>1223</v>
      </c>
      <c r="F1086" s="14" t="s">
        <v>1002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228</v>
      </c>
      <c r="P1086" s="14" t="s">
        <v>260</v>
      </c>
      <c r="Q1086" s="14" t="s">
        <v>260</v>
      </c>
      <c r="R1086" s="14" t="s">
        <v>229</v>
      </c>
    </row>
    <row r="1087" spans="1:18" s="14" customFormat="1" x14ac:dyDescent="0.25">
      <c r="A1087" s="14" t="str">
        <f>"83410"</f>
        <v>83410</v>
      </c>
      <c r="B1087" s="14" t="str">
        <f>"07010"</f>
        <v>07010</v>
      </c>
      <c r="C1087" s="14" t="str">
        <f>"1800"</f>
        <v>1800</v>
      </c>
      <c r="D1087" s="14" t="str">
        <f>""</f>
        <v/>
      </c>
      <c r="E1087" s="14" t="s">
        <v>1224</v>
      </c>
      <c r="F1087" s="14" t="s">
        <v>1002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228</v>
      </c>
      <c r="P1087" s="14" t="s">
        <v>260</v>
      </c>
      <c r="Q1087" s="14" t="s">
        <v>260</v>
      </c>
      <c r="R1087" s="14" t="s">
        <v>229</v>
      </c>
    </row>
    <row r="1088" spans="1:18" s="14" customFormat="1" x14ac:dyDescent="0.25">
      <c r="A1088" s="14" t="str">
        <f>"83411"</f>
        <v>83411</v>
      </c>
      <c r="B1088" s="14" t="str">
        <f>"07010"</f>
        <v>07010</v>
      </c>
      <c r="C1088" s="14" t="str">
        <f>"1800"</f>
        <v>1800</v>
      </c>
      <c r="D1088" s="14" t="str">
        <f>""</f>
        <v/>
      </c>
      <c r="E1088" s="14" t="s">
        <v>1225</v>
      </c>
      <c r="F1088" s="14" t="s">
        <v>1002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228</v>
      </c>
      <c r="P1088" s="14" t="s">
        <v>260</v>
      </c>
      <c r="Q1088" s="14" t="s">
        <v>260</v>
      </c>
      <c r="R1088" s="14" t="s">
        <v>229</v>
      </c>
    </row>
    <row r="1089" spans="1:18" s="14" customFormat="1" x14ac:dyDescent="0.25">
      <c r="A1089" s="14" t="str">
        <f>"83414"</f>
        <v>83414</v>
      </c>
      <c r="B1089" s="14" t="str">
        <f>"07010"</f>
        <v>07010</v>
      </c>
      <c r="C1089" s="14" t="str">
        <f>"1800"</f>
        <v>1800</v>
      </c>
      <c r="D1089" s="14" t="str">
        <f>""</f>
        <v/>
      </c>
      <c r="E1089" s="14" t="s">
        <v>1226</v>
      </c>
      <c r="F1089" s="14" t="s">
        <v>1002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228</v>
      </c>
      <c r="P1089" s="14" t="s">
        <v>260</v>
      </c>
      <c r="Q1089" s="14" t="s">
        <v>260</v>
      </c>
      <c r="R1089" s="14" t="s">
        <v>229</v>
      </c>
    </row>
    <row r="1090" spans="1:18" s="14" customFormat="1" x14ac:dyDescent="0.25">
      <c r="A1090" s="14" t="str">
        <f>"83415"</f>
        <v>83415</v>
      </c>
      <c r="B1090" s="14" t="str">
        <f>"07010"</f>
        <v>07010</v>
      </c>
      <c r="C1090" s="14" t="str">
        <f>"1800"</f>
        <v>1800</v>
      </c>
      <c r="D1090" s="14" t="str">
        <f>""</f>
        <v/>
      </c>
      <c r="E1090" s="14" t="s">
        <v>1227</v>
      </c>
      <c r="F1090" s="14" t="s">
        <v>1002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228</v>
      </c>
      <c r="P1090" s="14" t="s">
        <v>260</v>
      </c>
      <c r="Q1090" s="14" t="s">
        <v>260</v>
      </c>
      <c r="R1090" s="14" t="s">
        <v>229</v>
      </c>
    </row>
    <row r="1091" spans="1:18" s="14" customFormat="1" x14ac:dyDescent="0.25">
      <c r="A1091" s="14" t="str">
        <f>"83416"</f>
        <v>83416</v>
      </c>
      <c r="B1091" s="14" t="str">
        <f>"07010"</f>
        <v>07010</v>
      </c>
      <c r="C1091" s="14" t="str">
        <f>"1800"</f>
        <v>1800</v>
      </c>
      <c r="D1091" s="14" t="str">
        <f>""</f>
        <v/>
      </c>
      <c r="E1091" s="14" t="s">
        <v>1228</v>
      </c>
      <c r="F1091" s="14" t="s">
        <v>1002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228</v>
      </c>
      <c r="P1091" s="14" t="s">
        <v>260</v>
      </c>
      <c r="Q1091" s="14" t="s">
        <v>260</v>
      </c>
      <c r="R1091" s="14" t="s">
        <v>229</v>
      </c>
    </row>
    <row r="1092" spans="1:18" s="14" customFormat="1" x14ac:dyDescent="0.25">
      <c r="A1092" s="14" t="str">
        <f>"83417"</f>
        <v>83417</v>
      </c>
      <c r="B1092" s="14" t="str">
        <f>"07010"</f>
        <v>07010</v>
      </c>
      <c r="C1092" s="14" t="str">
        <f>"1800"</f>
        <v>1800</v>
      </c>
      <c r="D1092" s="14" t="str">
        <f>""</f>
        <v/>
      </c>
      <c r="E1092" s="14" t="s">
        <v>1229</v>
      </c>
      <c r="F1092" s="14" t="s">
        <v>1002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228</v>
      </c>
      <c r="P1092" s="14" t="s">
        <v>260</v>
      </c>
      <c r="Q1092" s="14" t="s">
        <v>260</v>
      </c>
      <c r="R1092" s="14" t="s">
        <v>229</v>
      </c>
    </row>
    <row r="1093" spans="1:18" s="14" customFormat="1" x14ac:dyDescent="0.25">
      <c r="A1093" s="14" t="str">
        <f>"83418"</f>
        <v>83418</v>
      </c>
      <c r="B1093" s="14" t="str">
        <f>"07010"</f>
        <v>07010</v>
      </c>
      <c r="C1093" s="14" t="str">
        <f>"1800"</f>
        <v>1800</v>
      </c>
      <c r="D1093" s="14" t="str">
        <f>""</f>
        <v/>
      </c>
      <c r="E1093" s="14" t="s">
        <v>1230</v>
      </c>
      <c r="F1093" s="14" t="s">
        <v>1002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228</v>
      </c>
      <c r="P1093" s="14" t="s">
        <v>260</v>
      </c>
      <c r="Q1093" s="14" t="s">
        <v>260</v>
      </c>
      <c r="R1093" s="14" t="s">
        <v>229</v>
      </c>
    </row>
    <row r="1094" spans="1:18" s="14" customFormat="1" x14ac:dyDescent="0.25">
      <c r="A1094" s="14" t="str">
        <f>"83420"</f>
        <v>83420</v>
      </c>
      <c r="B1094" s="14" t="str">
        <f>"07010"</f>
        <v>07010</v>
      </c>
      <c r="C1094" s="14" t="str">
        <f>"1800"</f>
        <v>1800</v>
      </c>
      <c r="D1094" s="14" t="str">
        <f>""</f>
        <v/>
      </c>
      <c r="E1094" s="14" t="s">
        <v>1231</v>
      </c>
      <c r="F1094" s="14" t="s">
        <v>1002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228</v>
      </c>
      <c r="P1094" s="14" t="s">
        <v>260</v>
      </c>
      <c r="Q1094" s="14" t="s">
        <v>260</v>
      </c>
      <c r="R1094" s="14" t="s">
        <v>229</v>
      </c>
    </row>
    <row r="1095" spans="1:18" s="14" customFormat="1" x14ac:dyDescent="0.25">
      <c r="A1095" s="14" t="str">
        <f>"83423"</f>
        <v>83423</v>
      </c>
      <c r="B1095" s="14" t="str">
        <f>"07010"</f>
        <v>07010</v>
      </c>
      <c r="C1095" s="14" t="str">
        <f>"1800"</f>
        <v>1800</v>
      </c>
      <c r="D1095" s="14" t="str">
        <f>""</f>
        <v/>
      </c>
      <c r="E1095" s="14" t="s">
        <v>1232</v>
      </c>
      <c r="F1095" s="14" t="s">
        <v>1002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228</v>
      </c>
      <c r="P1095" s="14" t="s">
        <v>260</v>
      </c>
      <c r="Q1095" s="14" t="s">
        <v>260</v>
      </c>
      <c r="R1095" s="14" t="s">
        <v>229</v>
      </c>
    </row>
    <row r="1096" spans="1:18" s="14" customFormat="1" x14ac:dyDescent="0.25">
      <c r="A1096" s="14" t="str">
        <f>"83424"</f>
        <v>83424</v>
      </c>
      <c r="B1096" s="14" t="str">
        <f>"07010"</f>
        <v>07010</v>
      </c>
      <c r="C1096" s="14" t="str">
        <f>"1800"</f>
        <v>1800</v>
      </c>
      <c r="D1096" s="14" t="str">
        <f>""</f>
        <v/>
      </c>
      <c r="E1096" s="14" t="s">
        <v>1233</v>
      </c>
      <c r="F1096" s="14" t="s">
        <v>1002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228</v>
      </c>
      <c r="P1096" s="14" t="s">
        <v>260</v>
      </c>
      <c r="Q1096" s="14" t="s">
        <v>260</v>
      </c>
      <c r="R1096" s="14" t="s">
        <v>229</v>
      </c>
    </row>
    <row r="1097" spans="1:18" s="14" customFormat="1" x14ac:dyDescent="0.25">
      <c r="A1097" s="14" t="str">
        <f>"83425"</f>
        <v>83425</v>
      </c>
      <c r="B1097" s="14" t="str">
        <f>"07010"</f>
        <v>07010</v>
      </c>
      <c r="C1097" s="14" t="str">
        <f>"1800"</f>
        <v>1800</v>
      </c>
      <c r="D1097" s="14" t="str">
        <f>""</f>
        <v/>
      </c>
      <c r="E1097" s="14" t="s">
        <v>1234</v>
      </c>
      <c r="F1097" s="14" t="s">
        <v>1002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228</v>
      </c>
      <c r="P1097" s="14" t="s">
        <v>260</v>
      </c>
      <c r="Q1097" s="14" t="s">
        <v>260</v>
      </c>
      <c r="R1097" s="14" t="s">
        <v>229</v>
      </c>
    </row>
    <row r="1098" spans="1:18" s="14" customFormat="1" x14ac:dyDescent="0.25">
      <c r="A1098" s="14" t="str">
        <f>"83426"</f>
        <v>83426</v>
      </c>
      <c r="B1098" s="14" t="str">
        <f>"07010"</f>
        <v>07010</v>
      </c>
      <c r="C1098" s="14" t="str">
        <f>"1800"</f>
        <v>1800</v>
      </c>
      <c r="D1098" s="14" t="str">
        <f>""</f>
        <v/>
      </c>
      <c r="E1098" s="14" t="s">
        <v>1235</v>
      </c>
      <c r="F1098" s="14" t="s">
        <v>1002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228</v>
      </c>
      <c r="P1098" s="14" t="s">
        <v>260</v>
      </c>
      <c r="Q1098" s="14" t="s">
        <v>260</v>
      </c>
      <c r="R1098" s="14" t="s">
        <v>229</v>
      </c>
    </row>
    <row r="1099" spans="1:18" s="14" customFormat="1" x14ac:dyDescent="0.25">
      <c r="A1099" s="14" t="str">
        <f>"83429"</f>
        <v>83429</v>
      </c>
      <c r="B1099" s="14" t="str">
        <f>"07010"</f>
        <v>07010</v>
      </c>
      <c r="C1099" s="14" t="str">
        <f>"1800"</f>
        <v>1800</v>
      </c>
      <c r="D1099" s="14" t="str">
        <f>""</f>
        <v/>
      </c>
      <c r="E1099" s="14" t="s">
        <v>1236</v>
      </c>
      <c r="F1099" s="14" t="s">
        <v>1002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228</v>
      </c>
      <c r="P1099" s="14" t="s">
        <v>260</v>
      </c>
      <c r="Q1099" s="14" t="s">
        <v>260</v>
      </c>
      <c r="R1099" s="14" t="s">
        <v>229</v>
      </c>
    </row>
    <row r="1100" spans="1:18" s="14" customFormat="1" x14ac:dyDescent="0.25">
      <c r="A1100" s="14" t="str">
        <f>"83431"</f>
        <v>83431</v>
      </c>
      <c r="B1100" s="14" t="str">
        <f>"07010"</f>
        <v>07010</v>
      </c>
      <c r="C1100" s="14" t="str">
        <f>"1800"</f>
        <v>1800</v>
      </c>
      <c r="D1100" s="14" t="str">
        <f>""</f>
        <v/>
      </c>
      <c r="E1100" s="14" t="s">
        <v>1237</v>
      </c>
      <c r="F1100" s="14" t="s">
        <v>1002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228</v>
      </c>
      <c r="P1100" s="14" t="s">
        <v>260</v>
      </c>
      <c r="Q1100" s="14" t="s">
        <v>260</v>
      </c>
      <c r="R1100" s="14" t="s">
        <v>229</v>
      </c>
    </row>
    <row r="1101" spans="1:18" s="14" customFormat="1" x14ac:dyDescent="0.25">
      <c r="A1101" s="14" t="str">
        <f>"83434"</f>
        <v>83434</v>
      </c>
      <c r="B1101" s="14" t="str">
        <f>"07010"</f>
        <v>07010</v>
      </c>
      <c r="C1101" s="14" t="str">
        <f>"1800"</f>
        <v>1800</v>
      </c>
      <c r="D1101" s="14" t="str">
        <f>""</f>
        <v/>
      </c>
      <c r="E1101" s="14" t="s">
        <v>1238</v>
      </c>
      <c r="F1101" s="14" t="s">
        <v>1002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228</v>
      </c>
      <c r="P1101" s="14" t="s">
        <v>260</v>
      </c>
      <c r="Q1101" s="14" t="s">
        <v>260</v>
      </c>
      <c r="R1101" s="14" t="s">
        <v>229</v>
      </c>
    </row>
    <row r="1102" spans="1:18" s="14" customFormat="1" x14ac:dyDescent="0.25">
      <c r="A1102" s="14" t="str">
        <f>"83437"</f>
        <v>83437</v>
      </c>
      <c r="B1102" s="14" t="str">
        <f>"07010"</f>
        <v>07010</v>
      </c>
      <c r="C1102" s="14" t="str">
        <f>"1800"</f>
        <v>1800</v>
      </c>
      <c r="D1102" s="14" t="str">
        <f>""</f>
        <v/>
      </c>
      <c r="E1102" s="14" t="s">
        <v>1239</v>
      </c>
      <c r="F1102" s="14" t="s">
        <v>1002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228</v>
      </c>
      <c r="P1102" s="14" t="s">
        <v>260</v>
      </c>
      <c r="Q1102" s="14" t="s">
        <v>260</v>
      </c>
      <c r="R1102" s="14" t="s">
        <v>229</v>
      </c>
    </row>
    <row r="1103" spans="1:18" s="14" customFormat="1" x14ac:dyDescent="0.25">
      <c r="A1103" s="14" t="str">
        <f>"83438"</f>
        <v>83438</v>
      </c>
      <c r="B1103" s="14" t="str">
        <f>"07010"</f>
        <v>07010</v>
      </c>
      <c r="C1103" s="14" t="str">
        <f>"1800"</f>
        <v>1800</v>
      </c>
      <c r="D1103" s="14" t="str">
        <f>""</f>
        <v/>
      </c>
      <c r="E1103" s="14" t="s">
        <v>1240</v>
      </c>
      <c r="F1103" s="14" t="s">
        <v>1002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228</v>
      </c>
      <c r="P1103" s="14" t="s">
        <v>260</v>
      </c>
      <c r="Q1103" s="14" t="s">
        <v>260</v>
      </c>
      <c r="R1103" s="14" t="s">
        <v>229</v>
      </c>
    </row>
    <row r="1104" spans="1:18" s="14" customFormat="1" x14ac:dyDescent="0.25">
      <c r="A1104" s="14" t="str">
        <f>"83441"</f>
        <v>83441</v>
      </c>
      <c r="B1104" s="14" t="str">
        <f>"07010"</f>
        <v>07010</v>
      </c>
      <c r="C1104" s="14" t="str">
        <f>"1800"</f>
        <v>1800</v>
      </c>
      <c r="D1104" s="14" t="str">
        <f>""</f>
        <v/>
      </c>
      <c r="E1104" s="14" t="s">
        <v>1241</v>
      </c>
      <c r="F1104" s="14" t="s">
        <v>1002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228</v>
      </c>
      <c r="P1104" s="14" t="s">
        <v>260</v>
      </c>
      <c r="Q1104" s="14" t="s">
        <v>260</v>
      </c>
      <c r="R1104" s="14" t="s">
        <v>229</v>
      </c>
    </row>
    <row r="1105" spans="1:18" s="14" customFormat="1" x14ac:dyDescent="0.25">
      <c r="A1105" s="14" t="str">
        <f>"83442"</f>
        <v>83442</v>
      </c>
      <c r="B1105" s="14" t="str">
        <f>"07010"</f>
        <v>07010</v>
      </c>
      <c r="C1105" s="14" t="str">
        <f>"1800"</f>
        <v>1800</v>
      </c>
      <c r="D1105" s="14" t="str">
        <f>""</f>
        <v/>
      </c>
      <c r="E1105" s="14" t="s">
        <v>1242</v>
      </c>
      <c r="F1105" s="14" t="s">
        <v>1002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228</v>
      </c>
      <c r="P1105" s="14" t="s">
        <v>260</v>
      </c>
      <c r="Q1105" s="14" t="s">
        <v>260</v>
      </c>
      <c r="R1105" s="14" t="s">
        <v>229</v>
      </c>
    </row>
    <row r="1106" spans="1:18" s="14" customFormat="1" x14ac:dyDescent="0.25">
      <c r="A1106" s="14" t="str">
        <f>"83443"</f>
        <v>83443</v>
      </c>
      <c r="B1106" s="14" t="str">
        <f>"07010"</f>
        <v>07010</v>
      </c>
      <c r="C1106" s="14" t="str">
        <f>"1800"</f>
        <v>1800</v>
      </c>
      <c r="D1106" s="14" t="str">
        <f>""</f>
        <v/>
      </c>
      <c r="E1106" s="14" t="s">
        <v>1243</v>
      </c>
      <c r="F1106" s="14" t="s">
        <v>1002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228</v>
      </c>
      <c r="P1106" s="14" t="s">
        <v>260</v>
      </c>
      <c r="Q1106" s="14" t="s">
        <v>260</v>
      </c>
      <c r="R1106" s="14" t="s">
        <v>229</v>
      </c>
    </row>
    <row r="1107" spans="1:18" s="14" customFormat="1" x14ac:dyDescent="0.25">
      <c r="A1107" s="14" t="str">
        <f>"83444"</f>
        <v>83444</v>
      </c>
      <c r="B1107" s="14" t="str">
        <f>"07010"</f>
        <v>07010</v>
      </c>
      <c r="C1107" s="14" t="str">
        <f>"1800"</f>
        <v>1800</v>
      </c>
      <c r="D1107" s="14" t="str">
        <f>""</f>
        <v/>
      </c>
      <c r="E1107" s="14" t="s">
        <v>1244</v>
      </c>
      <c r="F1107" s="14" t="s">
        <v>1002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228</v>
      </c>
      <c r="P1107" s="14" t="s">
        <v>260</v>
      </c>
      <c r="Q1107" s="14" t="s">
        <v>260</v>
      </c>
      <c r="R1107" s="14" t="s">
        <v>229</v>
      </c>
    </row>
    <row r="1108" spans="1:18" s="14" customFormat="1" x14ac:dyDescent="0.25">
      <c r="A1108" s="14" t="str">
        <f>"83445"</f>
        <v>83445</v>
      </c>
      <c r="B1108" s="14" t="str">
        <f>"07010"</f>
        <v>07010</v>
      </c>
      <c r="C1108" s="14" t="str">
        <f>"1800"</f>
        <v>1800</v>
      </c>
      <c r="D1108" s="14" t="str">
        <f>""</f>
        <v/>
      </c>
      <c r="E1108" s="14" t="s">
        <v>1245</v>
      </c>
      <c r="F1108" s="14" t="s">
        <v>1002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228</v>
      </c>
      <c r="P1108" s="14" t="s">
        <v>260</v>
      </c>
      <c r="Q1108" s="14" t="s">
        <v>260</v>
      </c>
      <c r="R1108" s="14" t="s">
        <v>229</v>
      </c>
    </row>
    <row r="1109" spans="1:18" s="14" customFormat="1" x14ac:dyDescent="0.25">
      <c r="A1109" s="14" t="str">
        <f>"83446"</f>
        <v>83446</v>
      </c>
      <c r="B1109" s="14" t="str">
        <f>"07010"</f>
        <v>07010</v>
      </c>
      <c r="C1109" s="14" t="str">
        <f>"1800"</f>
        <v>1800</v>
      </c>
      <c r="D1109" s="14" t="str">
        <f>""</f>
        <v/>
      </c>
      <c r="E1109" s="14" t="s">
        <v>1246</v>
      </c>
      <c r="F1109" s="14" t="s">
        <v>1002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228</v>
      </c>
      <c r="P1109" s="14" t="s">
        <v>260</v>
      </c>
      <c r="Q1109" s="14" t="s">
        <v>260</v>
      </c>
      <c r="R1109" s="14" t="s">
        <v>229</v>
      </c>
    </row>
    <row r="1110" spans="1:18" s="14" customFormat="1" x14ac:dyDescent="0.25">
      <c r="A1110" s="14" t="str">
        <f>"83447"</f>
        <v>83447</v>
      </c>
      <c r="B1110" s="14" t="str">
        <f>"07010"</f>
        <v>07010</v>
      </c>
      <c r="C1110" s="14" t="str">
        <f>"1800"</f>
        <v>1800</v>
      </c>
      <c r="D1110" s="14" t="str">
        <f>""</f>
        <v/>
      </c>
      <c r="E1110" s="14" t="s">
        <v>1247</v>
      </c>
      <c r="F1110" s="14" t="s">
        <v>1002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228</v>
      </c>
      <c r="P1110" s="14" t="s">
        <v>260</v>
      </c>
      <c r="Q1110" s="14" t="s">
        <v>260</v>
      </c>
      <c r="R1110" s="14" t="s">
        <v>229</v>
      </c>
    </row>
    <row r="1111" spans="1:18" s="14" customFormat="1" x14ac:dyDescent="0.25">
      <c r="A1111" s="14" t="str">
        <f>"83449"</f>
        <v>83449</v>
      </c>
      <c r="B1111" s="14" t="str">
        <f>"07010"</f>
        <v>07010</v>
      </c>
      <c r="C1111" s="14" t="str">
        <f>"1800"</f>
        <v>1800</v>
      </c>
      <c r="D1111" s="14" t="str">
        <f>""</f>
        <v/>
      </c>
      <c r="E1111" s="14" t="s">
        <v>1248</v>
      </c>
      <c r="F1111" s="14" t="s">
        <v>1002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228</v>
      </c>
      <c r="P1111" s="14" t="s">
        <v>260</v>
      </c>
      <c r="Q1111" s="14" t="s">
        <v>260</v>
      </c>
      <c r="R1111" s="14" t="s">
        <v>229</v>
      </c>
    </row>
    <row r="1112" spans="1:18" s="14" customFormat="1" x14ac:dyDescent="0.25">
      <c r="A1112" s="14" t="str">
        <f>"83450"</f>
        <v>83450</v>
      </c>
      <c r="B1112" s="14" t="str">
        <f>"07010"</f>
        <v>07010</v>
      </c>
      <c r="C1112" s="14" t="str">
        <f>"1800"</f>
        <v>1800</v>
      </c>
      <c r="D1112" s="14" t="str">
        <f>""</f>
        <v/>
      </c>
      <c r="E1112" s="14" t="s">
        <v>1249</v>
      </c>
      <c r="F1112" s="14" t="s">
        <v>1002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228</v>
      </c>
      <c r="P1112" s="14" t="s">
        <v>260</v>
      </c>
      <c r="Q1112" s="14" t="s">
        <v>260</v>
      </c>
      <c r="R1112" s="14" t="s">
        <v>229</v>
      </c>
    </row>
    <row r="1113" spans="1:18" s="14" customFormat="1" x14ac:dyDescent="0.25">
      <c r="A1113" s="14" t="str">
        <f>"83451"</f>
        <v>83451</v>
      </c>
      <c r="B1113" s="14" t="str">
        <f>"07010"</f>
        <v>07010</v>
      </c>
      <c r="C1113" s="14" t="str">
        <f>"1800"</f>
        <v>1800</v>
      </c>
      <c r="D1113" s="14" t="str">
        <f>""</f>
        <v/>
      </c>
      <c r="E1113" s="14" t="s">
        <v>1250</v>
      </c>
      <c r="F1113" s="14" t="s">
        <v>1002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228</v>
      </c>
      <c r="P1113" s="14" t="s">
        <v>260</v>
      </c>
      <c r="Q1113" s="14" t="s">
        <v>260</v>
      </c>
      <c r="R1113" s="14" t="s">
        <v>229</v>
      </c>
    </row>
    <row r="1114" spans="1:18" s="14" customFormat="1" x14ac:dyDescent="0.25">
      <c r="A1114" s="14" t="str">
        <f>"83452"</f>
        <v>83452</v>
      </c>
      <c r="B1114" s="14" t="str">
        <f>"07010"</f>
        <v>07010</v>
      </c>
      <c r="C1114" s="14" t="str">
        <f>"1800"</f>
        <v>1800</v>
      </c>
      <c r="D1114" s="14" t="str">
        <f>""</f>
        <v/>
      </c>
      <c r="E1114" s="14" t="s">
        <v>1251</v>
      </c>
      <c r="F1114" s="14" t="s">
        <v>1002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228</v>
      </c>
      <c r="P1114" s="14" t="s">
        <v>260</v>
      </c>
      <c r="Q1114" s="14" t="s">
        <v>260</v>
      </c>
      <c r="R1114" s="14" t="s">
        <v>229</v>
      </c>
    </row>
    <row r="1115" spans="1:18" s="14" customFormat="1" x14ac:dyDescent="0.25">
      <c r="A1115" s="14" t="str">
        <f>"83454"</f>
        <v>83454</v>
      </c>
      <c r="B1115" s="14" t="str">
        <f>"07010"</f>
        <v>07010</v>
      </c>
      <c r="C1115" s="14" t="str">
        <f>"1800"</f>
        <v>1800</v>
      </c>
      <c r="D1115" s="14" t="str">
        <f>""</f>
        <v/>
      </c>
      <c r="E1115" s="14" t="s">
        <v>1252</v>
      </c>
      <c r="F1115" s="14" t="s">
        <v>1002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228</v>
      </c>
      <c r="P1115" s="14" t="s">
        <v>260</v>
      </c>
      <c r="Q1115" s="14" t="s">
        <v>260</v>
      </c>
      <c r="R1115" s="14" t="s">
        <v>229</v>
      </c>
    </row>
    <row r="1116" spans="1:18" s="14" customFormat="1" x14ac:dyDescent="0.25">
      <c r="A1116" s="14" t="str">
        <f>"83456"</f>
        <v>83456</v>
      </c>
      <c r="B1116" s="14" t="str">
        <f>"07010"</f>
        <v>07010</v>
      </c>
      <c r="C1116" s="14" t="str">
        <f>"1800"</f>
        <v>1800</v>
      </c>
      <c r="D1116" s="14" t="str">
        <f>""</f>
        <v/>
      </c>
      <c r="E1116" s="14" t="s">
        <v>1253</v>
      </c>
      <c r="F1116" s="14" t="s">
        <v>1002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228</v>
      </c>
      <c r="P1116" s="14" t="s">
        <v>260</v>
      </c>
      <c r="Q1116" s="14" t="s">
        <v>260</v>
      </c>
      <c r="R1116" s="14" t="s">
        <v>229</v>
      </c>
    </row>
    <row r="1117" spans="1:18" s="14" customFormat="1" x14ac:dyDescent="0.25">
      <c r="A1117" s="14" t="str">
        <f>"83457"</f>
        <v>83457</v>
      </c>
      <c r="B1117" s="14" t="str">
        <f>"07010"</f>
        <v>07010</v>
      </c>
      <c r="C1117" s="14" t="str">
        <f>"1800"</f>
        <v>1800</v>
      </c>
      <c r="D1117" s="14" t="str">
        <f>""</f>
        <v/>
      </c>
      <c r="E1117" s="14" t="s">
        <v>1254</v>
      </c>
      <c r="F1117" s="14" t="s">
        <v>1002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228</v>
      </c>
      <c r="P1117" s="14" t="s">
        <v>260</v>
      </c>
      <c r="Q1117" s="14" t="s">
        <v>260</v>
      </c>
      <c r="R1117" s="14" t="s">
        <v>229</v>
      </c>
    </row>
    <row r="1118" spans="1:18" s="14" customFormat="1" x14ac:dyDescent="0.25">
      <c r="A1118" s="14" t="str">
        <f>"83460"</f>
        <v>83460</v>
      </c>
      <c r="B1118" s="14" t="str">
        <f>"07010"</f>
        <v>07010</v>
      </c>
      <c r="C1118" s="14" t="str">
        <f>"1800"</f>
        <v>1800</v>
      </c>
      <c r="D1118" s="14" t="str">
        <f>""</f>
        <v/>
      </c>
      <c r="E1118" s="14" t="s">
        <v>1255</v>
      </c>
      <c r="F1118" s="14" t="s">
        <v>1002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228</v>
      </c>
      <c r="P1118" s="14" t="s">
        <v>260</v>
      </c>
      <c r="Q1118" s="14" t="s">
        <v>260</v>
      </c>
      <c r="R1118" s="14" t="s">
        <v>229</v>
      </c>
    </row>
    <row r="1119" spans="1:18" s="14" customFormat="1" x14ac:dyDescent="0.25">
      <c r="A1119" s="14" t="str">
        <f>"83461"</f>
        <v>83461</v>
      </c>
      <c r="B1119" s="14" t="str">
        <f>"07010"</f>
        <v>07010</v>
      </c>
      <c r="C1119" s="14" t="str">
        <f>"1800"</f>
        <v>1800</v>
      </c>
      <c r="D1119" s="14" t="str">
        <f>""</f>
        <v/>
      </c>
      <c r="E1119" s="14" t="s">
        <v>1256</v>
      </c>
      <c r="F1119" s="14" t="s">
        <v>1002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228</v>
      </c>
      <c r="P1119" s="14" t="s">
        <v>260</v>
      </c>
      <c r="Q1119" s="14" t="s">
        <v>260</v>
      </c>
      <c r="R1119" s="14" t="s">
        <v>229</v>
      </c>
    </row>
    <row r="1120" spans="1:18" s="14" customFormat="1" x14ac:dyDescent="0.25">
      <c r="A1120" s="14" t="str">
        <f>"83462"</f>
        <v>83462</v>
      </c>
      <c r="B1120" s="14" t="str">
        <f>"07010"</f>
        <v>07010</v>
      </c>
      <c r="C1120" s="14" t="str">
        <f>"1800"</f>
        <v>1800</v>
      </c>
      <c r="D1120" s="14" t="str">
        <f>""</f>
        <v/>
      </c>
      <c r="E1120" s="14" t="s">
        <v>1257</v>
      </c>
      <c r="F1120" s="14" t="s">
        <v>1002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228</v>
      </c>
      <c r="P1120" s="14" t="s">
        <v>260</v>
      </c>
      <c r="Q1120" s="14" t="s">
        <v>260</v>
      </c>
      <c r="R1120" s="14" t="s">
        <v>229</v>
      </c>
    </row>
    <row r="1121" spans="1:18" s="14" customFormat="1" x14ac:dyDescent="0.25">
      <c r="A1121" s="14" t="str">
        <f>"83463"</f>
        <v>83463</v>
      </c>
      <c r="B1121" s="14" t="str">
        <f>"07010"</f>
        <v>07010</v>
      </c>
      <c r="C1121" s="14" t="str">
        <f>"1800"</f>
        <v>1800</v>
      </c>
      <c r="D1121" s="14" t="str">
        <f>""</f>
        <v/>
      </c>
      <c r="E1121" s="14" t="s">
        <v>1258</v>
      </c>
      <c r="F1121" s="14" t="s">
        <v>1002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228</v>
      </c>
      <c r="P1121" s="14" t="s">
        <v>260</v>
      </c>
      <c r="Q1121" s="14" t="s">
        <v>260</v>
      </c>
      <c r="R1121" s="14" t="s">
        <v>229</v>
      </c>
    </row>
    <row r="1122" spans="1:18" s="14" customFormat="1" x14ac:dyDescent="0.25">
      <c r="A1122" s="14" t="str">
        <f>"83464"</f>
        <v>83464</v>
      </c>
      <c r="B1122" s="14" t="str">
        <f>"07010"</f>
        <v>07010</v>
      </c>
      <c r="C1122" s="14" t="str">
        <f>"1800"</f>
        <v>1800</v>
      </c>
      <c r="D1122" s="14" t="str">
        <f>""</f>
        <v/>
      </c>
      <c r="E1122" s="14" t="s">
        <v>1259</v>
      </c>
      <c r="F1122" s="14" t="s">
        <v>1002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228</v>
      </c>
      <c r="P1122" s="14" t="s">
        <v>260</v>
      </c>
      <c r="Q1122" s="14" t="s">
        <v>260</v>
      </c>
      <c r="R1122" s="14" t="s">
        <v>229</v>
      </c>
    </row>
    <row r="1123" spans="1:18" s="14" customFormat="1" x14ac:dyDescent="0.25">
      <c r="A1123" s="14" t="str">
        <f>"83467"</f>
        <v>83467</v>
      </c>
      <c r="B1123" s="14" t="str">
        <f>"07010"</f>
        <v>07010</v>
      </c>
      <c r="C1123" s="14" t="str">
        <f>"1800"</f>
        <v>1800</v>
      </c>
      <c r="D1123" s="14" t="str">
        <f>""</f>
        <v/>
      </c>
      <c r="E1123" s="14" t="s">
        <v>1260</v>
      </c>
      <c r="F1123" s="14" t="s">
        <v>1002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228</v>
      </c>
      <c r="P1123" s="14" t="s">
        <v>260</v>
      </c>
      <c r="Q1123" s="14" t="s">
        <v>260</v>
      </c>
      <c r="R1123" s="14" t="s">
        <v>229</v>
      </c>
    </row>
    <row r="1124" spans="1:18" s="14" customFormat="1" x14ac:dyDescent="0.25">
      <c r="A1124" s="14" t="str">
        <f>"83469"</f>
        <v>83469</v>
      </c>
      <c r="B1124" s="14" t="str">
        <f>"07010"</f>
        <v>07010</v>
      </c>
      <c r="C1124" s="14" t="str">
        <f>"1800"</f>
        <v>1800</v>
      </c>
      <c r="D1124" s="14" t="str">
        <f>""</f>
        <v/>
      </c>
      <c r="E1124" s="14" t="s">
        <v>1261</v>
      </c>
      <c r="F1124" s="14" t="s">
        <v>1002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228</v>
      </c>
      <c r="P1124" s="14" t="s">
        <v>260</v>
      </c>
      <c r="Q1124" s="14" t="s">
        <v>260</v>
      </c>
      <c r="R1124" s="14" t="s">
        <v>229</v>
      </c>
    </row>
    <row r="1125" spans="1:18" s="14" customFormat="1" x14ac:dyDescent="0.25">
      <c r="A1125" s="14" t="str">
        <f>"83470"</f>
        <v>83470</v>
      </c>
      <c r="B1125" s="14" t="str">
        <f>"07010"</f>
        <v>07010</v>
      </c>
      <c r="C1125" s="14" t="str">
        <f>"1800"</f>
        <v>1800</v>
      </c>
      <c r="D1125" s="14" t="str">
        <f>""</f>
        <v/>
      </c>
      <c r="E1125" s="14" t="s">
        <v>1262</v>
      </c>
      <c r="F1125" s="14" t="s">
        <v>1002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228</v>
      </c>
      <c r="P1125" s="14" t="s">
        <v>260</v>
      </c>
      <c r="Q1125" s="14" t="s">
        <v>260</v>
      </c>
      <c r="R1125" s="14" t="s">
        <v>229</v>
      </c>
    </row>
    <row r="1126" spans="1:18" s="14" customFormat="1" x14ac:dyDescent="0.25">
      <c r="A1126" s="14" t="str">
        <f>"83471"</f>
        <v>83471</v>
      </c>
      <c r="B1126" s="14" t="str">
        <f>"07010"</f>
        <v>07010</v>
      </c>
      <c r="C1126" s="14" t="str">
        <f>"1800"</f>
        <v>1800</v>
      </c>
      <c r="D1126" s="14" t="str">
        <f>""</f>
        <v/>
      </c>
      <c r="E1126" s="14" t="s">
        <v>1263</v>
      </c>
      <c r="F1126" s="14" t="s">
        <v>1002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228</v>
      </c>
      <c r="P1126" s="14" t="s">
        <v>260</v>
      </c>
      <c r="Q1126" s="14" t="s">
        <v>260</v>
      </c>
      <c r="R1126" s="14" t="s">
        <v>229</v>
      </c>
    </row>
    <row r="1127" spans="1:18" s="14" customFormat="1" x14ac:dyDescent="0.25">
      <c r="A1127" s="14" t="str">
        <f>"83476"</f>
        <v>83476</v>
      </c>
      <c r="B1127" s="14" t="str">
        <f>"07010"</f>
        <v>07010</v>
      </c>
      <c r="C1127" s="14" t="str">
        <f>"1800"</f>
        <v>1800</v>
      </c>
      <c r="D1127" s="14" t="str">
        <f>""</f>
        <v/>
      </c>
      <c r="E1127" s="14" t="s">
        <v>1264</v>
      </c>
      <c r="F1127" s="14" t="s">
        <v>1002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228</v>
      </c>
      <c r="P1127" s="14" t="s">
        <v>260</v>
      </c>
      <c r="Q1127" s="14" t="s">
        <v>260</v>
      </c>
      <c r="R1127" s="14" t="s">
        <v>229</v>
      </c>
    </row>
    <row r="1128" spans="1:18" s="14" customFormat="1" x14ac:dyDescent="0.25">
      <c r="A1128" s="14" t="str">
        <f>"83477"</f>
        <v>83477</v>
      </c>
      <c r="B1128" s="14" t="str">
        <f>"07010"</f>
        <v>07010</v>
      </c>
      <c r="C1128" s="14" t="str">
        <f>"1800"</f>
        <v>1800</v>
      </c>
      <c r="D1128" s="14" t="str">
        <f>""</f>
        <v/>
      </c>
      <c r="E1128" s="14" t="s">
        <v>1265</v>
      </c>
      <c r="F1128" s="14" t="s">
        <v>1002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228</v>
      </c>
      <c r="P1128" s="14" t="s">
        <v>260</v>
      </c>
      <c r="Q1128" s="14" t="s">
        <v>260</v>
      </c>
      <c r="R1128" s="14" t="s">
        <v>229</v>
      </c>
    </row>
    <row r="1129" spans="1:18" s="14" customFormat="1" x14ac:dyDescent="0.25">
      <c r="A1129" s="14" t="str">
        <f>"83479"</f>
        <v>83479</v>
      </c>
      <c r="B1129" s="14" t="str">
        <f>"07010"</f>
        <v>07010</v>
      </c>
      <c r="C1129" s="14" t="str">
        <f>"1800"</f>
        <v>1800</v>
      </c>
      <c r="D1129" s="14" t="str">
        <f>""</f>
        <v/>
      </c>
      <c r="E1129" s="14" t="s">
        <v>1266</v>
      </c>
      <c r="F1129" s="14" t="s">
        <v>1002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228</v>
      </c>
      <c r="P1129" s="14" t="s">
        <v>260</v>
      </c>
      <c r="Q1129" s="14" t="s">
        <v>260</v>
      </c>
      <c r="R1129" s="14" t="s">
        <v>229</v>
      </c>
    </row>
    <row r="1130" spans="1:18" s="14" customFormat="1" x14ac:dyDescent="0.25">
      <c r="A1130" s="14" t="str">
        <f>"83481"</f>
        <v>83481</v>
      </c>
      <c r="B1130" s="14" t="str">
        <f>"07010"</f>
        <v>07010</v>
      </c>
      <c r="C1130" s="14" t="str">
        <f>"1800"</f>
        <v>1800</v>
      </c>
      <c r="D1130" s="14" t="str">
        <f>""</f>
        <v/>
      </c>
      <c r="E1130" s="14" t="s">
        <v>1267</v>
      </c>
      <c r="F1130" s="14" t="s">
        <v>1002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228</v>
      </c>
      <c r="P1130" s="14" t="s">
        <v>260</v>
      </c>
      <c r="Q1130" s="14" t="s">
        <v>260</v>
      </c>
      <c r="R1130" s="14" t="s">
        <v>229</v>
      </c>
    </row>
    <row r="1131" spans="1:18" s="14" customFormat="1" x14ac:dyDescent="0.25">
      <c r="A1131" s="14" t="str">
        <f>"83483"</f>
        <v>83483</v>
      </c>
      <c r="B1131" s="14" t="str">
        <f>"07010"</f>
        <v>07010</v>
      </c>
      <c r="C1131" s="14" t="str">
        <f>"1800"</f>
        <v>1800</v>
      </c>
      <c r="D1131" s="14" t="str">
        <f>""</f>
        <v/>
      </c>
      <c r="E1131" s="14" t="s">
        <v>1268</v>
      </c>
      <c r="F1131" s="14" t="s">
        <v>1002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228</v>
      </c>
      <c r="P1131" s="14" t="s">
        <v>260</v>
      </c>
      <c r="Q1131" s="14" t="s">
        <v>260</v>
      </c>
      <c r="R1131" s="14" t="s">
        <v>229</v>
      </c>
    </row>
    <row r="1132" spans="1:18" s="14" customFormat="1" x14ac:dyDescent="0.25">
      <c r="A1132" s="14" t="str">
        <f>"83484"</f>
        <v>83484</v>
      </c>
      <c r="B1132" s="14" t="str">
        <f>"07010"</f>
        <v>07010</v>
      </c>
      <c r="C1132" s="14" t="str">
        <f>"1800"</f>
        <v>1800</v>
      </c>
      <c r="D1132" s="14" t="str">
        <f>""</f>
        <v/>
      </c>
      <c r="E1132" s="14" t="s">
        <v>1269</v>
      </c>
      <c r="F1132" s="14" t="s">
        <v>1002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228</v>
      </c>
      <c r="P1132" s="14" t="s">
        <v>260</v>
      </c>
      <c r="Q1132" s="14" t="s">
        <v>260</v>
      </c>
      <c r="R1132" s="14" t="s">
        <v>229</v>
      </c>
    </row>
    <row r="1133" spans="1:18" s="14" customFormat="1" x14ac:dyDescent="0.25">
      <c r="A1133" s="14" t="str">
        <f>"83487"</f>
        <v>83487</v>
      </c>
      <c r="B1133" s="14" t="str">
        <f>"07010"</f>
        <v>07010</v>
      </c>
      <c r="C1133" s="14" t="str">
        <f>"1800"</f>
        <v>1800</v>
      </c>
      <c r="D1133" s="14" t="str">
        <f>""</f>
        <v/>
      </c>
      <c r="E1133" s="14" t="s">
        <v>1270</v>
      </c>
      <c r="F1133" s="14" t="s">
        <v>1002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228</v>
      </c>
      <c r="P1133" s="14" t="s">
        <v>260</v>
      </c>
      <c r="Q1133" s="14" t="s">
        <v>260</v>
      </c>
      <c r="R1133" s="14" t="s">
        <v>229</v>
      </c>
    </row>
    <row r="1134" spans="1:18" s="14" customFormat="1" x14ac:dyDescent="0.25">
      <c r="A1134" s="14" t="str">
        <f>"83488"</f>
        <v>83488</v>
      </c>
      <c r="B1134" s="14" t="str">
        <f>"07010"</f>
        <v>07010</v>
      </c>
      <c r="C1134" s="14" t="str">
        <f>"1800"</f>
        <v>1800</v>
      </c>
      <c r="D1134" s="14" t="str">
        <f>""</f>
        <v/>
      </c>
      <c r="E1134" s="14" t="s">
        <v>1271</v>
      </c>
      <c r="F1134" s="14" t="s">
        <v>1002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228</v>
      </c>
      <c r="P1134" s="14" t="s">
        <v>260</v>
      </c>
      <c r="Q1134" s="14" t="s">
        <v>260</v>
      </c>
      <c r="R1134" s="14" t="s">
        <v>229</v>
      </c>
    </row>
    <row r="1135" spans="1:18" s="14" customFormat="1" x14ac:dyDescent="0.25">
      <c r="A1135" s="14" t="str">
        <f>"83489"</f>
        <v>83489</v>
      </c>
      <c r="B1135" s="14" t="str">
        <f>"07010"</f>
        <v>07010</v>
      </c>
      <c r="C1135" s="14" t="str">
        <f>"1800"</f>
        <v>1800</v>
      </c>
      <c r="D1135" s="14" t="str">
        <f>""</f>
        <v/>
      </c>
      <c r="E1135" s="14" t="s">
        <v>1272</v>
      </c>
      <c r="F1135" s="14" t="s">
        <v>1002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228</v>
      </c>
      <c r="P1135" s="14" t="s">
        <v>260</v>
      </c>
      <c r="Q1135" s="14" t="s">
        <v>260</v>
      </c>
      <c r="R1135" s="14" t="s">
        <v>229</v>
      </c>
    </row>
    <row r="1136" spans="1:18" s="14" customFormat="1" x14ac:dyDescent="0.25">
      <c r="A1136" s="14" t="str">
        <f>"83490"</f>
        <v>83490</v>
      </c>
      <c r="B1136" s="14" t="str">
        <f>"07010"</f>
        <v>07010</v>
      </c>
      <c r="C1136" s="14" t="str">
        <f>"1800"</f>
        <v>1800</v>
      </c>
      <c r="D1136" s="14" t="str">
        <f>""</f>
        <v/>
      </c>
      <c r="E1136" s="14" t="s">
        <v>1273</v>
      </c>
      <c r="F1136" s="14" t="s">
        <v>1002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228</v>
      </c>
      <c r="P1136" s="14" t="s">
        <v>260</v>
      </c>
      <c r="Q1136" s="14" t="s">
        <v>260</v>
      </c>
      <c r="R1136" s="14" t="s">
        <v>229</v>
      </c>
    </row>
    <row r="1137" spans="1:18" s="14" customFormat="1" x14ac:dyDescent="0.25">
      <c r="A1137" s="14" t="str">
        <f>"83491"</f>
        <v>83491</v>
      </c>
      <c r="B1137" s="14" t="str">
        <f>"07010"</f>
        <v>07010</v>
      </c>
      <c r="C1137" s="14" t="str">
        <f>"1800"</f>
        <v>1800</v>
      </c>
      <c r="D1137" s="14" t="str">
        <f>""</f>
        <v/>
      </c>
      <c r="E1137" s="14" t="s">
        <v>1274</v>
      </c>
      <c r="F1137" s="14" t="s">
        <v>1002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228</v>
      </c>
      <c r="P1137" s="14" t="s">
        <v>260</v>
      </c>
      <c r="Q1137" s="14" t="s">
        <v>260</v>
      </c>
      <c r="R1137" s="14" t="s">
        <v>229</v>
      </c>
    </row>
    <row r="1138" spans="1:18" s="14" customFormat="1" x14ac:dyDescent="0.25">
      <c r="A1138" s="14" t="str">
        <f>"83492"</f>
        <v>83492</v>
      </c>
      <c r="B1138" s="14" t="str">
        <f>"07010"</f>
        <v>07010</v>
      </c>
      <c r="C1138" s="14" t="str">
        <f>"1800"</f>
        <v>1800</v>
      </c>
      <c r="D1138" s="14" t="str">
        <f>""</f>
        <v/>
      </c>
      <c r="E1138" s="14" t="s">
        <v>1275</v>
      </c>
      <c r="F1138" s="14" t="s">
        <v>1002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228</v>
      </c>
      <c r="P1138" s="14" t="s">
        <v>260</v>
      </c>
      <c r="Q1138" s="14" t="s">
        <v>260</v>
      </c>
      <c r="R1138" s="14" t="s">
        <v>229</v>
      </c>
    </row>
    <row r="1139" spans="1:18" s="14" customFormat="1" x14ac:dyDescent="0.25">
      <c r="A1139" s="14" t="str">
        <f>"83493"</f>
        <v>83493</v>
      </c>
      <c r="B1139" s="14" t="str">
        <f>"07010"</f>
        <v>07010</v>
      </c>
      <c r="C1139" s="14" t="str">
        <f>"1800"</f>
        <v>1800</v>
      </c>
      <c r="D1139" s="14" t="str">
        <f>""</f>
        <v/>
      </c>
      <c r="E1139" s="14" t="s">
        <v>1276</v>
      </c>
      <c r="F1139" s="14" t="s">
        <v>1002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228</v>
      </c>
      <c r="P1139" s="14" t="s">
        <v>260</v>
      </c>
      <c r="Q1139" s="14" t="s">
        <v>260</v>
      </c>
      <c r="R1139" s="14" t="s">
        <v>229</v>
      </c>
    </row>
    <row r="1140" spans="1:18" s="14" customFormat="1" x14ac:dyDescent="0.25">
      <c r="A1140" s="14" t="str">
        <f>"83495"</f>
        <v>83495</v>
      </c>
      <c r="B1140" s="14" t="str">
        <f>"07010"</f>
        <v>07010</v>
      </c>
      <c r="C1140" s="14" t="str">
        <f>"1800"</f>
        <v>1800</v>
      </c>
      <c r="D1140" s="14" t="str">
        <f>""</f>
        <v/>
      </c>
      <c r="E1140" s="14" t="s">
        <v>1277</v>
      </c>
      <c r="F1140" s="14" t="s">
        <v>1002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228</v>
      </c>
      <c r="P1140" s="14" t="s">
        <v>260</v>
      </c>
      <c r="Q1140" s="14" t="s">
        <v>260</v>
      </c>
      <c r="R1140" s="14" t="s">
        <v>229</v>
      </c>
    </row>
    <row r="1141" spans="1:18" s="14" customFormat="1" x14ac:dyDescent="0.25">
      <c r="A1141" s="14" t="str">
        <f>"83497"</f>
        <v>83497</v>
      </c>
      <c r="B1141" s="14" t="str">
        <f>"07010"</f>
        <v>07010</v>
      </c>
      <c r="C1141" s="14" t="str">
        <f>"1800"</f>
        <v>1800</v>
      </c>
      <c r="D1141" s="14" t="str">
        <f>""</f>
        <v/>
      </c>
      <c r="E1141" s="14" t="s">
        <v>1278</v>
      </c>
      <c r="F1141" s="14" t="s">
        <v>1002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228</v>
      </c>
      <c r="P1141" s="14" t="s">
        <v>260</v>
      </c>
      <c r="Q1141" s="14" t="s">
        <v>260</v>
      </c>
      <c r="R1141" s="14" t="s">
        <v>229</v>
      </c>
    </row>
    <row r="1142" spans="1:18" s="14" customFormat="1" x14ac:dyDescent="0.25">
      <c r="A1142" s="14" t="str">
        <f>"83499"</f>
        <v>83499</v>
      </c>
      <c r="B1142" s="14" t="str">
        <f>"07010"</f>
        <v>07010</v>
      </c>
      <c r="C1142" s="14" t="str">
        <f>"1800"</f>
        <v>1800</v>
      </c>
      <c r="D1142" s="14" t="str">
        <f>""</f>
        <v/>
      </c>
      <c r="E1142" s="14" t="s">
        <v>1279</v>
      </c>
      <c r="F1142" s="14" t="s">
        <v>1002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228</v>
      </c>
      <c r="P1142" s="14" t="s">
        <v>260</v>
      </c>
      <c r="Q1142" s="14" t="s">
        <v>260</v>
      </c>
      <c r="R1142" s="14" t="s">
        <v>229</v>
      </c>
    </row>
    <row r="1143" spans="1:18" s="14" customFormat="1" x14ac:dyDescent="0.25">
      <c r="A1143" s="14" t="str">
        <f>"83501"</f>
        <v>83501</v>
      </c>
      <c r="B1143" s="14" t="str">
        <f>"07010"</f>
        <v>07010</v>
      </c>
      <c r="C1143" s="14" t="str">
        <f>"1800"</f>
        <v>1800</v>
      </c>
      <c r="D1143" s="14" t="str">
        <f>""</f>
        <v/>
      </c>
      <c r="E1143" s="14" t="s">
        <v>1280</v>
      </c>
      <c r="F1143" s="14" t="s">
        <v>1002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228</v>
      </c>
      <c r="P1143" s="14" t="s">
        <v>260</v>
      </c>
      <c r="Q1143" s="14" t="s">
        <v>260</v>
      </c>
      <c r="R1143" s="14" t="s">
        <v>229</v>
      </c>
    </row>
    <row r="1144" spans="1:18" s="14" customFormat="1" x14ac:dyDescent="0.25">
      <c r="A1144" s="14" t="str">
        <f>"83502"</f>
        <v>83502</v>
      </c>
      <c r="B1144" s="14" t="str">
        <f>"07010"</f>
        <v>07010</v>
      </c>
      <c r="C1144" s="14" t="str">
        <f>"1800"</f>
        <v>1800</v>
      </c>
      <c r="D1144" s="14" t="str">
        <f>""</f>
        <v/>
      </c>
      <c r="E1144" s="14" t="s">
        <v>1281</v>
      </c>
      <c r="F1144" s="14" t="s">
        <v>1002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228</v>
      </c>
      <c r="P1144" s="14" t="s">
        <v>260</v>
      </c>
      <c r="Q1144" s="14" t="s">
        <v>260</v>
      </c>
      <c r="R1144" s="14" t="s">
        <v>229</v>
      </c>
    </row>
    <row r="1145" spans="1:18" s="14" customFormat="1" x14ac:dyDescent="0.25">
      <c r="A1145" s="14" t="str">
        <f>"83503"</f>
        <v>83503</v>
      </c>
      <c r="B1145" s="14" t="str">
        <f>"07010"</f>
        <v>07010</v>
      </c>
      <c r="C1145" s="14" t="str">
        <f>"1800"</f>
        <v>1800</v>
      </c>
      <c r="D1145" s="14" t="str">
        <f>""</f>
        <v/>
      </c>
      <c r="E1145" s="14" t="s">
        <v>1282</v>
      </c>
      <c r="F1145" s="14" t="s">
        <v>1002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228</v>
      </c>
      <c r="P1145" s="14" t="s">
        <v>260</v>
      </c>
      <c r="Q1145" s="14" t="s">
        <v>260</v>
      </c>
      <c r="R1145" s="14" t="s">
        <v>229</v>
      </c>
    </row>
    <row r="1146" spans="1:18" s="14" customFormat="1" x14ac:dyDescent="0.25">
      <c r="A1146" s="14" t="str">
        <f>"83504"</f>
        <v>83504</v>
      </c>
      <c r="B1146" s="14" t="str">
        <f>"07010"</f>
        <v>07010</v>
      </c>
      <c r="C1146" s="14" t="str">
        <f>"1800"</f>
        <v>1800</v>
      </c>
      <c r="D1146" s="14" t="str">
        <f>""</f>
        <v/>
      </c>
      <c r="E1146" s="14" t="s">
        <v>1283</v>
      </c>
      <c r="F1146" s="14" t="s">
        <v>1002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228</v>
      </c>
      <c r="P1146" s="14" t="s">
        <v>260</v>
      </c>
      <c r="Q1146" s="14" t="s">
        <v>260</v>
      </c>
      <c r="R1146" s="14" t="s">
        <v>229</v>
      </c>
    </row>
    <row r="1147" spans="1:18" s="14" customFormat="1" x14ac:dyDescent="0.25">
      <c r="A1147" s="14" t="str">
        <f>"83505"</f>
        <v>83505</v>
      </c>
      <c r="B1147" s="14" t="str">
        <f>"07010"</f>
        <v>07010</v>
      </c>
      <c r="C1147" s="14" t="str">
        <f>"1800"</f>
        <v>1800</v>
      </c>
      <c r="D1147" s="14" t="str">
        <f>""</f>
        <v/>
      </c>
      <c r="E1147" s="14" t="s">
        <v>1284</v>
      </c>
      <c r="F1147" s="14" t="s">
        <v>1002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228</v>
      </c>
      <c r="P1147" s="14" t="s">
        <v>260</v>
      </c>
      <c r="Q1147" s="14" t="s">
        <v>260</v>
      </c>
      <c r="R1147" s="14" t="s">
        <v>229</v>
      </c>
    </row>
    <row r="1148" spans="1:18" s="14" customFormat="1" x14ac:dyDescent="0.25">
      <c r="A1148" s="14" t="str">
        <f>"83506"</f>
        <v>83506</v>
      </c>
      <c r="B1148" s="14" t="str">
        <f>"07010"</f>
        <v>07010</v>
      </c>
      <c r="C1148" s="14" t="str">
        <f>"1800"</f>
        <v>1800</v>
      </c>
      <c r="D1148" s="14" t="str">
        <f>""</f>
        <v/>
      </c>
      <c r="E1148" s="14" t="s">
        <v>1285</v>
      </c>
      <c r="F1148" s="14" t="s">
        <v>1002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228</v>
      </c>
      <c r="P1148" s="14" t="s">
        <v>260</v>
      </c>
      <c r="Q1148" s="14" t="s">
        <v>260</v>
      </c>
      <c r="R1148" s="14" t="s">
        <v>229</v>
      </c>
    </row>
    <row r="1149" spans="1:18" s="14" customFormat="1" x14ac:dyDescent="0.25">
      <c r="A1149" s="14" t="str">
        <f>"83509"</f>
        <v>83509</v>
      </c>
      <c r="B1149" s="14" t="str">
        <f>"07010"</f>
        <v>07010</v>
      </c>
      <c r="C1149" s="14" t="str">
        <f>"1800"</f>
        <v>1800</v>
      </c>
      <c r="D1149" s="14" t="str">
        <f>""</f>
        <v/>
      </c>
      <c r="E1149" s="14" t="s">
        <v>1286</v>
      </c>
      <c r="F1149" s="14" t="s">
        <v>1002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228</v>
      </c>
      <c r="P1149" s="14" t="s">
        <v>260</v>
      </c>
      <c r="Q1149" s="14" t="s">
        <v>260</v>
      </c>
      <c r="R1149" s="14" t="s">
        <v>229</v>
      </c>
    </row>
    <row r="1150" spans="1:18" s="14" customFormat="1" x14ac:dyDescent="0.25">
      <c r="A1150" s="14" t="str">
        <f>"83510"</f>
        <v>83510</v>
      </c>
      <c r="B1150" s="14" t="str">
        <f>"07010"</f>
        <v>07010</v>
      </c>
      <c r="C1150" s="14" t="str">
        <f>"1800"</f>
        <v>1800</v>
      </c>
      <c r="D1150" s="14" t="str">
        <f>""</f>
        <v/>
      </c>
      <c r="E1150" s="14" t="s">
        <v>1287</v>
      </c>
      <c r="F1150" s="14" t="s">
        <v>1002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228</v>
      </c>
      <c r="P1150" s="14" t="s">
        <v>260</v>
      </c>
      <c r="Q1150" s="14" t="s">
        <v>260</v>
      </c>
      <c r="R1150" s="14" t="s">
        <v>229</v>
      </c>
    </row>
    <row r="1151" spans="1:18" s="14" customFormat="1" x14ac:dyDescent="0.25">
      <c r="A1151" s="14" t="str">
        <f>"83511"</f>
        <v>83511</v>
      </c>
      <c r="B1151" s="14" t="str">
        <f>"07010"</f>
        <v>07010</v>
      </c>
      <c r="C1151" s="14" t="str">
        <f>"1800"</f>
        <v>1800</v>
      </c>
      <c r="D1151" s="14" t="str">
        <f>""</f>
        <v/>
      </c>
      <c r="E1151" s="14" t="s">
        <v>1288</v>
      </c>
      <c r="F1151" s="14" t="s">
        <v>1002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228</v>
      </c>
      <c r="P1151" s="14" t="s">
        <v>260</v>
      </c>
      <c r="Q1151" s="14" t="s">
        <v>260</v>
      </c>
      <c r="R1151" s="14" t="s">
        <v>229</v>
      </c>
    </row>
    <row r="1152" spans="1:18" s="14" customFormat="1" x14ac:dyDescent="0.25">
      <c r="A1152" s="14" t="str">
        <f>"83513"</f>
        <v>83513</v>
      </c>
      <c r="B1152" s="14" t="str">
        <f>"07010"</f>
        <v>07010</v>
      </c>
      <c r="C1152" s="14" t="str">
        <f>"1800"</f>
        <v>1800</v>
      </c>
      <c r="D1152" s="14" t="str">
        <f>""</f>
        <v/>
      </c>
      <c r="E1152" s="14" t="s">
        <v>1289</v>
      </c>
      <c r="F1152" s="14" t="s">
        <v>1002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228</v>
      </c>
      <c r="P1152" s="14" t="s">
        <v>260</v>
      </c>
      <c r="Q1152" s="14" t="s">
        <v>260</v>
      </c>
      <c r="R1152" s="14" t="s">
        <v>229</v>
      </c>
    </row>
    <row r="1153" spans="1:18" s="14" customFormat="1" x14ac:dyDescent="0.25">
      <c r="A1153" s="14" t="str">
        <f>"83514"</f>
        <v>83514</v>
      </c>
      <c r="B1153" s="14" t="str">
        <f>"07010"</f>
        <v>07010</v>
      </c>
      <c r="C1153" s="14" t="str">
        <f>"1800"</f>
        <v>1800</v>
      </c>
      <c r="D1153" s="14" t="str">
        <f>""</f>
        <v/>
      </c>
      <c r="E1153" s="14" t="s">
        <v>1290</v>
      </c>
      <c r="F1153" s="14" t="s">
        <v>1002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228</v>
      </c>
      <c r="P1153" s="14" t="s">
        <v>260</v>
      </c>
      <c r="Q1153" s="14" t="s">
        <v>260</v>
      </c>
      <c r="R1153" s="14" t="s">
        <v>229</v>
      </c>
    </row>
    <row r="1154" spans="1:18" s="14" customFormat="1" x14ac:dyDescent="0.25">
      <c r="A1154" s="14" t="str">
        <f>"83515"</f>
        <v>83515</v>
      </c>
      <c r="B1154" s="14" t="str">
        <f>"07010"</f>
        <v>07010</v>
      </c>
      <c r="C1154" s="14" t="str">
        <f>"1800"</f>
        <v>1800</v>
      </c>
      <c r="D1154" s="14" t="str">
        <f>""</f>
        <v/>
      </c>
      <c r="E1154" s="14" t="s">
        <v>1291</v>
      </c>
      <c r="F1154" s="14" t="s">
        <v>1002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228</v>
      </c>
      <c r="P1154" s="14" t="s">
        <v>260</v>
      </c>
      <c r="Q1154" s="14" t="s">
        <v>260</v>
      </c>
      <c r="R1154" s="14" t="s">
        <v>229</v>
      </c>
    </row>
    <row r="1155" spans="1:18" s="14" customFormat="1" x14ac:dyDescent="0.25">
      <c r="A1155" s="14" t="str">
        <f>"83516"</f>
        <v>83516</v>
      </c>
      <c r="B1155" s="14" t="str">
        <f>"07010"</f>
        <v>07010</v>
      </c>
      <c r="C1155" s="14" t="str">
        <f>"1800"</f>
        <v>1800</v>
      </c>
      <c r="D1155" s="14" t="str">
        <f>""</f>
        <v/>
      </c>
      <c r="E1155" s="14" t="s">
        <v>1292</v>
      </c>
      <c r="F1155" s="14" t="s">
        <v>1002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228</v>
      </c>
      <c r="P1155" s="14" t="s">
        <v>260</v>
      </c>
      <c r="Q1155" s="14" t="s">
        <v>260</v>
      </c>
      <c r="R1155" s="14" t="s">
        <v>229</v>
      </c>
    </row>
    <row r="1156" spans="1:18" s="14" customFormat="1" x14ac:dyDescent="0.25">
      <c r="A1156" s="14" t="str">
        <f>"83518"</f>
        <v>83518</v>
      </c>
      <c r="B1156" s="14" t="str">
        <f>"07010"</f>
        <v>07010</v>
      </c>
      <c r="C1156" s="14" t="str">
        <f>"1800"</f>
        <v>1800</v>
      </c>
      <c r="D1156" s="14" t="str">
        <f>""</f>
        <v/>
      </c>
      <c r="E1156" s="14" t="s">
        <v>1293</v>
      </c>
      <c r="F1156" s="14" t="s">
        <v>1002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228</v>
      </c>
      <c r="P1156" s="14" t="s">
        <v>260</v>
      </c>
      <c r="Q1156" s="14" t="s">
        <v>260</v>
      </c>
      <c r="R1156" s="14" t="s">
        <v>229</v>
      </c>
    </row>
    <row r="1157" spans="1:18" s="14" customFormat="1" x14ac:dyDescent="0.25">
      <c r="A1157" s="14" t="str">
        <f>"83519"</f>
        <v>83519</v>
      </c>
      <c r="B1157" s="14" t="str">
        <f>"07010"</f>
        <v>07010</v>
      </c>
      <c r="C1157" s="14" t="str">
        <f>"1800"</f>
        <v>1800</v>
      </c>
      <c r="D1157" s="14" t="str">
        <f>""</f>
        <v/>
      </c>
      <c r="E1157" s="14" t="s">
        <v>1294</v>
      </c>
      <c r="F1157" s="14" t="s">
        <v>1002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228</v>
      </c>
      <c r="P1157" s="14" t="s">
        <v>260</v>
      </c>
      <c r="Q1157" s="14" t="s">
        <v>260</v>
      </c>
      <c r="R1157" s="14" t="s">
        <v>229</v>
      </c>
    </row>
    <row r="1158" spans="1:18" s="14" customFormat="1" x14ac:dyDescent="0.25">
      <c r="A1158" s="14" t="str">
        <f>"83528"</f>
        <v>83528</v>
      </c>
      <c r="B1158" s="14" t="str">
        <f>"07010"</f>
        <v>07010</v>
      </c>
      <c r="C1158" s="14" t="str">
        <f>"1800"</f>
        <v>1800</v>
      </c>
      <c r="D1158" s="14" t="str">
        <f>""</f>
        <v/>
      </c>
      <c r="E1158" s="14" t="s">
        <v>1295</v>
      </c>
      <c r="F1158" s="14" t="s">
        <v>1002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228</v>
      </c>
      <c r="P1158" s="14" t="s">
        <v>260</v>
      </c>
      <c r="Q1158" s="14" t="s">
        <v>260</v>
      </c>
      <c r="R1158" s="14" t="s">
        <v>229</v>
      </c>
    </row>
    <row r="1159" spans="1:18" s="14" customFormat="1" x14ac:dyDescent="0.25">
      <c r="A1159" s="14" t="str">
        <f>"83529"</f>
        <v>83529</v>
      </c>
      <c r="B1159" s="14" t="str">
        <f>"07010"</f>
        <v>07010</v>
      </c>
      <c r="C1159" s="14" t="str">
        <f>"1800"</f>
        <v>1800</v>
      </c>
      <c r="D1159" s="14" t="str">
        <f>""</f>
        <v/>
      </c>
      <c r="E1159" s="14" t="s">
        <v>1296</v>
      </c>
      <c r="F1159" s="14" t="s">
        <v>1002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228</v>
      </c>
      <c r="P1159" s="14" t="s">
        <v>260</v>
      </c>
      <c r="Q1159" s="14" t="s">
        <v>260</v>
      </c>
      <c r="R1159" s="14" t="s">
        <v>229</v>
      </c>
    </row>
    <row r="1160" spans="1:18" s="14" customFormat="1" x14ac:dyDescent="0.25">
      <c r="A1160" s="14" t="str">
        <f>"83530"</f>
        <v>83530</v>
      </c>
      <c r="B1160" s="14" t="str">
        <f>"07010"</f>
        <v>07010</v>
      </c>
      <c r="C1160" s="14" t="str">
        <f>"1800"</f>
        <v>1800</v>
      </c>
      <c r="D1160" s="14" t="str">
        <f>""</f>
        <v/>
      </c>
      <c r="E1160" s="14" t="s">
        <v>1297</v>
      </c>
      <c r="F1160" s="14" t="s">
        <v>1002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228</v>
      </c>
      <c r="P1160" s="14" t="s">
        <v>260</v>
      </c>
      <c r="Q1160" s="14" t="s">
        <v>260</v>
      </c>
      <c r="R1160" s="14" t="s">
        <v>229</v>
      </c>
    </row>
    <row r="1161" spans="1:18" s="14" customFormat="1" x14ac:dyDescent="0.25">
      <c r="A1161" s="14" t="str">
        <f>"83531"</f>
        <v>83531</v>
      </c>
      <c r="B1161" s="14" t="str">
        <f>"07010"</f>
        <v>07010</v>
      </c>
      <c r="C1161" s="14" t="str">
        <f>"1800"</f>
        <v>1800</v>
      </c>
      <c r="D1161" s="14" t="str">
        <f>""</f>
        <v/>
      </c>
      <c r="E1161" s="14" t="s">
        <v>1298</v>
      </c>
      <c r="F1161" s="14" t="s">
        <v>1002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228</v>
      </c>
      <c r="P1161" s="14" t="s">
        <v>260</v>
      </c>
      <c r="Q1161" s="14" t="s">
        <v>260</v>
      </c>
      <c r="R1161" s="14" t="s">
        <v>229</v>
      </c>
    </row>
    <row r="1162" spans="1:18" s="14" customFormat="1" x14ac:dyDescent="0.25">
      <c r="A1162" s="14" t="str">
        <f>"83533"</f>
        <v>83533</v>
      </c>
      <c r="B1162" s="14" t="str">
        <f>"07010"</f>
        <v>07010</v>
      </c>
      <c r="C1162" s="14" t="str">
        <f>"1800"</f>
        <v>1800</v>
      </c>
      <c r="D1162" s="14" t="str">
        <f>""</f>
        <v/>
      </c>
      <c r="E1162" s="14" t="s">
        <v>1299</v>
      </c>
      <c r="F1162" s="14" t="s">
        <v>1002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228</v>
      </c>
      <c r="P1162" s="14" t="s">
        <v>260</v>
      </c>
      <c r="Q1162" s="14" t="s">
        <v>260</v>
      </c>
      <c r="R1162" s="14" t="s">
        <v>229</v>
      </c>
    </row>
    <row r="1163" spans="1:18" s="14" customFormat="1" x14ac:dyDescent="0.25">
      <c r="A1163" s="14" t="str">
        <f>"83535"</f>
        <v>83535</v>
      </c>
      <c r="B1163" s="14" t="str">
        <f>"07010"</f>
        <v>07010</v>
      </c>
      <c r="C1163" s="14" t="str">
        <f>"1800"</f>
        <v>1800</v>
      </c>
      <c r="D1163" s="14" t="str">
        <f>""</f>
        <v/>
      </c>
      <c r="E1163" s="14" t="s">
        <v>1300</v>
      </c>
      <c r="F1163" s="14" t="s">
        <v>1002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228</v>
      </c>
      <c r="P1163" s="14" t="s">
        <v>260</v>
      </c>
      <c r="Q1163" s="14" t="s">
        <v>260</v>
      </c>
      <c r="R1163" s="14" t="s">
        <v>229</v>
      </c>
    </row>
    <row r="1164" spans="1:18" s="14" customFormat="1" x14ac:dyDescent="0.25">
      <c r="A1164" s="14" t="str">
        <f>"83538"</f>
        <v>83538</v>
      </c>
      <c r="B1164" s="14" t="str">
        <f>"07010"</f>
        <v>07010</v>
      </c>
      <c r="C1164" s="14" t="str">
        <f>"1800"</f>
        <v>1800</v>
      </c>
      <c r="D1164" s="14" t="str">
        <f>""</f>
        <v/>
      </c>
      <c r="E1164" s="14" t="s">
        <v>1301</v>
      </c>
      <c r="F1164" s="14" t="s">
        <v>1002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228</v>
      </c>
      <c r="P1164" s="14" t="s">
        <v>260</v>
      </c>
      <c r="Q1164" s="14" t="s">
        <v>260</v>
      </c>
      <c r="R1164" s="14" t="s">
        <v>229</v>
      </c>
    </row>
    <row r="1165" spans="1:18" s="14" customFormat="1" x14ac:dyDescent="0.25">
      <c r="A1165" s="14" t="str">
        <f>"83539"</f>
        <v>83539</v>
      </c>
      <c r="B1165" s="14" t="str">
        <f>"07010"</f>
        <v>07010</v>
      </c>
      <c r="C1165" s="14" t="str">
        <f>"1800"</f>
        <v>1800</v>
      </c>
      <c r="D1165" s="14" t="str">
        <f>""</f>
        <v/>
      </c>
      <c r="E1165" s="14" t="s">
        <v>1302</v>
      </c>
      <c r="F1165" s="14" t="s">
        <v>1002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228</v>
      </c>
      <c r="P1165" s="14" t="s">
        <v>260</v>
      </c>
      <c r="Q1165" s="14" t="s">
        <v>260</v>
      </c>
      <c r="R1165" s="14" t="s">
        <v>229</v>
      </c>
    </row>
    <row r="1166" spans="1:18" s="14" customFormat="1" x14ac:dyDescent="0.25">
      <c r="A1166" s="14" t="str">
        <f>"83540"</f>
        <v>83540</v>
      </c>
      <c r="B1166" s="14" t="str">
        <f>"07010"</f>
        <v>07010</v>
      </c>
      <c r="C1166" s="14" t="str">
        <f>"1800"</f>
        <v>1800</v>
      </c>
      <c r="D1166" s="14" t="str">
        <f>""</f>
        <v/>
      </c>
      <c r="E1166" s="14" t="s">
        <v>1303</v>
      </c>
      <c r="F1166" s="14" t="s">
        <v>1002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228</v>
      </c>
      <c r="P1166" s="14" t="s">
        <v>260</v>
      </c>
      <c r="Q1166" s="14" t="s">
        <v>260</v>
      </c>
      <c r="R1166" s="14" t="s">
        <v>229</v>
      </c>
    </row>
    <row r="1167" spans="1:18" s="14" customFormat="1" x14ac:dyDescent="0.25">
      <c r="A1167" s="14" t="str">
        <f>"83543"</f>
        <v>83543</v>
      </c>
      <c r="B1167" s="14" t="str">
        <f>"07010"</f>
        <v>07010</v>
      </c>
      <c r="C1167" s="14" t="str">
        <f>"1800"</f>
        <v>1800</v>
      </c>
      <c r="D1167" s="14" t="str">
        <f>""</f>
        <v/>
      </c>
      <c r="E1167" s="14" t="s">
        <v>1304</v>
      </c>
      <c r="F1167" s="14" t="s">
        <v>1002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228</v>
      </c>
      <c r="P1167" s="14" t="s">
        <v>260</v>
      </c>
      <c r="Q1167" s="14" t="s">
        <v>260</v>
      </c>
      <c r="R1167" s="14" t="s">
        <v>229</v>
      </c>
    </row>
    <row r="1168" spans="1:18" s="14" customFormat="1" x14ac:dyDescent="0.25">
      <c r="A1168" s="14" t="str">
        <f>"83545"</f>
        <v>83545</v>
      </c>
      <c r="B1168" s="14" t="str">
        <f>"07010"</f>
        <v>07010</v>
      </c>
      <c r="C1168" s="14" t="str">
        <f>"1800"</f>
        <v>1800</v>
      </c>
      <c r="D1168" s="14" t="str">
        <f>""</f>
        <v/>
      </c>
      <c r="E1168" s="14" t="s">
        <v>1305</v>
      </c>
      <c r="F1168" s="14" t="s">
        <v>1002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228</v>
      </c>
      <c r="P1168" s="14" t="s">
        <v>260</v>
      </c>
      <c r="Q1168" s="14" t="s">
        <v>260</v>
      </c>
      <c r="R1168" s="14" t="s">
        <v>229</v>
      </c>
    </row>
    <row r="1169" spans="1:18" s="14" customFormat="1" x14ac:dyDescent="0.25">
      <c r="A1169" s="14" t="str">
        <f>"83548"</f>
        <v>83548</v>
      </c>
      <c r="B1169" s="14" t="str">
        <f>"07010"</f>
        <v>07010</v>
      </c>
      <c r="C1169" s="14" t="str">
        <f>"1800"</f>
        <v>1800</v>
      </c>
      <c r="D1169" s="14" t="str">
        <f>""</f>
        <v/>
      </c>
      <c r="E1169" s="14" t="s">
        <v>1306</v>
      </c>
      <c r="F1169" s="14" t="s">
        <v>1002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228</v>
      </c>
      <c r="P1169" s="14" t="s">
        <v>260</v>
      </c>
      <c r="Q1169" s="14" t="s">
        <v>260</v>
      </c>
      <c r="R1169" s="14" t="s">
        <v>229</v>
      </c>
    </row>
    <row r="1170" spans="1:18" s="14" customFormat="1" x14ac:dyDescent="0.25">
      <c r="A1170" s="14" t="str">
        <f>"83552"</f>
        <v>83552</v>
      </c>
      <c r="B1170" s="14" t="str">
        <f>"07010"</f>
        <v>07010</v>
      </c>
      <c r="C1170" s="14" t="str">
        <f>"1800"</f>
        <v>1800</v>
      </c>
      <c r="D1170" s="14" t="str">
        <f>""</f>
        <v/>
      </c>
      <c r="E1170" s="14" t="s">
        <v>1307</v>
      </c>
      <c r="F1170" s="14" t="s">
        <v>1002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228</v>
      </c>
      <c r="P1170" s="14" t="s">
        <v>260</v>
      </c>
      <c r="Q1170" s="14" t="s">
        <v>260</v>
      </c>
      <c r="R1170" s="14" t="s">
        <v>229</v>
      </c>
    </row>
    <row r="1171" spans="1:18" s="14" customFormat="1" x14ac:dyDescent="0.25">
      <c r="A1171" s="14" t="str">
        <f>"83553"</f>
        <v>83553</v>
      </c>
      <c r="B1171" s="14" t="str">
        <f>"07010"</f>
        <v>07010</v>
      </c>
      <c r="C1171" s="14" t="str">
        <f>"1800"</f>
        <v>1800</v>
      </c>
      <c r="D1171" s="14" t="str">
        <f>""</f>
        <v/>
      </c>
      <c r="E1171" s="14" t="s">
        <v>1308</v>
      </c>
      <c r="F1171" s="14" t="s">
        <v>1002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228</v>
      </c>
      <c r="P1171" s="14" t="s">
        <v>260</v>
      </c>
      <c r="Q1171" s="14" t="s">
        <v>260</v>
      </c>
      <c r="R1171" s="14" t="s">
        <v>229</v>
      </c>
    </row>
    <row r="1172" spans="1:18" s="14" customFormat="1" x14ac:dyDescent="0.25">
      <c r="A1172" s="14" t="str">
        <f>"83554"</f>
        <v>83554</v>
      </c>
      <c r="B1172" s="14" t="str">
        <f>"07010"</f>
        <v>07010</v>
      </c>
      <c r="C1172" s="14" t="str">
        <f>"1800"</f>
        <v>1800</v>
      </c>
      <c r="D1172" s="14" t="str">
        <f>""</f>
        <v/>
      </c>
      <c r="E1172" s="14" t="s">
        <v>1309</v>
      </c>
      <c r="F1172" s="14" t="s">
        <v>1002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228</v>
      </c>
      <c r="P1172" s="14" t="s">
        <v>260</v>
      </c>
      <c r="Q1172" s="14" t="s">
        <v>260</v>
      </c>
      <c r="R1172" s="14" t="s">
        <v>229</v>
      </c>
    </row>
    <row r="1173" spans="1:18" s="14" customFormat="1" x14ac:dyDescent="0.25">
      <c r="A1173" s="14" t="str">
        <f>"83555"</f>
        <v>83555</v>
      </c>
      <c r="B1173" s="14" t="str">
        <f>"07010"</f>
        <v>07010</v>
      </c>
      <c r="C1173" s="14" t="str">
        <f>"1800"</f>
        <v>1800</v>
      </c>
      <c r="D1173" s="14" t="str">
        <f>""</f>
        <v/>
      </c>
      <c r="E1173" s="14" t="s">
        <v>1310</v>
      </c>
      <c r="F1173" s="14" t="s">
        <v>1002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228</v>
      </c>
      <c r="P1173" s="14" t="s">
        <v>260</v>
      </c>
      <c r="Q1173" s="14" t="s">
        <v>260</v>
      </c>
      <c r="R1173" s="14" t="s">
        <v>229</v>
      </c>
    </row>
    <row r="1174" spans="1:18" s="14" customFormat="1" x14ac:dyDescent="0.25">
      <c r="A1174" s="14" t="str">
        <f>"83556"</f>
        <v>83556</v>
      </c>
      <c r="B1174" s="14" t="str">
        <f>"07010"</f>
        <v>07010</v>
      </c>
      <c r="C1174" s="14" t="str">
        <f>"1800"</f>
        <v>1800</v>
      </c>
      <c r="D1174" s="14" t="str">
        <f>""</f>
        <v/>
      </c>
      <c r="E1174" s="14" t="s">
        <v>1311</v>
      </c>
      <c r="F1174" s="14" t="s">
        <v>1002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228</v>
      </c>
      <c r="P1174" s="14" t="s">
        <v>260</v>
      </c>
      <c r="Q1174" s="14" t="s">
        <v>260</v>
      </c>
      <c r="R1174" s="14" t="s">
        <v>229</v>
      </c>
    </row>
    <row r="1175" spans="1:18" s="14" customFormat="1" x14ac:dyDescent="0.25">
      <c r="A1175" s="14" t="str">
        <f>"83558"</f>
        <v>83558</v>
      </c>
      <c r="B1175" s="14" t="str">
        <f>"07010"</f>
        <v>07010</v>
      </c>
      <c r="C1175" s="14" t="str">
        <f>"1800"</f>
        <v>1800</v>
      </c>
      <c r="D1175" s="14" t="str">
        <f>""</f>
        <v/>
      </c>
      <c r="E1175" s="14" t="s">
        <v>1312</v>
      </c>
      <c r="F1175" s="14" t="s">
        <v>1002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228</v>
      </c>
      <c r="P1175" s="14" t="s">
        <v>260</v>
      </c>
      <c r="Q1175" s="14" t="s">
        <v>260</v>
      </c>
      <c r="R1175" s="14" t="s">
        <v>229</v>
      </c>
    </row>
    <row r="1176" spans="1:18" s="14" customFormat="1" x14ac:dyDescent="0.25">
      <c r="A1176" s="14" t="str">
        <f>"83559"</f>
        <v>83559</v>
      </c>
      <c r="B1176" s="14" t="str">
        <f>"07010"</f>
        <v>07010</v>
      </c>
      <c r="C1176" s="14" t="str">
        <f>"1800"</f>
        <v>1800</v>
      </c>
      <c r="D1176" s="14" t="str">
        <f>""</f>
        <v/>
      </c>
      <c r="E1176" s="14" t="s">
        <v>1313</v>
      </c>
      <c r="F1176" s="14" t="s">
        <v>1002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228</v>
      </c>
      <c r="P1176" s="14" t="s">
        <v>260</v>
      </c>
      <c r="Q1176" s="14" t="s">
        <v>260</v>
      </c>
      <c r="R1176" s="14" t="s">
        <v>229</v>
      </c>
    </row>
    <row r="1177" spans="1:18" s="14" customFormat="1" x14ac:dyDescent="0.25">
      <c r="A1177" s="14" t="str">
        <f>"83560"</f>
        <v>83560</v>
      </c>
      <c r="B1177" s="14" t="str">
        <f>"07010"</f>
        <v>07010</v>
      </c>
      <c r="C1177" s="14" t="str">
        <f>"1800"</f>
        <v>1800</v>
      </c>
      <c r="D1177" s="14" t="str">
        <f>""</f>
        <v/>
      </c>
      <c r="E1177" s="14" t="s">
        <v>1314</v>
      </c>
      <c r="F1177" s="14" t="s">
        <v>1002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228</v>
      </c>
      <c r="P1177" s="14" t="s">
        <v>260</v>
      </c>
      <c r="Q1177" s="14" t="s">
        <v>260</v>
      </c>
      <c r="R1177" s="14" t="s">
        <v>229</v>
      </c>
    </row>
    <row r="1178" spans="1:18" s="14" customFormat="1" x14ac:dyDescent="0.25">
      <c r="A1178" s="14" t="str">
        <f>"83561"</f>
        <v>83561</v>
      </c>
      <c r="B1178" s="14" t="str">
        <f>"07010"</f>
        <v>07010</v>
      </c>
      <c r="C1178" s="14" t="str">
        <f>"1800"</f>
        <v>1800</v>
      </c>
      <c r="D1178" s="14" t="str">
        <f>""</f>
        <v/>
      </c>
      <c r="E1178" s="14" t="s">
        <v>1315</v>
      </c>
      <c r="F1178" s="14" t="s">
        <v>1002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228</v>
      </c>
      <c r="P1178" s="14" t="s">
        <v>260</v>
      </c>
      <c r="Q1178" s="14" t="s">
        <v>260</v>
      </c>
      <c r="R1178" s="14" t="s">
        <v>229</v>
      </c>
    </row>
    <row r="1179" spans="1:18" s="14" customFormat="1" x14ac:dyDescent="0.25">
      <c r="A1179" s="14" t="str">
        <f>"83562"</f>
        <v>83562</v>
      </c>
      <c r="B1179" s="14" t="str">
        <f>"07010"</f>
        <v>07010</v>
      </c>
      <c r="C1179" s="14" t="str">
        <f>"1800"</f>
        <v>1800</v>
      </c>
      <c r="D1179" s="14" t="str">
        <f>""</f>
        <v/>
      </c>
      <c r="E1179" s="14" t="s">
        <v>1316</v>
      </c>
      <c r="F1179" s="14" t="s">
        <v>1002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228</v>
      </c>
      <c r="P1179" s="14" t="s">
        <v>260</v>
      </c>
      <c r="Q1179" s="14" t="s">
        <v>260</v>
      </c>
      <c r="R1179" s="14" t="s">
        <v>229</v>
      </c>
    </row>
    <row r="1180" spans="1:18" s="14" customFormat="1" x14ac:dyDescent="0.25">
      <c r="A1180" s="14" t="str">
        <f>"83563"</f>
        <v>83563</v>
      </c>
      <c r="B1180" s="14" t="str">
        <f>"07010"</f>
        <v>07010</v>
      </c>
      <c r="C1180" s="14" t="str">
        <f>"1800"</f>
        <v>1800</v>
      </c>
      <c r="D1180" s="14" t="str">
        <f>""</f>
        <v/>
      </c>
      <c r="E1180" s="14" t="s">
        <v>1317</v>
      </c>
      <c r="F1180" s="14" t="s">
        <v>1002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228</v>
      </c>
      <c r="P1180" s="14" t="s">
        <v>260</v>
      </c>
      <c r="Q1180" s="14" t="s">
        <v>260</v>
      </c>
      <c r="R1180" s="14" t="s">
        <v>229</v>
      </c>
    </row>
    <row r="1181" spans="1:18" s="14" customFormat="1" x14ac:dyDescent="0.25">
      <c r="A1181" s="14" t="str">
        <f>"83568"</f>
        <v>83568</v>
      </c>
      <c r="B1181" s="14" t="str">
        <f>"07010"</f>
        <v>07010</v>
      </c>
      <c r="C1181" s="14" t="str">
        <f>"1800"</f>
        <v>1800</v>
      </c>
      <c r="D1181" s="14" t="str">
        <f>""</f>
        <v/>
      </c>
      <c r="E1181" s="14" t="s">
        <v>1318</v>
      </c>
      <c r="F1181" s="14" t="s">
        <v>1002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228</v>
      </c>
      <c r="P1181" s="14" t="s">
        <v>260</v>
      </c>
      <c r="Q1181" s="14" t="s">
        <v>260</v>
      </c>
      <c r="R1181" s="14" t="s">
        <v>229</v>
      </c>
    </row>
    <row r="1182" spans="1:18" s="14" customFormat="1" x14ac:dyDescent="0.25">
      <c r="A1182" s="14" t="str">
        <f>"83569"</f>
        <v>83569</v>
      </c>
      <c r="B1182" s="14" t="str">
        <f>"07010"</f>
        <v>07010</v>
      </c>
      <c r="C1182" s="14" t="str">
        <f>"1800"</f>
        <v>1800</v>
      </c>
      <c r="D1182" s="14" t="str">
        <f>""</f>
        <v/>
      </c>
      <c r="E1182" s="14" t="s">
        <v>1319</v>
      </c>
      <c r="F1182" s="14" t="s">
        <v>1002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228</v>
      </c>
      <c r="P1182" s="14" t="s">
        <v>260</v>
      </c>
      <c r="Q1182" s="14" t="s">
        <v>260</v>
      </c>
      <c r="R1182" s="14" t="s">
        <v>229</v>
      </c>
    </row>
    <row r="1183" spans="1:18" s="14" customFormat="1" x14ac:dyDescent="0.25">
      <c r="A1183" s="14" t="str">
        <f>"83570"</f>
        <v>83570</v>
      </c>
      <c r="B1183" s="14" t="str">
        <f>"07010"</f>
        <v>07010</v>
      </c>
      <c r="C1183" s="14" t="str">
        <f>"1800"</f>
        <v>1800</v>
      </c>
      <c r="D1183" s="14" t="str">
        <f>""</f>
        <v/>
      </c>
      <c r="E1183" s="14" t="s">
        <v>1320</v>
      </c>
      <c r="F1183" s="14" t="s">
        <v>1002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228</v>
      </c>
      <c r="P1183" s="14" t="s">
        <v>260</v>
      </c>
      <c r="Q1183" s="14" t="s">
        <v>260</v>
      </c>
      <c r="R1183" s="14" t="s">
        <v>229</v>
      </c>
    </row>
    <row r="1184" spans="1:18" s="14" customFormat="1" x14ac:dyDescent="0.25">
      <c r="A1184" s="14" t="str">
        <f>"83571"</f>
        <v>83571</v>
      </c>
      <c r="B1184" s="14" t="str">
        <f>"07010"</f>
        <v>07010</v>
      </c>
      <c r="C1184" s="14" t="str">
        <f>"1800"</f>
        <v>1800</v>
      </c>
      <c r="D1184" s="14" t="str">
        <f>""</f>
        <v/>
      </c>
      <c r="E1184" s="14" t="s">
        <v>1321</v>
      </c>
      <c r="F1184" s="14" t="s">
        <v>1002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228</v>
      </c>
      <c r="P1184" s="14" t="s">
        <v>260</v>
      </c>
      <c r="Q1184" s="14" t="s">
        <v>260</v>
      </c>
      <c r="R1184" s="14" t="s">
        <v>229</v>
      </c>
    </row>
    <row r="1185" spans="1:18" s="14" customFormat="1" x14ac:dyDescent="0.25">
      <c r="A1185" s="14" t="str">
        <f>"83572"</f>
        <v>83572</v>
      </c>
      <c r="B1185" s="14" t="str">
        <f>"07010"</f>
        <v>07010</v>
      </c>
      <c r="C1185" s="14" t="str">
        <f>"1800"</f>
        <v>1800</v>
      </c>
      <c r="D1185" s="14" t="str">
        <f>""</f>
        <v/>
      </c>
      <c r="E1185" s="14" t="s">
        <v>1322</v>
      </c>
      <c r="F1185" s="14" t="s">
        <v>1002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228</v>
      </c>
      <c r="P1185" s="14" t="s">
        <v>260</v>
      </c>
      <c r="Q1185" s="14" t="s">
        <v>260</v>
      </c>
      <c r="R1185" s="14" t="s">
        <v>229</v>
      </c>
    </row>
    <row r="1186" spans="1:18" s="14" customFormat="1" x14ac:dyDescent="0.25">
      <c r="A1186" s="14" t="str">
        <f>"83573"</f>
        <v>83573</v>
      </c>
      <c r="B1186" s="14" t="str">
        <f>"07010"</f>
        <v>07010</v>
      </c>
      <c r="C1186" s="14" t="str">
        <f>"1800"</f>
        <v>1800</v>
      </c>
      <c r="D1186" s="14" t="str">
        <f>""</f>
        <v/>
      </c>
      <c r="E1186" s="14" t="s">
        <v>1323</v>
      </c>
      <c r="F1186" s="14" t="s">
        <v>1002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228</v>
      </c>
      <c r="P1186" s="14" t="s">
        <v>260</v>
      </c>
      <c r="Q1186" s="14" t="s">
        <v>260</v>
      </c>
      <c r="R1186" s="14" t="s">
        <v>229</v>
      </c>
    </row>
    <row r="1187" spans="1:18" s="14" customFormat="1" x14ac:dyDescent="0.25">
      <c r="A1187" s="14" t="str">
        <f>"83577"</f>
        <v>83577</v>
      </c>
      <c r="B1187" s="14" t="str">
        <f>"07010"</f>
        <v>07010</v>
      </c>
      <c r="C1187" s="14" t="str">
        <f>"1800"</f>
        <v>1800</v>
      </c>
      <c r="D1187" s="14" t="str">
        <f>""</f>
        <v/>
      </c>
      <c r="E1187" s="14" t="s">
        <v>1324</v>
      </c>
      <c r="F1187" s="14" t="s">
        <v>1002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228</v>
      </c>
      <c r="P1187" s="14" t="s">
        <v>260</v>
      </c>
      <c r="Q1187" s="14" t="s">
        <v>260</v>
      </c>
      <c r="R1187" s="14" t="s">
        <v>229</v>
      </c>
    </row>
    <row r="1188" spans="1:18" s="14" customFormat="1" x14ac:dyDescent="0.25">
      <c r="A1188" s="14" t="str">
        <f>"83578"</f>
        <v>83578</v>
      </c>
      <c r="B1188" s="14" t="str">
        <f>"07010"</f>
        <v>07010</v>
      </c>
      <c r="C1188" s="14" t="str">
        <f>"1800"</f>
        <v>1800</v>
      </c>
      <c r="D1188" s="14" t="str">
        <f>""</f>
        <v/>
      </c>
      <c r="E1188" s="14" t="s">
        <v>1325</v>
      </c>
      <c r="F1188" s="14" t="s">
        <v>1002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228</v>
      </c>
      <c r="P1188" s="14" t="s">
        <v>260</v>
      </c>
      <c r="Q1188" s="14" t="s">
        <v>260</v>
      </c>
      <c r="R1188" s="14" t="s">
        <v>229</v>
      </c>
    </row>
    <row r="1189" spans="1:18" s="14" customFormat="1" x14ac:dyDescent="0.25">
      <c r="A1189" s="14" t="str">
        <f>"83579"</f>
        <v>83579</v>
      </c>
      <c r="B1189" s="14" t="str">
        <f>"07010"</f>
        <v>07010</v>
      </c>
      <c r="C1189" s="14" t="str">
        <f>"1800"</f>
        <v>1800</v>
      </c>
      <c r="D1189" s="14" t="str">
        <f>""</f>
        <v/>
      </c>
      <c r="E1189" s="14" t="s">
        <v>1326</v>
      </c>
      <c r="F1189" s="14" t="s">
        <v>1002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228</v>
      </c>
      <c r="P1189" s="14" t="s">
        <v>260</v>
      </c>
      <c r="Q1189" s="14" t="s">
        <v>260</v>
      </c>
      <c r="R1189" s="14" t="s">
        <v>229</v>
      </c>
    </row>
    <row r="1190" spans="1:18" s="14" customFormat="1" x14ac:dyDescent="0.25">
      <c r="A1190" s="14" t="str">
        <f>"83581"</f>
        <v>83581</v>
      </c>
      <c r="B1190" s="14" t="str">
        <f>"07010"</f>
        <v>07010</v>
      </c>
      <c r="C1190" s="14" t="str">
        <f>"1800"</f>
        <v>1800</v>
      </c>
      <c r="D1190" s="14" t="str">
        <f>""</f>
        <v/>
      </c>
      <c r="E1190" s="14" t="s">
        <v>1327</v>
      </c>
      <c r="F1190" s="14" t="s">
        <v>1002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228</v>
      </c>
      <c r="P1190" s="14" t="s">
        <v>260</v>
      </c>
      <c r="Q1190" s="14" t="s">
        <v>260</v>
      </c>
      <c r="R1190" s="14" t="s">
        <v>229</v>
      </c>
    </row>
    <row r="1191" spans="1:18" s="14" customFormat="1" x14ac:dyDescent="0.25">
      <c r="A1191" s="14" t="str">
        <f>"83582"</f>
        <v>83582</v>
      </c>
      <c r="B1191" s="14" t="str">
        <f>"07010"</f>
        <v>07010</v>
      </c>
      <c r="C1191" s="14" t="str">
        <f>"1800"</f>
        <v>1800</v>
      </c>
      <c r="D1191" s="14" t="str">
        <f>""</f>
        <v/>
      </c>
      <c r="E1191" s="14" t="s">
        <v>1328</v>
      </c>
      <c r="F1191" s="14" t="s">
        <v>1002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228</v>
      </c>
      <c r="P1191" s="14" t="s">
        <v>260</v>
      </c>
      <c r="Q1191" s="14" t="s">
        <v>260</v>
      </c>
      <c r="R1191" s="14" t="s">
        <v>229</v>
      </c>
    </row>
    <row r="1192" spans="1:18" s="14" customFormat="1" x14ac:dyDescent="0.25">
      <c r="A1192" s="14" t="str">
        <f>"83586"</f>
        <v>83586</v>
      </c>
      <c r="B1192" s="14" t="str">
        <f>"07010"</f>
        <v>07010</v>
      </c>
      <c r="C1192" s="14" t="str">
        <f>"1800"</f>
        <v>1800</v>
      </c>
      <c r="D1192" s="14" t="str">
        <f>""</f>
        <v/>
      </c>
      <c r="E1192" s="14" t="s">
        <v>1329</v>
      </c>
      <c r="F1192" s="14" t="s">
        <v>1002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228</v>
      </c>
      <c r="P1192" s="14" t="s">
        <v>260</v>
      </c>
      <c r="Q1192" s="14" t="s">
        <v>260</v>
      </c>
      <c r="R1192" s="14" t="s">
        <v>229</v>
      </c>
    </row>
    <row r="1193" spans="1:18" s="14" customFormat="1" x14ac:dyDescent="0.25">
      <c r="A1193" s="14" t="str">
        <f>"83588"</f>
        <v>83588</v>
      </c>
      <c r="B1193" s="14" t="str">
        <f>"07010"</f>
        <v>07010</v>
      </c>
      <c r="C1193" s="14" t="str">
        <f>"1800"</f>
        <v>1800</v>
      </c>
      <c r="D1193" s="14" t="str">
        <f>""</f>
        <v/>
      </c>
      <c r="E1193" s="14" t="s">
        <v>1330</v>
      </c>
      <c r="F1193" s="14" t="s">
        <v>1002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228</v>
      </c>
      <c r="P1193" s="14" t="s">
        <v>260</v>
      </c>
      <c r="Q1193" s="14" t="s">
        <v>260</v>
      </c>
      <c r="R1193" s="14" t="s">
        <v>229</v>
      </c>
    </row>
    <row r="1194" spans="1:18" s="14" customFormat="1" x14ac:dyDescent="0.25">
      <c r="A1194" s="14" t="str">
        <f>"83590"</f>
        <v>83590</v>
      </c>
      <c r="B1194" s="14" t="str">
        <f>"07010"</f>
        <v>07010</v>
      </c>
      <c r="C1194" s="14" t="str">
        <f>"1800"</f>
        <v>1800</v>
      </c>
      <c r="D1194" s="14" t="str">
        <f>""</f>
        <v/>
      </c>
      <c r="E1194" s="14" t="s">
        <v>1331</v>
      </c>
      <c r="F1194" s="14" t="s">
        <v>1002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228</v>
      </c>
      <c r="P1194" s="14" t="s">
        <v>260</v>
      </c>
      <c r="Q1194" s="14" t="s">
        <v>260</v>
      </c>
      <c r="R1194" s="14" t="s">
        <v>229</v>
      </c>
    </row>
    <row r="1195" spans="1:18" s="14" customFormat="1" x14ac:dyDescent="0.25">
      <c r="A1195" s="14" t="str">
        <f>"83591"</f>
        <v>83591</v>
      </c>
      <c r="B1195" s="14" t="str">
        <f>"07010"</f>
        <v>07010</v>
      </c>
      <c r="C1195" s="14" t="str">
        <f>"1800"</f>
        <v>1800</v>
      </c>
      <c r="D1195" s="14" t="str">
        <f>""</f>
        <v/>
      </c>
      <c r="E1195" s="14" t="s">
        <v>1332</v>
      </c>
      <c r="F1195" s="14" t="s">
        <v>1002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228</v>
      </c>
      <c r="P1195" s="14" t="s">
        <v>260</v>
      </c>
      <c r="Q1195" s="14" t="s">
        <v>260</v>
      </c>
      <c r="R1195" s="14" t="s">
        <v>229</v>
      </c>
    </row>
    <row r="1196" spans="1:18" s="14" customFormat="1" x14ac:dyDescent="0.25">
      <c r="A1196" s="14" t="str">
        <f>"83592"</f>
        <v>83592</v>
      </c>
      <c r="B1196" s="14" t="str">
        <f>"07010"</f>
        <v>07010</v>
      </c>
      <c r="C1196" s="14" t="str">
        <f>"1800"</f>
        <v>1800</v>
      </c>
      <c r="D1196" s="14" t="str">
        <f>""</f>
        <v/>
      </c>
      <c r="E1196" s="14" t="s">
        <v>1333</v>
      </c>
      <c r="F1196" s="14" t="s">
        <v>1002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228</v>
      </c>
      <c r="P1196" s="14" t="s">
        <v>260</v>
      </c>
      <c r="Q1196" s="14" t="s">
        <v>260</v>
      </c>
      <c r="R1196" s="14" t="s">
        <v>229</v>
      </c>
    </row>
    <row r="1197" spans="1:18" s="14" customFormat="1" x14ac:dyDescent="0.25">
      <c r="A1197" s="14" t="str">
        <f>"83593"</f>
        <v>83593</v>
      </c>
      <c r="B1197" s="14" t="str">
        <f>"07010"</f>
        <v>07010</v>
      </c>
      <c r="C1197" s="14" t="str">
        <f>"1800"</f>
        <v>1800</v>
      </c>
      <c r="D1197" s="14" t="str">
        <f>""</f>
        <v/>
      </c>
      <c r="E1197" s="14" t="s">
        <v>1334</v>
      </c>
      <c r="F1197" s="14" t="s">
        <v>1002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228</v>
      </c>
      <c r="P1197" s="14" t="s">
        <v>260</v>
      </c>
      <c r="Q1197" s="14" t="s">
        <v>260</v>
      </c>
      <c r="R1197" s="14" t="s">
        <v>229</v>
      </c>
    </row>
    <row r="1198" spans="1:18" s="14" customFormat="1" x14ac:dyDescent="0.25">
      <c r="A1198" s="14" t="str">
        <f>"83595"</f>
        <v>83595</v>
      </c>
      <c r="B1198" s="14" t="str">
        <f>"07010"</f>
        <v>07010</v>
      </c>
      <c r="C1198" s="14" t="str">
        <f>"1800"</f>
        <v>1800</v>
      </c>
      <c r="D1198" s="14" t="str">
        <f>""</f>
        <v/>
      </c>
      <c r="E1198" s="14" t="s">
        <v>1335</v>
      </c>
      <c r="F1198" s="14" t="s">
        <v>1002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228</v>
      </c>
      <c r="P1198" s="14" t="s">
        <v>260</v>
      </c>
      <c r="Q1198" s="14" t="s">
        <v>260</v>
      </c>
      <c r="R1198" s="14" t="s">
        <v>229</v>
      </c>
    </row>
    <row r="1199" spans="1:18" s="14" customFormat="1" x14ac:dyDescent="0.25">
      <c r="A1199" s="14" t="str">
        <f>"83597"</f>
        <v>83597</v>
      </c>
      <c r="B1199" s="14" t="str">
        <f>"07010"</f>
        <v>07010</v>
      </c>
      <c r="C1199" s="14" t="str">
        <f>"1800"</f>
        <v>1800</v>
      </c>
      <c r="D1199" s="14" t="str">
        <f>""</f>
        <v/>
      </c>
      <c r="E1199" s="14" t="s">
        <v>1336</v>
      </c>
      <c r="F1199" s="14" t="s">
        <v>1002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228</v>
      </c>
      <c r="P1199" s="14" t="s">
        <v>260</v>
      </c>
      <c r="Q1199" s="14" t="s">
        <v>260</v>
      </c>
      <c r="R1199" s="14" t="s">
        <v>229</v>
      </c>
    </row>
    <row r="1200" spans="1:18" s="14" customFormat="1" x14ac:dyDescent="0.25">
      <c r="A1200" s="14" t="str">
        <f>"83598"</f>
        <v>83598</v>
      </c>
      <c r="B1200" s="14" t="str">
        <f>"07010"</f>
        <v>07010</v>
      </c>
      <c r="C1200" s="14" t="str">
        <f>"1800"</f>
        <v>1800</v>
      </c>
      <c r="D1200" s="14" t="str">
        <f>""</f>
        <v/>
      </c>
      <c r="E1200" s="14" t="s">
        <v>1337</v>
      </c>
      <c r="F1200" s="14" t="s">
        <v>1002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228</v>
      </c>
      <c r="P1200" s="14" t="s">
        <v>260</v>
      </c>
      <c r="Q1200" s="14" t="s">
        <v>260</v>
      </c>
      <c r="R1200" s="14" t="s">
        <v>229</v>
      </c>
    </row>
    <row r="1201" spans="1:18" s="14" customFormat="1" x14ac:dyDescent="0.25">
      <c r="A1201" s="14" t="str">
        <f>"83599"</f>
        <v>83599</v>
      </c>
      <c r="B1201" s="14" t="str">
        <f>"07010"</f>
        <v>07010</v>
      </c>
      <c r="C1201" s="14" t="str">
        <f>"1800"</f>
        <v>1800</v>
      </c>
      <c r="D1201" s="14" t="str">
        <f>""</f>
        <v/>
      </c>
      <c r="E1201" s="14" t="s">
        <v>1338</v>
      </c>
      <c r="F1201" s="14" t="s">
        <v>1002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228</v>
      </c>
      <c r="P1201" s="14" t="s">
        <v>260</v>
      </c>
      <c r="Q1201" s="14" t="s">
        <v>260</v>
      </c>
      <c r="R1201" s="14" t="s">
        <v>229</v>
      </c>
    </row>
    <row r="1202" spans="1:18" s="14" customFormat="1" x14ac:dyDescent="0.25">
      <c r="A1202" s="14" t="str">
        <f>"83600"</f>
        <v>83600</v>
      </c>
      <c r="B1202" s="14" t="str">
        <f>"07010"</f>
        <v>07010</v>
      </c>
      <c r="C1202" s="14" t="str">
        <f>"1800"</f>
        <v>1800</v>
      </c>
      <c r="D1202" s="14" t="str">
        <f>""</f>
        <v/>
      </c>
      <c r="E1202" s="14" t="s">
        <v>1339</v>
      </c>
      <c r="F1202" s="14" t="s">
        <v>1002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228</v>
      </c>
      <c r="P1202" s="14" t="s">
        <v>260</v>
      </c>
      <c r="Q1202" s="14" t="s">
        <v>260</v>
      </c>
      <c r="R1202" s="14" t="s">
        <v>229</v>
      </c>
    </row>
    <row r="1203" spans="1:18" s="14" customFormat="1" x14ac:dyDescent="0.25">
      <c r="A1203" s="14" t="str">
        <f>"83603"</f>
        <v>83603</v>
      </c>
      <c r="B1203" s="14" t="str">
        <f>"07010"</f>
        <v>07010</v>
      </c>
      <c r="C1203" s="14" t="str">
        <f>"1800"</f>
        <v>1800</v>
      </c>
      <c r="D1203" s="14" t="str">
        <f>""</f>
        <v/>
      </c>
      <c r="E1203" s="14" t="s">
        <v>1340</v>
      </c>
      <c r="F1203" s="14" t="s">
        <v>1002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228</v>
      </c>
      <c r="P1203" s="14" t="s">
        <v>260</v>
      </c>
      <c r="Q1203" s="14" t="s">
        <v>260</v>
      </c>
      <c r="R1203" s="14" t="s">
        <v>229</v>
      </c>
    </row>
    <row r="1204" spans="1:18" s="14" customFormat="1" x14ac:dyDescent="0.25">
      <c r="A1204" s="14" t="str">
        <f>"83606"</f>
        <v>83606</v>
      </c>
      <c r="B1204" s="14" t="str">
        <f>"07010"</f>
        <v>07010</v>
      </c>
      <c r="C1204" s="14" t="str">
        <f>"1800"</f>
        <v>1800</v>
      </c>
      <c r="D1204" s="14" t="str">
        <f>""</f>
        <v/>
      </c>
      <c r="E1204" s="14" t="s">
        <v>1341</v>
      </c>
      <c r="F1204" s="14" t="s">
        <v>1002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228</v>
      </c>
      <c r="P1204" s="14" t="s">
        <v>260</v>
      </c>
      <c r="Q1204" s="14" t="s">
        <v>260</v>
      </c>
      <c r="R1204" s="14" t="s">
        <v>229</v>
      </c>
    </row>
    <row r="1205" spans="1:18" s="14" customFormat="1" x14ac:dyDescent="0.25">
      <c r="A1205" s="14" t="str">
        <f>"83607"</f>
        <v>83607</v>
      </c>
      <c r="B1205" s="14" t="str">
        <f>"07010"</f>
        <v>07010</v>
      </c>
      <c r="C1205" s="14" t="str">
        <f>"1800"</f>
        <v>1800</v>
      </c>
      <c r="D1205" s="14" t="str">
        <f>""</f>
        <v/>
      </c>
      <c r="E1205" s="14" t="s">
        <v>1342</v>
      </c>
      <c r="F1205" s="14" t="s">
        <v>1002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228</v>
      </c>
      <c r="P1205" s="14" t="s">
        <v>260</v>
      </c>
      <c r="Q1205" s="14" t="s">
        <v>260</v>
      </c>
      <c r="R1205" s="14" t="s">
        <v>229</v>
      </c>
    </row>
    <row r="1206" spans="1:18" s="14" customFormat="1" x14ac:dyDescent="0.25">
      <c r="A1206" s="14" t="str">
        <f>"83608"</f>
        <v>83608</v>
      </c>
      <c r="B1206" s="14" t="str">
        <f>"07010"</f>
        <v>07010</v>
      </c>
      <c r="C1206" s="14" t="str">
        <f>"1800"</f>
        <v>1800</v>
      </c>
      <c r="D1206" s="14" t="str">
        <f>""</f>
        <v/>
      </c>
      <c r="E1206" s="14" t="s">
        <v>1343</v>
      </c>
      <c r="F1206" s="14" t="s">
        <v>1002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228</v>
      </c>
      <c r="P1206" s="14" t="s">
        <v>260</v>
      </c>
      <c r="Q1206" s="14" t="s">
        <v>260</v>
      </c>
      <c r="R1206" s="14" t="s">
        <v>229</v>
      </c>
    </row>
    <row r="1207" spans="1:18" s="14" customFormat="1" x14ac:dyDescent="0.25">
      <c r="A1207" s="14" t="str">
        <f>"83611"</f>
        <v>83611</v>
      </c>
      <c r="B1207" s="14" t="str">
        <f>"07010"</f>
        <v>07010</v>
      </c>
      <c r="C1207" s="14" t="str">
        <f>"1800"</f>
        <v>1800</v>
      </c>
      <c r="D1207" s="14" t="str">
        <f>""</f>
        <v/>
      </c>
      <c r="E1207" s="14" t="s">
        <v>1344</v>
      </c>
      <c r="F1207" s="14" t="s">
        <v>1002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228</v>
      </c>
      <c r="P1207" s="14" t="s">
        <v>260</v>
      </c>
      <c r="Q1207" s="14" t="s">
        <v>260</v>
      </c>
      <c r="R1207" s="14" t="s">
        <v>229</v>
      </c>
    </row>
    <row r="1208" spans="1:18" s="14" customFormat="1" x14ac:dyDescent="0.25">
      <c r="A1208" s="14" t="str">
        <f>"83615"</f>
        <v>83615</v>
      </c>
      <c r="B1208" s="14" t="str">
        <f>"07010"</f>
        <v>07010</v>
      </c>
      <c r="C1208" s="14" t="str">
        <f>"1800"</f>
        <v>1800</v>
      </c>
      <c r="D1208" s="14" t="str">
        <f>""</f>
        <v/>
      </c>
      <c r="E1208" s="14" t="s">
        <v>1345</v>
      </c>
      <c r="F1208" s="14" t="s">
        <v>1002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228</v>
      </c>
      <c r="P1208" s="14" t="s">
        <v>260</v>
      </c>
      <c r="Q1208" s="14" t="s">
        <v>260</v>
      </c>
      <c r="R1208" s="14" t="s">
        <v>229</v>
      </c>
    </row>
    <row r="1209" spans="1:18" s="14" customFormat="1" x14ac:dyDescent="0.25">
      <c r="A1209" s="14" t="str">
        <f>"83616"</f>
        <v>83616</v>
      </c>
      <c r="B1209" s="14" t="str">
        <f>"07010"</f>
        <v>07010</v>
      </c>
      <c r="C1209" s="14" t="str">
        <f>"1800"</f>
        <v>1800</v>
      </c>
      <c r="D1209" s="14" t="str">
        <f>""</f>
        <v/>
      </c>
      <c r="E1209" s="14" t="s">
        <v>1346</v>
      </c>
      <c r="F1209" s="14" t="s">
        <v>1002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228</v>
      </c>
      <c r="P1209" s="14" t="s">
        <v>260</v>
      </c>
      <c r="Q1209" s="14" t="s">
        <v>260</v>
      </c>
      <c r="R1209" s="14" t="s">
        <v>229</v>
      </c>
    </row>
    <row r="1210" spans="1:18" s="14" customFormat="1" x14ac:dyDescent="0.25">
      <c r="A1210" s="14" t="str">
        <f>"83619"</f>
        <v>83619</v>
      </c>
      <c r="B1210" s="14" t="str">
        <f>"07010"</f>
        <v>07010</v>
      </c>
      <c r="C1210" s="14" t="str">
        <f>"1800"</f>
        <v>1800</v>
      </c>
      <c r="D1210" s="14" t="str">
        <f>""</f>
        <v/>
      </c>
      <c r="E1210" s="14" t="s">
        <v>1347</v>
      </c>
      <c r="F1210" s="14" t="s">
        <v>1002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228</v>
      </c>
      <c r="P1210" s="14" t="s">
        <v>260</v>
      </c>
      <c r="Q1210" s="14" t="s">
        <v>260</v>
      </c>
      <c r="R1210" s="14" t="s">
        <v>229</v>
      </c>
    </row>
    <row r="1211" spans="1:18" s="14" customFormat="1" x14ac:dyDescent="0.25">
      <c r="A1211" s="14" t="str">
        <f>"83620"</f>
        <v>83620</v>
      </c>
      <c r="B1211" s="14" t="str">
        <f>"07010"</f>
        <v>07010</v>
      </c>
      <c r="C1211" s="14" t="str">
        <f>"1800"</f>
        <v>1800</v>
      </c>
      <c r="D1211" s="14" t="str">
        <f>""</f>
        <v/>
      </c>
      <c r="E1211" s="14" t="s">
        <v>1348</v>
      </c>
      <c r="F1211" s="14" t="s">
        <v>1002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228</v>
      </c>
      <c r="P1211" s="14" t="s">
        <v>260</v>
      </c>
      <c r="Q1211" s="14" t="s">
        <v>260</v>
      </c>
      <c r="R1211" s="14" t="s">
        <v>229</v>
      </c>
    </row>
    <row r="1212" spans="1:18" s="14" customFormat="1" x14ac:dyDescent="0.25">
      <c r="A1212" s="14" t="str">
        <f>"83621"</f>
        <v>83621</v>
      </c>
      <c r="B1212" s="14" t="str">
        <f>"07010"</f>
        <v>07010</v>
      </c>
      <c r="C1212" s="14" t="str">
        <f>"1800"</f>
        <v>1800</v>
      </c>
      <c r="D1212" s="14" t="str">
        <f>""</f>
        <v/>
      </c>
      <c r="E1212" s="14" t="s">
        <v>1349</v>
      </c>
      <c r="F1212" s="14" t="s">
        <v>1002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228</v>
      </c>
      <c r="P1212" s="14" t="s">
        <v>260</v>
      </c>
      <c r="Q1212" s="14" t="s">
        <v>260</v>
      </c>
      <c r="R1212" s="14" t="s">
        <v>229</v>
      </c>
    </row>
    <row r="1213" spans="1:18" s="14" customFormat="1" x14ac:dyDescent="0.25">
      <c r="A1213" s="14" t="str">
        <f>"83622"</f>
        <v>83622</v>
      </c>
      <c r="B1213" s="14" t="str">
        <f>"07010"</f>
        <v>07010</v>
      </c>
      <c r="C1213" s="14" t="str">
        <f>"1800"</f>
        <v>1800</v>
      </c>
      <c r="D1213" s="14" t="str">
        <f>""</f>
        <v/>
      </c>
      <c r="E1213" s="14" t="s">
        <v>1350</v>
      </c>
      <c r="F1213" s="14" t="s">
        <v>1002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228</v>
      </c>
      <c r="P1213" s="14" t="s">
        <v>260</v>
      </c>
      <c r="Q1213" s="14" t="s">
        <v>260</v>
      </c>
      <c r="R1213" s="14" t="s">
        <v>229</v>
      </c>
    </row>
    <row r="1214" spans="1:18" s="14" customFormat="1" x14ac:dyDescent="0.25">
      <c r="A1214" s="14" t="str">
        <f>"83623"</f>
        <v>83623</v>
      </c>
      <c r="B1214" s="14" t="str">
        <f>"07010"</f>
        <v>07010</v>
      </c>
      <c r="C1214" s="14" t="str">
        <f>"1800"</f>
        <v>1800</v>
      </c>
      <c r="D1214" s="14" t="str">
        <f>""</f>
        <v/>
      </c>
      <c r="E1214" s="14" t="s">
        <v>1351</v>
      </c>
      <c r="F1214" s="14" t="s">
        <v>1002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228</v>
      </c>
      <c r="P1214" s="14" t="s">
        <v>260</v>
      </c>
      <c r="Q1214" s="14" t="s">
        <v>260</v>
      </c>
      <c r="R1214" s="14" t="s">
        <v>229</v>
      </c>
    </row>
    <row r="1215" spans="1:18" s="14" customFormat="1" x14ac:dyDescent="0.25">
      <c r="A1215" s="14" t="str">
        <f>"83624"</f>
        <v>83624</v>
      </c>
      <c r="B1215" s="14" t="str">
        <f>"07010"</f>
        <v>07010</v>
      </c>
      <c r="C1215" s="14" t="str">
        <f>"1800"</f>
        <v>1800</v>
      </c>
      <c r="D1215" s="14" t="str">
        <f>""</f>
        <v/>
      </c>
      <c r="E1215" s="14" t="s">
        <v>1352</v>
      </c>
      <c r="F1215" s="14" t="s">
        <v>1002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228</v>
      </c>
      <c r="P1215" s="14" t="s">
        <v>260</v>
      </c>
      <c r="Q1215" s="14" t="s">
        <v>260</v>
      </c>
      <c r="R1215" s="14" t="s">
        <v>229</v>
      </c>
    </row>
    <row r="1216" spans="1:18" s="14" customFormat="1" x14ac:dyDescent="0.25">
      <c r="A1216" s="14" t="str">
        <f>"83625"</f>
        <v>83625</v>
      </c>
      <c r="B1216" s="14" t="str">
        <f>"07010"</f>
        <v>07010</v>
      </c>
      <c r="C1216" s="14" t="str">
        <f>"1800"</f>
        <v>1800</v>
      </c>
      <c r="D1216" s="14" t="str">
        <f>""</f>
        <v/>
      </c>
      <c r="E1216" s="14" t="s">
        <v>1353</v>
      </c>
      <c r="F1216" s="14" t="s">
        <v>1002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228</v>
      </c>
      <c r="P1216" s="14" t="s">
        <v>260</v>
      </c>
      <c r="Q1216" s="14" t="s">
        <v>260</v>
      </c>
      <c r="R1216" s="14" t="s">
        <v>229</v>
      </c>
    </row>
    <row r="1217" spans="1:18" s="14" customFormat="1" x14ac:dyDescent="0.25">
      <c r="A1217" s="14" t="str">
        <f>"83626"</f>
        <v>83626</v>
      </c>
      <c r="B1217" s="14" t="str">
        <f>"07010"</f>
        <v>07010</v>
      </c>
      <c r="C1217" s="14" t="str">
        <f>"1800"</f>
        <v>1800</v>
      </c>
      <c r="D1217" s="14" t="str">
        <f>""</f>
        <v/>
      </c>
      <c r="E1217" s="14" t="s">
        <v>1354</v>
      </c>
      <c r="F1217" s="14" t="s">
        <v>1002</v>
      </c>
      <c r="G1217" s="14" t="str">
        <f>""</f>
        <v/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228</v>
      </c>
      <c r="P1217" s="14" t="s">
        <v>260</v>
      </c>
      <c r="Q1217" s="14" t="s">
        <v>260</v>
      </c>
      <c r="R1217" s="14" t="s">
        <v>229</v>
      </c>
    </row>
    <row r="1218" spans="1:18" s="14" customFormat="1" x14ac:dyDescent="0.25">
      <c r="A1218" s="14" t="str">
        <f>"83627"</f>
        <v>83627</v>
      </c>
      <c r="B1218" s="14" t="str">
        <f>"07010"</f>
        <v>07010</v>
      </c>
      <c r="C1218" s="14" t="str">
        <f>"1800"</f>
        <v>1800</v>
      </c>
      <c r="D1218" s="14" t="str">
        <f>""</f>
        <v/>
      </c>
      <c r="E1218" s="14" t="s">
        <v>1355</v>
      </c>
      <c r="F1218" s="14" t="s">
        <v>1002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228</v>
      </c>
      <c r="P1218" s="14" t="s">
        <v>260</v>
      </c>
      <c r="Q1218" s="14" t="s">
        <v>260</v>
      </c>
      <c r="R1218" s="14" t="s">
        <v>229</v>
      </c>
    </row>
    <row r="1219" spans="1:18" s="14" customFormat="1" x14ac:dyDescent="0.25">
      <c r="A1219" s="14" t="str">
        <f>"83630"</f>
        <v>83630</v>
      </c>
      <c r="B1219" s="14" t="str">
        <f>"07010"</f>
        <v>07010</v>
      </c>
      <c r="C1219" s="14" t="str">
        <f>"1800"</f>
        <v>1800</v>
      </c>
      <c r="D1219" s="14" t="str">
        <f>""</f>
        <v/>
      </c>
      <c r="E1219" s="14" t="s">
        <v>1356</v>
      </c>
      <c r="F1219" s="14" t="s">
        <v>1002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228</v>
      </c>
      <c r="P1219" s="14" t="s">
        <v>260</v>
      </c>
      <c r="Q1219" s="14" t="s">
        <v>260</v>
      </c>
      <c r="R1219" s="14" t="s">
        <v>229</v>
      </c>
    </row>
    <row r="1220" spans="1:18" s="14" customFormat="1" x14ac:dyDescent="0.25">
      <c r="A1220" s="14" t="str">
        <f>"83633"</f>
        <v>83633</v>
      </c>
      <c r="B1220" s="14" t="str">
        <f>"07010"</f>
        <v>07010</v>
      </c>
      <c r="C1220" s="14" t="str">
        <f>"1800"</f>
        <v>1800</v>
      </c>
      <c r="D1220" s="14" t="str">
        <f>""</f>
        <v/>
      </c>
      <c r="E1220" s="14" t="s">
        <v>1357</v>
      </c>
      <c r="F1220" s="14" t="s">
        <v>1002</v>
      </c>
      <c r="G1220" s="14" t="str">
        <f>""</f>
        <v/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228</v>
      </c>
      <c r="P1220" s="14" t="s">
        <v>260</v>
      </c>
      <c r="Q1220" s="14" t="s">
        <v>260</v>
      </c>
      <c r="R1220" s="14" t="s">
        <v>229</v>
      </c>
    </row>
    <row r="1221" spans="1:18" s="14" customFormat="1" x14ac:dyDescent="0.25">
      <c r="A1221" s="14" t="str">
        <f>"83636"</f>
        <v>83636</v>
      </c>
      <c r="B1221" s="14" t="str">
        <f>"07010"</f>
        <v>07010</v>
      </c>
      <c r="C1221" s="14" t="str">
        <f>"1800"</f>
        <v>1800</v>
      </c>
      <c r="D1221" s="14" t="str">
        <f>""</f>
        <v/>
      </c>
      <c r="E1221" s="14" t="s">
        <v>1358</v>
      </c>
      <c r="F1221" s="14" t="s">
        <v>1002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228</v>
      </c>
      <c r="P1221" s="14" t="s">
        <v>260</v>
      </c>
      <c r="Q1221" s="14" t="s">
        <v>260</v>
      </c>
      <c r="R1221" s="14" t="s">
        <v>229</v>
      </c>
    </row>
    <row r="1222" spans="1:18" s="14" customFormat="1" x14ac:dyDescent="0.25">
      <c r="A1222" s="14" t="str">
        <f>"83638"</f>
        <v>83638</v>
      </c>
      <c r="B1222" s="14" t="str">
        <f>"07010"</f>
        <v>07010</v>
      </c>
      <c r="C1222" s="14" t="str">
        <f>"1800"</f>
        <v>1800</v>
      </c>
      <c r="D1222" s="14" t="str">
        <f>""</f>
        <v/>
      </c>
      <c r="E1222" s="14" t="s">
        <v>1359</v>
      </c>
      <c r="F1222" s="14" t="s">
        <v>1002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228</v>
      </c>
      <c r="P1222" s="14" t="s">
        <v>260</v>
      </c>
      <c r="Q1222" s="14" t="s">
        <v>260</v>
      </c>
      <c r="R1222" s="14" t="s">
        <v>229</v>
      </c>
    </row>
    <row r="1223" spans="1:18" s="14" customFormat="1" x14ac:dyDescent="0.25">
      <c r="A1223" s="14" t="str">
        <f>"83639"</f>
        <v>83639</v>
      </c>
      <c r="B1223" s="14" t="str">
        <f>"07010"</f>
        <v>07010</v>
      </c>
      <c r="C1223" s="14" t="str">
        <f>"1800"</f>
        <v>1800</v>
      </c>
      <c r="D1223" s="14" t="str">
        <f>""</f>
        <v/>
      </c>
      <c r="E1223" s="14" t="s">
        <v>1360</v>
      </c>
      <c r="F1223" s="14" t="s">
        <v>1002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228</v>
      </c>
      <c r="P1223" s="14" t="s">
        <v>260</v>
      </c>
      <c r="Q1223" s="14" t="s">
        <v>260</v>
      </c>
      <c r="R1223" s="14" t="s">
        <v>229</v>
      </c>
    </row>
    <row r="1224" spans="1:18" s="14" customFormat="1" x14ac:dyDescent="0.25">
      <c r="A1224" s="14" t="str">
        <f>"83640"</f>
        <v>83640</v>
      </c>
      <c r="B1224" s="14" t="str">
        <f>"07010"</f>
        <v>07010</v>
      </c>
      <c r="C1224" s="14" t="str">
        <f>"1800"</f>
        <v>1800</v>
      </c>
      <c r="D1224" s="14" t="str">
        <f>""</f>
        <v/>
      </c>
      <c r="E1224" s="14" t="s">
        <v>1361</v>
      </c>
      <c r="F1224" s="14" t="s">
        <v>1002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228</v>
      </c>
      <c r="P1224" s="14" t="s">
        <v>260</v>
      </c>
      <c r="Q1224" s="14" t="s">
        <v>260</v>
      </c>
      <c r="R1224" s="14" t="s">
        <v>229</v>
      </c>
    </row>
    <row r="1225" spans="1:18" s="14" customFormat="1" x14ac:dyDescent="0.25">
      <c r="A1225" s="14" t="str">
        <f>"83641"</f>
        <v>83641</v>
      </c>
      <c r="B1225" s="14" t="str">
        <f>"07010"</f>
        <v>07010</v>
      </c>
      <c r="C1225" s="14" t="str">
        <f>"1800"</f>
        <v>1800</v>
      </c>
      <c r="D1225" s="14" t="str">
        <f>""</f>
        <v/>
      </c>
      <c r="E1225" s="14" t="s">
        <v>1362</v>
      </c>
      <c r="F1225" s="14" t="s">
        <v>1002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228</v>
      </c>
      <c r="P1225" s="14" t="s">
        <v>260</v>
      </c>
      <c r="Q1225" s="14" t="s">
        <v>260</v>
      </c>
      <c r="R1225" s="14" t="s">
        <v>229</v>
      </c>
    </row>
    <row r="1226" spans="1:18" s="14" customFormat="1" x14ac:dyDescent="0.25">
      <c r="A1226" s="14" t="str">
        <f>"83642"</f>
        <v>83642</v>
      </c>
      <c r="B1226" s="14" t="str">
        <f>"07010"</f>
        <v>07010</v>
      </c>
      <c r="C1226" s="14" t="str">
        <f>"1800"</f>
        <v>1800</v>
      </c>
      <c r="D1226" s="14" t="str">
        <f>""</f>
        <v/>
      </c>
      <c r="E1226" s="14" t="s">
        <v>1363</v>
      </c>
      <c r="F1226" s="14" t="s">
        <v>1002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228</v>
      </c>
      <c r="P1226" s="14" t="s">
        <v>260</v>
      </c>
      <c r="Q1226" s="14" t="s">
        <v>260</v>
      </c>
      <c r="R1226" s="14" t="s">
        <v>229</v>
      </c>
    </row>
    <row r="1227" spans="1:18" s="14" customFormat="1" x14ac:dyDescent="0.25">
      <c r="A1227" s="14" t="str">
        <f>"83643"</f>
        <v>83643</v>
      </c>
      <c r="B1227" s="14" t="str">
        <f>"07010"</f>
        <v>07010</v>
      </c>
      <c r="C1227" s="14" t="str">
        <f>"1800"</f>
        <v>1800</v>
      </c>
      <c r="D1227" s="14" t="str">
        <f>""</f>
        <v/>
      </c>
      <c r="E1227" s="14" t="s">
        <v>1364</v>
      </c>
      <c r="F1227" s="14" t="s">
        <v>1002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228</v>
      </c>
      <c r="P1227" s="14" t="s">
        <v>260</v>
      </c>
      <c r="Q1227" s="14" t="s">
        <v>260</v>
      </c>
      <c r="R1227" s="14" t="s">
        <v>229</v>
      </c>
    </row>
    <row r="1228" spans="1:18" s="14" customFormat="1" x14ac:dyDescent="0.25">
      <c r="A1228" s="14" t="str">
        <f>"83645"</f>
        <v>83645</v>
      </c>
      <c r="B1228" s="14" t="str">
        <f>"07010"</f>
        <v>07010</v>
      </c>
      <c r="C1228" s="14" t="str">
        <f>"1800"</f>
        <v>1800</v>
      </c>
      <c r="D1228" s="14" t="str">
        <f>""</f>
        <v/>
      </c>
      <c r="E1228" s="14" t="s">
        <v>1365</v>
      </c>
      <c r="F1228" s="14" t="s">
        <v>1002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228</v>
      </c>
      <c r="P1228" s="14" t="s">
        <v>260</v>
      </c>
      <c r="Q1228" s="14" t="s">
        <v>260</v>
      </c>
      <c r="R1228" s="14" t="s">
        <v>229</v>
      </c>
    </row>
    <row r="1229" spans="1:18" s="14" customFormat="1" x14ac:dyDescent="0.25">
      <c r="A1229" s="14" t="str">
        <f>"83646"</f>
        <v>83646</v>
      </c>
      <c r="B1229" s="14" t="str">
        <f>"07010"</f>
        <v>07010</v>
      </c>
      <c r="C1229" s="14" t="str">
        <f>"1800"</f>
        <v>1800</v>
      </c>
      <c r="D1229" s="14" t="str">
        <f>""</f>
        <v/>
      </c>
      <c r="E1229" s="14" t="s">
        <v>1366</v>
      </c>
      <c r="F1229" s="14" t="s">
        <v>1002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228</v>
      </c>
      <c r="P1229" s="14" t="s">
        <v>260</v>
      </c>
      <c r="Q1229" s="14" t="s">
        <v>260</v>
      </c>
      <c r="R1229" s="14" t="s">
        <v>229</v>
      </c>
    </row>
    <row r="1230" spans="1:18" s="14" customFormat="1" x14ac:dyDescent="0.25">
      <c r="A1230" s="14" t="str">
        <f>"83647"</f>
        <v>83647</v>
      </c>
      <c r="B1230" s="14" t="str">
        <f>"07010"</f>
        <v>07010</v>
      </c>
      <c r="C1230" s="14" t="str">
        <f>"1800"</f>
        <v>1800</v>
      </c>
      <c r="D1230" s="14" t="str">
        <f>""</f>
        <v/>
      </c>
      <c r="E1230" s="14" t="s">
        <v>1367</v>
      </c>
      <c r="F1230" s="14" t="s">
        <v>1002</v>
      </c>
      <c r="G1230" s="14" t="str">
        <f>""</f>
        <v/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228</v>
      </c>
      <c r="P1230" s="14" t="s">
        <v>260</v>
      </c>
      <c r="Q1230" s="14" t="s">
        <v>260</v>
      </c>
      <c r="R1230" s="14" t="s">
        <v>229</v>
      </c>
    </row>
    <row r="1231" spans="1:18" s="14" customFormat="1" x14ac:dyDescent="0.25">
      <c r="A1231" s="14" t="str">
        <f>"83648"</f>
        <v>83648</v>
      </c>
      <c r="B1231" s="14" t="str">
        <f>"07010"</f>
        <v>07010</v>
      </c>
      <c r="C1231" s="14" t="str">
        <f>"1800"</f>
        <v>1800</v>
      </c>
      <c r="D1231" s="14" t="str">
        <f>""</f>
        <v/>
      </c>
      <c r="E1231" s="14" t="s">
        <v>1368</v>
      </c>
      <c r="F1231" s="14" t="s">
        <v>1002</v>
      </c>
      <c r="G1231" s="14" t="str">
        <f>""</f>
        <v/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228</v>
      </c>
      <c r="P1231" s="14" t="s">
        <v>260</v>
      </c>
      <c r="Q1231" s="14" t="s">
        <v>260</v>
      </c>
      <c r="R1231" s="14" t="s">
        <v>229</v>
      </c>
    </row>
    <row r="1232" spans="1:18" s="14" customFormat="1" x14ac:dyDescent="0.25">
      <c r="A1232" s="14" t="str">
        <f>"83650"</f>
        <v>83650</v>
      </c>
      <c r="B1232" s="14" t="str">
        <f>"07010"</f>
        <v>07010</v>
      </c>
      <c r="C1232" s="14" t="str">
        <f>"1800"</f>
        <v>1800</v>
      </c>
      <c r="D1232" s="14" t="str">
        <f>""</f>
        <v/>
      </c>
      <c r="E1232" s="14" t="s">
        <v>1369</v>
      </c>
      <c r="F1232" s="14" t="s">
        <v>1002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228</v>
      </c>
      <c r="P1232" s="14" t="s">
        <v>260</v>
      </c>
      <c r="Q1232" s="14" t="s">
        <v>260</v>
      </c>
      <c r="R1232" s="14" t="s">
        <v>229</v>
      </c>
    </row>
    <row r="1233" spans="1:18" s="14" customFormat="1" x14ac:dyDescent="0.25">
      <c r="A1233" s="14" t="str">
        <f>"83651"</f>
        <v>83651</v>
      </c>
      <c r="B1233" s="14" t="str">
        <f>"07010"</f>
        <v>07010</v>
      </c>
      <c r="C1233" s="14" t="str">
        <f>"1800"</f>
        <v>1800</v>
      </c>
      <c r="D1233" s="14" t="str">
        <f>""</f>
        <v/>
      </c>
      <c r="E1233" s="14" t="s">
        <v>1370</v>
      </c>
      <c r="F1233" s="14" t="s">
        <v>1002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228</v>
      </c>
      <c r="P1233" s="14" t="s">
        <v>260</v>
      </c>
      <c r="Q1233" s="14" t="s">
        <v>260</v>
      </c>
      <c r="R1233" s="14" t="s">
        <v>229</v>
      </c>
    </row>
    <row r="1234" spans="1:18" s="14" customFormat="1" x14ac:dyDescent="0.25">
      <c r="A1234" s="14" t="str">
        <f>"83652"</f>
        <v>83652</v>
      </c>
      <c r="B1234" s="14" t="str">
        <f>"07010"</f>
        <v>07010</v>
      </c>
      <c r="C1234" s="14" t="str">
        <f>"1800"</f>
        <v>1800</v>
      </c>
      <c r="D1234" s="14" t="str">
        <f>""</f>
        <v/>
      </c>
      <c r="E1234" s="14" t="s">
        <v>1371</v>
      </c>
      <c r="F1234" s="14" t="s">
        <v>1002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228</v>
      </c>
      <c r="P1234" s="14" t="s">
        <v>260</v>
      </c>
      <c r="Q1234" s="14" t="s">
        <v>260</v>
      </c>
      <c r="R1234" s="14" t="s">
        <v>229</v>
      </c>
    </row>
    <row r="1235" spans="1:18" s="14" customFormat="1" x14ac:dyDescent="0.25">
      <c r="A1235" s="14" t="str">
        <f>"83654"</f>
        <v>83654</v>
      </c>
      <c r="B1235" s="14" t="str">
        <f>"07010"</f>
        <v>07010</v>
      </c>
      <c r="C1235" s="14" t="str">
        <f>"1800"</f>
        <v>1800</v>
      </c>
      <c r="D1235" s="14" t="str">
        <f>""</f>
        <v/>
      </c>
      <c r="E1235" s="14" t="s">
        <v>1372</v>
      </c>
      <c r="F1235" s="14" t="s">
        <v>1002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228</v>
      </c>
      <c r="P1235" s="14" t="s">
        <v>260</v>
      </c>
      <c r="Q1235" s="14" t="s">
        <v>260</v>
      </c>
      <c r="R1235" s="14" t="s">
        <v>229</v>
      </c>
    </row>
    <row r="1236" spans="1:18" s="14" customFormat="1" x14ac:dyDescent="0.25">
      <c r="A1236" s="14" t="str">
        <f>"83661"</f>
        <v>83661</v>
      </c>
      <c r="B1236" s="14" t="str">
        <f>"07010"</f>
        <v>07010</v>
      </c>
      <c r="C1236" s="14" t="str">
        <f>"1800"</f>
        <v>1800</v>
      </c>
      <c r="D1236" s="14" t="str">
        <f>""</f>
        <v/>
      </c>
      <c r="E1236" s="14" t="s">
        <v>1373</v>
      </c>
      <c r="F1236" s="14" t="s">
        <v>1002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228</v>
      </c>
      <c r="P1236" s="14" t="s">
        <v>260</v>
      </c>
      <c r="Q1236" s="14" t="s">
        <v>260</v>
      </c>
      <c r="R1236" s="14" t="s">
        <v>229</v>
      </c>
    </row>
    <row r="1237" spans="1:18" s="14" customFormat="1" x14ac:dyDescent="0.25">
      <c r="A1237" s="14" t="str">
        <f>"83662"</f>
        <v>83662</v>
      </c>
      <c r="B1237" s="14" t="str">
        <f>"07010"</f>
        <v>07010</v>
      </c>
      <c r="C1237" s="14" t="str">
        <f>"1800"</f>
        <v>1800</v>
      </c>
      <c r="D1237" s="14" t="str">
        <f>""</f>
        <v/>
      </c>
      <c r="E1237" s="14" t="s">
        <v>1374</v>
      </c>
      <c r="F1237" s="14" t="s">
        <v>1002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228</v>
      </c>
      <c r="P1237" s="14" t="s">
        <v>260</v>
      </c>
      <c r="Q1237" s="14" t="s">
        <v>260</v>
      </c>
      <c r="R1237" s="14" t="s">
        <v>229</v>
      </c>
    </row>
    <row r="1238" spans="1:18" s="14" customFormat="1" x14ac:dyDescent="0.25">
      <c r="A1238" s="14" t="str">
        <f>"83663"</f>
        <v>83663</v>
      </c>
      <c r="B1238" s="14" t="str">
        <f>"07010"</f>
        <v>07010</v>
      </c>
      <c r="C1238" s="14" t="str">
        <f>"1800"</f>
        <v>1800</v>
      </c>
      <c r="D1238" s="14" t="str">
        <f>""</f>
        <v/>
      </c>
      <c r="E1238" s="14" t="s">
        <v>1375</v>
      </c>
      <c r="F1238" s="14" t="s">
        <v>1002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228</v>
      </c>
      <c r="P1238" s="14" t="s">
        <v>260</v>
      </c>
      <c r="Q1238" s="14" t="s">
        <v>260</v>
      </c>
      <c r="R1238" s="14" t="s">
        <v>229</v>
      </c>
    </row>
    <row r="1239" spans="1:18" s="14" customFormat="1" x14ac:dyDescent="0.25">
      <c r="A1239" s="14" t="str">
        <f>"83664"</f>
        <v>83664</v>
      </c>
      <c r="B1239" s="14" t="str">
        <f>"07010"</f>
        <v>07010</v>
      </c>
      <c r="C1239" s="14" t="str">
        <f>"1800"</f>
        <v>1800</v>
      </c>
      <c r="D1239" s="14" t="str">
        <f>""</f>
        <v/>
      </c>
      <c r="E1239" s="14" t="s">
        <v>1376</v>
      </c>
      <c r="F1239" s="14" t="s">
        <v>1002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228</v>
      </c>
      <c r="P1239" s="14" t="s">
        <v>260</v>
      </c>
      <c r="Q1239" s="14" t="s">
        <v>260</v>
      </c>
      <c r="R1239" s="14" t="s">
        <v>229</v>
      </c>
    </row>
    <row r="1240" spans="1:18" s="14" customFormat="1" x14ac:dyDescent="0.25">
      <c r="A1240" s="14" t="str">
        <f>"83665"</f>
        <v>83665</v>
      </c>
      <c r="B1240" s="14" t="str">
        <f>"07010"</f>
        <v>07010</v>
      </c>
      <c r="C1240" s="14" t="str">
        <f>"1800"</f>
        <v>1800</v>
      </c>
      <c r="D1240" s="14" t="str">
        <f>""</f>
        <v/>
      </c>
      <c r="E1240" s="14" t="s">
        <v>1377</v>
      </c>
      <c r="F1240" s="14" t="s">
        <v>1002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228</v>
      </c>
      <c r="P1240" s="14" t="s">
        <v>260</v>
      </c>
      <c r="Q1240" s="14" t="s">
        <v>260</v>
      </c>
      <c r="R1240" s="14" t="s">
        <v>229</v>
      </c>
    </row>
    <row r="1241" spans="1:18" s="14" customFormat="1" x14ac:dyDescent="0.25">
      <c r="A1241" s="14" t="str">
        <f>"83666"</f>
        <v>83666</v>
      </c>
      <c r="B1241" s="14" t="str">
        <f>"07010"</f>
        <v>07010</v>
      </c>
      <c r="C1241" s="14" t="str">
        <f>"1800"</f>
        <v>1800</v>
      </c>
      <c r="D1241" s="14" t="str">
        <f>""</f>
        <v/>
      </c>
      <c r="E1241" s="14" t="s">
        <v>1378</v>
      </c>
      <c r="F1241" s="14" t="s">
        <v>1002</v>
      </c>
      <c r="G1241" s="14" t="str">
        <f>""</f>
        <v/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228</v>
      </c>
      <c r="P1241" s="14" t="s">
        <v>260</v>
      </c>
      <c r="Q1241" s="14" t="s">
        <v>260</v>
      </c>
      <c r="R1241" s="14" t="s">
        <v>229</v>
      </c>
    </row>
    <row r="1242" spans="1:18" s="14" customFormat="1" x14ac:dyDescent="0.25">
      <c r="A1242" s="14" t="str">
        <f>"83667"</f>
        <v>83667</v>
      </c>
      <c r="B1242" s="14" t="str">
        <f>"07010"</f>
        <v>07010</v>
      </c>
      <c r="C1242" s="14" t="str">
        <f>"1800"</f>
        <v>1800</v>
      </c>
      <c r="D1242" s="14" t="str">
        <f>""</f>
        <v/>
      </c>
      <c r="E1242" s="14" t="s">
        <v>1379</v>
      </c>
      <c r="F1242" s="14" t="s">
        <v>1002</v>
      </c>
      <c r="G1242" s="14" t="str">
        <f>""</f>
        <v/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228</v>
      </c>
      <c r="P1242" s="14" t="s">
        <v>260</v>
      </c>
      <c r="Q1242" s="14" t="s">
        <v>260</v>
      </c>
      <c r="R1242" s="14" t="s">
        <v>229</v>
      </c>
    </row>
    <row r="1243" spans="1:18" s="14" customFormat="1" x14ac:dyDescent="0.25">
      <c r="A1243" s="14" t="str">
        <f>"83668"</f>
        <v>83668</v>
      </c>
      <c r="B1243" s="14" t="str">
        <f>"07010"</f>
        <v>07010</v>
      </c>
      <c r="C1243" s="14" t="str">
        <f>"1800"</f>
        <v>1800</v>
      </c>
      <c r="D1243" s="14" t="str">
        <f>""</f>
        <v/>
      </c>
      <c r="E1243" s="14" t="s">
        <v>1380</v>
      </c>
      <c r="F1243" s="14" t="s">
        <v>1002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228</v>
      </c>
      <c r="P1243" s="14" t="s">
        <v>260</v>
      </c>
      <c r="Q1243" s="14" t="s">
        <v>260</v>
      </c>
      <c r="R1243" s="14" t="s">
        <v>229</v>
      </c>
    </row>
    <row r="1244" spans="1:18" s="14" customFormat="1" x14ac:dyDescent="0.25">
      <c r="A1244" s="14" t="str">
        <f>"83670"</f>
        <v>83670</v>
      </c>
      <c r="B1244" s="14" t="str">
        <f>"07010"</f>
        <v>07010</v>
      </c>
      <c r="C1244" s="14" t="str">
        <f>"1800"</f>
        <v>1800</v>
      </c>
      <c r="D1244" s="14" t="str">
        <f>""</f>
        <v/>
      </c>
      <c r="E1244" s="14" t="s">
        <v>1381</v>
      </c>
      <c r="F1244" s="14" t="s">
        <v>1002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228</v>
      </c>
      <c r="P1244" s="14" t="s">
        <v>260</v>
      </c>
      <c r="Q1244" s="14" t="s">
        <v>260</v>
      </c>
      <c r="R1244" s="14" t="s">
        <v>229</v>
      </c>
    </row>
    <row r="1245" spans="1:18" s="14" customFormat="1" x14ac:dyDescent="0.25">
      <c r="A1245" s="14" t="str">
        <f>"83671"</f>
        <v>83671</v>
      </c>
      <c r="B1245" s="14" t="str">
        <f>"07010"</f>
        <v>07010</v>
      </c>
      <c r="C1245" s="14" t="str">
        <f>"1800"</f>
        <v>1800</v>
      </c>
      <c r="D1245" s="14" t="str">
        <f>""</f>
        <v/>
      </c>
      <c r="E1245" s="14" t="s">
        <v>1382</v>
      </c>
      <c r="F1245" s="14" t="s">
        <v>1002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228</v>
      </c>
      <c r="P1245" s="14" t="s">
        <v>260</v>
      </c>
      <c r="Q1245" s="14" t="s">
        <v>260</v>
      </c>
      <c r="R1245" s="14" t="s">
        <v>229</v>
      </c>
    </row>
    <row r="1246" spans="1:18" s="14" customFormat="1" x14ac:dyDescent="0.25">
      <c r="A1246" s="14" t="str">
        <f>"83672"</f>
        <v>83672</v>
      </c>
      <c r="B1246" s="14" t="str">
        <f>"07010"</f>
        <v>07010</v>
      </c>
      <c r="C1246" s="14" t="str">
        <f>"1800"</f>
        <v>1800</v>
      </c>
      <c r="D1246" s="14" t="str">
        <f>""</f>
        <v/>
      </c>
      <c r="E1246" s="14" t="s">
        <v>1383</v>
      </c>
      <c r="F1246" s="14" t="s">
        <v>1002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228</v>
      </c>
      <c r="P1246" s="14" t="s">
        <v>260</v>
      </c>
      <c r="Q1246" s="14" t="s">
        <v>260</v>
      </c>
      <c r="R1246" s="14" t="s">
        <v>229</v>
      </c>
    </row>
    <row r="1247" spans="1:18" s="14" customFormat="1" x14ac:dyDescent="0.25">
      <c r="A1247" s="14" t="str">
        <f>"83673"</f>
        <v>83673</v>
      </c>
      <c r="B1247" s="14" t="str">
        <f>"07010"</f>
        <v>07010</v>
      </c>
      <c r="C1247" s="14" t="str">
        <f>"1800"</f>
        <v>1800</v>
      </c>
      <c r="D1247" s="14" t="str">
        <f>""</f>
        <v/>
      </c>
      <c r="E1247" s="14" t="s">
        <v>1384</v>
      </c>
      <c r="F1247" s="14" t="s">
        <v>1002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228</v>
      </c>
      <c r="P1247" s="14" t="s">
        <v>260</v>
      </c>
      <c r="Q1247" s="14" t="s">
        <v>260</v>
      </c>
      <c r="R1247" s="14" t="s">
        <v>229</v>
      </c>
    </row>
    <row r="1248" spans="1:18" s="14" customFormat="1" x14ac:dyDescent="0.25">
      <c r="A1248" s="14" t="str">
        <f>"83674"</f>
        <v>83674</v>
      </c>
      <c r="B1248" s="14" t="str">
        <f>"07010"</f>
        <v>07010</v>
      </c>
      <c r="C1248" s="14" t="str">
        <f>"1800"</f>
        <v>1800</v>
      </c>
      <c r="D1248" s="14" t="str">
        <f>""</f>
        <v/>
      </c>
      <c r="E1248" s="14" t="s">
        <v>1385</v>
      </c>
      <c r="F1248" s="14" t="s">
        <v>1002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228</v>
      </c>
      <c r="P1248" s="14" t="s">
        <v>260</v>
      </c>
      <c r="Q1248" s="14" t="s">
        <v>260</v>
      </c>
      <c r="R1248" s="14" t="s">
        <v>229</v>
      </c>
    </row>
    <row r="1249" spans="1:18" s="14" customFormat="1" x14ac:dyDescent="0.25">
      <c r="A1249" s="14" t="str">
        <f>"83676"</f>
        <v>83676</v>
      </c>
      <c r="B1249" s="14" t="str">
        <f>"07010"</f>
        <v>07010</v>
      </c>
      <c r="C1249" s="14" t="str">
        <f>"1800"</f>
        <v>1800</v>
      </c>
      <c r="D1249" s="14" t="str">
        <f>""</f>
        <v/>
      </c>
      <c r="E1249" s="14" t="s">
        <v>1386</v>
      </c>
      <c r="F1249" s="14" t="s">
        <v>1002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228</v>
      </c>
      <c r="P1249" s="14" t="s">
        <v>260</v>
      </c>
      <c r="Q1249" s="14" t="s">
        <v>260</v>
      </c>
      <c r="R1249" s="14" t="s">
        <v>229</v>
      </c>
    </row>
    <row r="1250" spans="1:18" s="14" customFormat="1" x14ac:dyDescent="0.25">
      <c r="A1250" s="14" t="str">
        <f>"83677"</f>
        <v>83677</v>
      </c>
      <c r="B1250" s="14" t="str">
        <f>"07010"</f>
        <v>07010</v>
      </c>
      <c r="C1250" s="14" t="str">
        <f>"1800"</f>
        <v>1800</v>
      </c>
      <c r="D1250" s="14" t="str">
        <f>""</f>
        <v/>
      </c>
      <c r="E1250" s="14" t="s">
        <v>1387</v>
      </c>
      <c r="F1250" s="14" t="s">
        <v>1002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228</v>
      </c>
      <c r="P1250" s="14" t="s">
        <v>260</v>
      </c>
      <c r="Q1250" s="14" t="s">
        <v>260</v>
      </c>
      <c r="R1250" s="14" t="s">
        <v>229</v>
      </c>
    </row>
    <row r="1251" spans="1:18" s="14" customFormat="1" x14ac:dyDescent="0.25">
      <c r="A1251" s="14" t="str">
        <f>"83678"</f>
        <v>83678</v>
      </c>
      <c r="B1251" s="14" t="str">
        <f>"07010"</f>
        <v>07010</v>
      </c>
      <c r="C1251" s="14" t="str">
        <f>"1800"</f>
        <v>1800</v>
      </c>
      <c r="D1251" s="14" t="str">
        <f>""</f>
        <v/>
      </c>
      <c r="E1251" s="14" t="s">
        <v>1388</v>
      </c>
      <c r="F1251" s="14" t="s">
        <v>1002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228</v>
      </c>
      <c r="P1251" s="14" t="s">
        <v>260</v>
      </c>
      <c r="Q1251" s="14" t="s">
        <v>260</v>
      </c>
      <c r="R1251" s="14" t="s">
        <v>229</v>
      </c>
    </row>
    <row r="1252" spans="1:18" s="14" customFormat="1" x14ac:dyDescent="0.25">
      <c r="A1252" s="14" t="str">
        <f>"83679"</f>
        <v>83679</v>
      </c>
      <c r="B1252" s="14" t="str">
        <f>"07010"</f>
        <v>07010</v>
      </c>
      <c r="C1252" s="14" t="str">
        <f>"1800"</f>
        <v>1800</v>
      </c>
      <c r="D1252" s="14" t="str">
        <f>""</f>
        <v/>
      </c>
      <c r="E1252" s="14" t="s">
        <v>1389</v>
      </c>
      <c r="F1252" s="14" t="s">
        <v>1002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228</v>
      </c>
      <c r="P1252" s="14" t="s">
        <v>260</v>
      </c>
      <c r="Q1252" s="14" t="s">
        <v>260</v>
      </c>
      <c r="R1252" s="14" t="s">
        <v>229</v>
      </c>
    </row>
    <row r="1253" spans="1:18" s="14" customFormat="1" x14ac:dyDescent="0.25">
      <c r="A1253" s="14" t="str">
        <f>"83680"</f>
        <v>83680</v>
      </c>
      <c r="B1253" s="14" t="str">
        <f>"07010"</f>
        <v>07010</v>
      </c>
      <c r="C1253" s="14" t="str">
        <f>"1800"</f>
        <v>1800</v>
      </c>
      <c r="D1253" s="14" t="str">
        <f>""</f>
        <v/>
      </c>
      <c r="E1253" s="14" t="s">
        <v>1390</v>
      </c>
      <c r="F1253" s="14" t="s">
        <v>1002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228</v>
      </c>
      <c r="P1253" s="14" t="s">
        <v>260</v>
      </c>
      <c r="Q1253" s="14" t="s">
        <v>260</v>
      </c>
      <c r="R1253" s="14" t="s">
        <v>229</v>
      </c>
    </row>
    <row r="1254" spans="1:18" s="14" customFormat="1" x14ac:dyDescent="0.25">
      <c r="A1254" s="14" t="str">
        <f>"83683"</f>
        <v>83683</v>
      </c>
      <c r="B1254" s="14" t="str">
        <f>"07010"</f>
        <v>07010</v>
      </c>
      <c r="C1254" s="14" t="str">
        <f>"1800"</f>
        <v>1800</v>
      </c>
      <c r="D1254" s="14" t="str">
        <f>""</f>
        <v/>
      </c>
      <c r="E1254" s="14" t="s">
        <v>1391</v>
      </c>
      <c r="F1254" s="14" t="s">
        <v>1002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228</v>
      </c>
      <c r="P1254" s="14" t="s">
        <v>260</v>
      </c>
      <c r="Q1254" s="14" t="s">
        <v>260</v>
      </c>
      <c r="R1254" s="14" t="s">
        <v>229</v>
      </c>
    </row>
    <row r="1255" spans="1:18" s="14" customFormat="1" x14ac:dyDescent="0.25">
      <c r="A1255" s="14" t="str">
        <f>"83684"</f>
        <v>83684</v>
      </c>
      <c r="B1255" s="14" t="str">
        <f>"07010"</f>
        <v>07010</v>
      </c>
      <c r="C1255" s="14" t="str">
        <f>"1800"</f>
        <v>1800</v>
      </c>
      <c r="D1255" s="14" t="str">
        <f>""</f>
        <v/>
      </c>
      <c r="E1255" s="14" t="s">
        <v>1392</v>
      </c>
      <c r="F1255" s="14" t="s">
        <v>1002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228</v>
      </c>
      <c r="P1255" s="14" t="s">
        <v>260</v>
      </c>
      <c r="Q1255" s="14" t="s">
        <v>260</v>
      </c>
      <c r="R1255" s="14" t="s">
        <v>229</v>
      </c>
    </row>
    <row r="1256" spans="1:18" s="14" customFormat="1" x14ac:dyDescent="0.25">
      <c r="A1256" s="14" t="str">
        <f>"83685"</f>
        <v>83685</v>
      </c>
      <c r="B1256" s="14" t="str">
        <f>"07010"</f>
        <v>07010</v>
      </c>
      <c r="C1256" s="14" t="str">
        <f>"1800"</f>
        <v>1800</v>
      </c>
      <c r="D1256" s="14" t="str">
        <f>""</f>
        <v/>
      </c>
      <c r="E1256" s="14" t="s">
        <v>1393</v>
      </c>
      <c r="F1256" s="14" t="s">
        <v>1002</v>
      </c>
      <c r="G1256" s="14" t="str">
        <f>""</f>
        <v/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228</v>
      </c>
      <c r="P1256" s="14" t="s">
        <v>260</v>
      </c>
      <c r="Q1256" s="14" t="s">
        <v>260</v>
      </c>
      <c r="R1256" s="14" t="s">
        <v>229</v>
      </c>
    </row>
    <row r="1257" spans="1:18" s="14" customFormat="1" x14ac:dyDescent="0.25">
      <c r="A1257" s="14" t="str">
        <f>"83686"</f>
        <v>83686</v>
      </c>
      <c r="B1257" s="14" t="str">
        <f>"07010"</f>
        <v>07010</v>
      </c>
      <c r="C1257" s="14" t="str">
        <f>"1800"</f>
        <v>1800</v>
      </c>
      <c r="D1257" s="14" t="str">
        <f>""</f>
        <v/>
      </c>
      <c r="E1257" s="14" t="s">
        <v>1394</v>
      </c>
      <c r="F1257" s="14" t="s">
        <v>1002</v>
      </c>
      <c r="G1257" s="14" t="str">
        <f>""</f>
        <v/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228</v>
      </c>
      <c r="P1257" s="14" t="s">
        <v>260</v>
      </c>
      <c r="Q1257" s="14" t="s">
        <v>260</v>
      </c>
      <c r="R1257" s="14" t="s">
        <v>229</v>
      </c>
    </row>
    <row r="1258" spans="1:18" s="14" customFormat="1" x14ac:dyDescent="0.25">
      <c r="A1258" s="14" t="str">
        <f>"83687"</f>
        <v>83687</v>
      </c>
      <c r="B1258" s="14" t="str">
        <f>"07010"</f>
        <v>07010</v>
      </c>
      <c r="C1258" s="14" t="str">
        <f>"1800"</f>
        <v>1800</v>
      </c>
      <c r="D1258" s="14" t="str">
        <f>""</f>
        <v/>
      </c>
      <c r="E1258" s="14" t="s">
        <v>1395</v>
      </c>
      <c r="F1258" s="14" t="s">
        <v>1002</v>
      </c>
      <c r="G1258" s="14" t="str">
        <f>""</f>
        <v/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228</v>
      </c>
      <c r="P1258" s="14" t="s">
        <v>260</v>
      </c>
      <c r="Q1258" s="14" t="s">
        <v>260</v>
      </c>
      <c r="R1258" s="14" t="s">
        <v>229</v>
      </c>
    </row>
    <row r="1259" spans="1:18" s="14" customFormat="1" x14ac:dyDescent="0.25">
      <c r="A1259" s="14" t="str">
        <f>"83688"</f>
        <v>83688</v>
      </c>
      <c r="B1259" s="14" t="str">
        <f>"07010"</f>
        <v>07010</v>
      </c>
      <c r="C1259" s="14" t="str">
        <f>"1800"</f>
        <v>1800</v>
      </c>
      <c r="D1259" s="14" t="str">
        <f>""</f>
        <v/>
      </c>
      <c r="E1259" s="14" t="s">
        <v>1396</v>
      </c>
      <c r="F1259" s="14" t="s">
        <v>1002</v>
      </c>
      <c r="G1259" s="14" t="str">
        <f>""</f>
        <v/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228</v>
      </c>
      <c r="P1259" s="14" t="s">
        <v>260</v>
      </c>
      <c r="Q1259" s="14" t="s">
        <v>260</v>
      </c>
      <c r="R1259" s="14" t="s">
        <v>229</v>
      </c>
    </row>
    <row r="1260" spans="1:18" s="14" customFormat="1" x14ac:dyDescent="0.25">
      <c r="A1260" s="14" t="str">
        <f>"83689"</f>
        <v>83689</v>
      </c>
      <c r="B1260" s="14" t="str">
        <f>"07010"</f>
        <v>07010</v>
      </c>
      <c r="C1260" s="14" t="str">
        <f>"1800"</f>
        <v>1800</v>
      </c>
      <c r="D1260" s="14" t="str">
        <f>""</f>
        <v/>
      </c>
      <c r="E1260" s="14" t="s">
        <v>1397</v>
      </c>
      <c r="F1260" s="14" t="s">
        <v>1002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228</v>
      </c>
      <c r="P1260" s="14" t="s">
        <v>260</v>
      </c>
      <c r="Q1260" s="14" t="s">
        <v>260</v>
      </c>
      <c r="R1260" s="14" t="s">
        <v>229</v>
      </c>
    </row>
    <row r="1261" spans="1:18" s="14" customFormat="1" x14ac:dyDescent="0.25">
      <c r="A1261" s="14" t="str">
        <f>"83690"</f>
        <v>83690</v>
      </c>
      <c r="B1261" s="14" t="str">
        <f>"07010"</f>
        <v>07010</v>
      </c>
      <c r="C1261" s="14" t="str">
        <f>"1800"</f>
        <v>1800</v>
      </c>
      <c r="D1261" s="14" t="str">
        <f>""</f>
        <v/>
      </c>
      <c r="E1261" s="14" t="s">
        <v>1398</v>
      </c>
      <c r="F1261" s="14" t="s">
        <v>1002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228</v>
      </c>
      <c r="P1261" s="14" t="s">
        <v>260</v>
      </c>
      <c r="Q1261" s="14" t="s">
        <v>260</v>
      </c>
      <c r="R1261" s="14" t="s">
        <v>229</v>
      </c>
    </row>
    <row r="1262" spans="1:18" s="14" customFormat="1" x14ac:dyDescent="0.25">
      <c r="A1262" s="14" t="str">
        <f>"83691"</f>
        <v>83691</v>
      </c>
      <c r="B1262" s="14" t="str">
        <f>"07010"</f>
        <v>07010</v>
      </c>
      <c r="C1262" s="14" t="str">
        <f>"1800"</f>
        <v>1800</v>
      </c>
      <c r="D1262" s="14" t="str">
        <f>""</f>
        <v/>
      </c>
      <c r="E1262" s="14" t="s">
        <v>1399</v>
      </c>
      <c r="F1262" s="14" t="s">
        <v>1002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228</v>
      </c>
      <c r="P1262" s="14" t="s">
        <v>260</v>
      </c>
      <c r="Q1262" s="14" t="s">
        <v>260</v>
      </c>
      <c r="R1262" s="14" t="s">
        <v>229</v>
      </c>
    </row>
    <row r="1263" spans="1:18" s="14" customFormat="1" x14ac:dyDescent="0.25">
      <c r="A1263" s="14" t="str">
        <f>"83692"</f>
        <v>83692</v>
      </c>
      <c r="B1263" s="14" t="str">
        <f>"07010"</f>
        <v>07010</v>
      </c>
      <c r="C1263" s="14" t="str">
        <f>"1800"</f>
        <v>1800</v>
      </c>
      <c r="D1263" s="14" t="str">
        <f>""</f>
        <v/>
      </c>
      <c r="E1263" s="14" t="s">
        <v>1400</v>
      </c>
      <c r="F1263" s="14" t="s">
        <v>1002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228</v>
      </c>
      <c r="P1263" s="14" t="s">
        <v>260</v>
      </c>
      <c r="Q1263" s="14" t="s">
        <v>260</v>
      </c>
      <c r="R1263" s="14" t="s">
        <v>229</v>
      </c>
    </row>
    <row r="1264" spans="1:18" s="14" customFormat="1" x14ac:dyDescent="0.25">
      <c r="A1264" s="14" t="str">
        <f>"83693"</f>
        <v>83693</v>
      </c>
      <c r="B1264" s="14" t="str">
        <f>"07010"</f>
        <v>07010</v>
      </c>
      <c r="C1264" s="14" t="str">
        <f>"1800"</f>
        <v>1800</v>
      </c>
      <c r="D1264" s="14" t="str">
        <f>""</f>
        <v/>
      </c>
      <c r="E1264" s="14" t="s">
        <v>1401</v>
      </c>
      <c r="F1264" s="14" t="s">
        <v>1002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228</v>
      </c>
      <c r="P1264" s="14" t="s">
        <v>260</v>
      </c>
      <c r="Q1264" s="14" t="s">
        <v>260</v>
      </c>
      <c r="R1264" s="14" t="s">
        <v>229</v>
      </c>
    </row>
    <row r="1265" spans="1:18" s="14" customFormat="1" x14ac:dyDescent="0.25">
      <c r="A1265" s="14" t="str">
        <f>"83694"</f>
        <v>83694</v>
      </c>
      <c r="B1265" s="14" t="str">
        <f>"07010"</f>
        <v>07010</v>
      </c>
      <c r="C1265" s="14" t="str">
        <f>"1800"</f>
        <v>1800</v>
      </c>
      <c r="D1265" s="14" t="str">
        <f>""</f>
        <v/>
      </c>
      <c r="E1265" s="14" t="s">
        <v>1402</v>
      </c>
      <c r="F1265" s="14" t="s">
        <v>1002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228</v>
      </c>
      <c r="P1265" s="14" t="s">
        <v>260</v>
      </c>
      <c r="Q1265" s="14" t="s">
        <v>260</v>
      </c>
      <c r="R1265" s="14" t="s">
        <v>229</v>
      </c>
    </row>
    <row r="1266" spans="1:18" s="14" customFormat="1" x14ac:dyDescent="0.25">
      <c r="A1266" s="14" t="str">
        <f>"83695"</f>
        <v>83695</v>
      </c>
      <c r="B1266" s="14" t="str">
        <f>"07010"</f>
        <v>07010</v>
      </c>
      <c r="C1266" s="14" t="str">
        <f>"1800"</f>
        <v>1800</v>
      </c>
      <c r="D1266" s="14" t="str">
        <f>""</f>
        <v/>
      </c>
      <c r="E1266" s="14" t="s">
        <v>1403</v>
      </c>
      <c r="F1266" s="14" t="s">
        <v>1002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228</v>
      </c>
      <c r="P1266" s="14" t="s">
        <v>260</v>
      </c>
      <c r="Q1266" s="14" t="s">
        <v>260</v>
      </c>
      <c r="R1266" s="14" t="s">
        <v>229</v>
      </c>
    </row>
    <row r="1267" spans="1:18" s="14" customFormat="1" x14ac:dyDescent="0.25">
      <c r="A1267" s="14" t="str">
        <f>"83696"</f>
        <v>83696</v>
      </c>
      <c r="B1267" s="14" t="str">
        <f>"07010"</f>
        <v>07010</v>
      </c>
      <c r="C1267" s="14" t="str">
        <f>"1800"</f>
        <v>1800</v>
      </c>
      <c r="D1267" s="14" t="str">
        <f>""</f>
        <v/>
      </c>
      <c r="E1267" s="14" t="s">
        <v>1404</v>
      </c>
      <c r="F1267" s="14" t="s">
        <v>1002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228</v>
      </c>
      <c r="P1267" s="14" t="s">
        <v>260</v>
      </c>
      <c r="Q1267" s="14" t="s">
        <v>260</v>
      </c>
      <c r="R1267" s="14" t="s">
        <v>229</v>
      </c>
    </row>
    <row r="1268" spans="1:18" s="14" customFormat="1" x14ac:dyDescent="0.25">
      <c r="A1268" s="14" t="str">
        <f>"83697"</f>
        <v>83697</v>
      </c>
      <c r="B1268" s="14" t="str">
        <f>"07010"</f>
        <v>07010</v>
      </c>
      <c r="C1268" s="14" t="str">
        <f>"1800"</f>
        <v>1800</v>
      </c>
      <c r="D1268" s="14" t="str">
        <f>""</f>
        <v/>
      </c>
      <c r="E1268" s="14" t="s">
        <v>1405</v>
      </c>
      <c r="F1268" s="14" t="s">
        <v>1002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228</v>
      </c>
      <c r="P1268" s="14" t="s">
        <v>260</v>
      </c>
      <c r="Q1268" s="14" t="s">
        <v>260</v>
      </c>
      <c r="R1268" s="14" t="s">
        <v>229</v>
      </c>
    </row>
    <row r="1269" spans="1:18" s="14" customFormat="1" x14ac:dyDescent="0.25">
      <c r="A1269" s="14" t="str">
        <f>"83698"</f>
        <v>83698</v>
      </c>
      <c r="B1269" s="14" t="str">
        <f>"07010"</f>
        <v>07010</v>
      </c>
      <c r="C1269" s="14" t="str">
        <f>"1800"</f>
        <v>1800</v>
      </c>
      <c r="D1269" s="14" t="str">
        <f>""</f>
        <v/>
      </c>
      <c r="E1269" s="14" t="s">
        <v>1406</v>
      </c>
      <c r="F1269" s="14" t="s">
        <v>1002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228</v>
      </c>
      <c r="P1269" s="14" t="s">
        <v>260</v>
      </c>
      <c r="Q1269" s="14" t="s">
        <v>260</v>
      </c>
      <c r="R1269" s="14" t="s">
        <v>229</v>
      </c>
    </row>
    <row r="1270" spans="1:18" s="14" customFormat="1" x14ac:dyDescent="0.25">
      <c r="A1270" s="14" t="str">
        <f>"83699"</f>
        <v>83699</v>
      </c>
      <c r="B1270" s="14" t="str">
        <f>"07010"</f>
        <v>07010</v>
      </c>
      <c r="C1270" s="14" t="str">
        <f>"1800"</f>
        <v>1800</v>
      </c>
      <c r="D1270" s="14" t="str">
        <f>""</f>
        <v/>
      </c>
      <c r="E1270" s="14" t="s">
        <v>1407</v>
      </c>
      <c r="F1270" s="14" t="s">
        <v>1002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228</v>
      </c>
      <c r="P1270" s="14" t="s">
        <v>260</v>
      </c>
      <c r="Q1270" s="14" t="s">
        <v>260</v>
      </c>
      <c r="R1270" s="14" t="s">
        <v>229</v>
      </c>
    </row>
    <row r="1271" spans="1:18" s="14" customFormat="1" x14ac:dyDescent="0.25">
      <c r="A1271" s="14" t="str">
        <f>"83700"</f>
        <v>83700</v>
      </c>
      <c r="B1271" s="14" t="str">
        <f>"07010"</f>
        <v>07010</v>
      </c>
      <c r="C1271" s="14" t="str">
        <f>"1800"</f>
        <v>1800</v>
      </c>
      <c r="D1271" s="14" t="str">
        <f>""</f>
        <v/>
      </c>
      <c r="E1271" s="14" t="s">
        <v>1408</v>
      </c>
      <c r="F1271" s="14" t="s">
        <v>1002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228</v>
      </c>
      <c r="P1271" s="14" t="s">
        <v>260</v>
      </c>
      <c r="Q1271" s="14" t="s">
        <v>260</v>
      </c>
      <c r="R1271" s="14" t="s">
        <v>229</v>
      </c>
    </row>
    <row r="1272" spans="1:18" s="14" customFormat="1" x14ac:dyDescent="0.25">
      <c r="A1272" s="14" t="str">
        <f>"83701"</f>
        <v>83701</v>
      </c>
      <c r="B1272" s="14" t="str">
        <f>"07010"</f>
        <v>07010</v>
      </c>
      <c r="C1272" s="14" t="str">
        <f>"1800"</f>
        <v>1800</v>
      </c>
      <c r="D1272" s="14" t="str">
        <f>""</f>
        <v/>
      </c>
      <c r="E1272" s="14" t="s">
        <v>1409</v>
      </c>
      <c r="F1272" s="14" t="s">
        <v>1002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228</v>
      </c>
      <c r="P1272" s="14" t="s">
        <v>260</v>
      </c>
      <c r="Q1272" s="14" t="s">
        <v>260</v>
      </c>
      <c r="R1272" s="14" t="s">
        <v>229</v>
      </c>
    </row>
    <row r="1273" spans="1:18" s="14" customFormat="1" x14ac:dyDescent="0.25">
      <c r="A1273" s="14" t="str">
        <f>"83702"</f>
        <v>83702</v>
      </c>
      <c r="B1273" s="14" t="str">
        <f>"07010"</f>
        <v>07010</v>
      </c>
      <c r="C1273" s="14" t="str">
        <f>"1800"</f>
        <v>1800</v>
      </c>
      <c r="D1273" s="14" t="str">
        <f>""</f>
        <v/>
      </c>
      <c r="E1273" s="14" t="s">
        <v>1410</v>
      </c>
      <c r="F1273" s="14" t="s">
        <v>1002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228</v>
      </c>
      <c r="P1273" s="14" t="s">
        <v>260</v>
      </c>
      <c r="Q1273" s="14" t="s">
        <v>260</v>
      </c>
      <c r="R1273" s="14" t="s">
        <v>229</v>
      </c>
    </row>
    <row r="1274" spans="1:18" s="14" customFormat="1" x14ac:dyDescent="0.25">
      <c r="A1274" s="14" t="str">
        <f>"83703"</f>
        <v>83703</v>
      </c>
      <c r="B1274" s="14" t="str">
        <f>"07010"</f>
        <v>07010</v>
      </c>
      <c r="C1274" s="14" t="str">
        <f>"1800"</f>
        <v>1800</v>
      </c>
      <c r="D1274" s="14" t="str">
        <f>""</f>
        <v/>
      </c>
      <c r="E1274" s="14" t="s">
        <v>1411</v>
      </c>
      <c r="F1274" s="14" t="s">
        <v>1002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228</v>
      </c>
      <c r="P1274" s="14" t="s">
        <v>260</v>
      </c>
      <c r="Q1274" s="14" t="s">
        <v>260</v>
      </c>
      <c r="R1274" s="14" t="s">
        <v>229</v>
      </c>
    </row>
    <row r="1275" spans="1:18" s="14" customFormat="1" x14ac:dyDescent="0.25">
      <c r="A1275" s="14" t="str">
        <f>"83704"</f>
        <v>83704</v>
      </c>
      <c r="B1275" s="14" t="str">
        <f>"07010"</f>
        <v>07010</v>
      </c>
      <c r="C1275" s="14" t="str">
        <f>"1800"</f>
        <v>1800</v>
      </c>
      <c r="D1275" s="14" t="str">
        <f>""</f>
        <v/>
      </c>
      <c r="E1275" s="14" t="s">
        <v>1412</v>
      </c>
      <c r="F1275" s="14" t="s">
        <v>1002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228</v>
      </c>
      <c r="P1275" s="14" t="s">
        <v>260</v>
      </c>
      <c r="Q1275" s="14" t="s">
        <v>260</v>
      </c>
      <c r="R1275" s="14" t="s">
        <v>229</v>
      </c>
    </row>
    <row r="1276" spans="1:18" s="14" customFormat="1" x14ac:dyDescent="0.25">
      <c r="A1276" s="14" t="str">
        <f>"83705"</f>
        <v>83705</v>
      </c>
      <c r="B1276" s="14" t="str">
        <f>"07010"</f>
        <v>07010</v>
      </c>
      <c r="C1276" s="14" t="str">
        <f>"1800"</f>
        <v>1800</v>
      </c>
      <c r="D1276" s="14" t="str">
        <f>""</f>
        <v/>
      </c>
      <c r="E1276" s="14" t="s">
        <v>1413</v>
      </c>
      <c r="F1276" s="14" t="s">
        <v>1002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228</v>
      </c>
      <c r="P1276" s="14" t="s">
        <v>260</v>
      </c>
      <c r="Q1276" s="14" t="s">
        <v>260</v>
      </c>
      <c r="R1276" s="14" t="s">
        <v>229</v>
      </c>
    </row>
    <row r="1277" spans="1:18" s="14" customFormat="1" x14ac:dyDescent="0.25">
      <c r="A1277" s="14" t="str">
        <f>"83706"</f>
        <v>83706</v>
      </c>
      <c r="B1277" s="14" t="str">
        <f>"07010"</f>
        <v>07010</v>
      </c>
      <c r="C1277" s="14" t="str">
        <f>"1800"</f>
        <v>1800</v>
      </c>
      <c r="D1277" s="14" t="str">
        <f>""</f>
        <v/>
      </c>
      <c r="E1277" s="14" t="s">
        <v>1414</v>
      </c>
      <c r="F1277" s="14" t="s">
        <v>1002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228</v>
      </c>
      <c r="P1277" s="14" t="s">
        <v>260</v>
      </c>
      <c r="Q1277" s="14" t="s">
        <v>260</v>
      </c>
      <c r="R1277" s="14" t="s">
        <v>229</v>
      </c>
    </row>
    <row r="1278" spans="1:18" s="14" customFormat="1" x14ac:dyDescent="0.25">
      <c r="A1278" s="14" t="str">
        <f>"83708"</f>
        <v>83708</v>
      </c>
      <c r="B1278" s="14" t="str">
        <f>"07010"</f>
        <v>07010</v>
      </c>
      <c r="C1278" s="14" t="str">
        <f>"1800"</f>
        <v>1800</v>
      </c>
      <c r="D1278" s="14" t="str">
        <f>""</f>
        <v/>
      </c>
      <c r="E1278" s="14" t="s">
        <v>1415</v>
      </c>
      <c r="F1278" s="14" t="s">
        <v>1002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228</v>
      </c>
      <c r="P1278" s="14" t="s">
        <v>260</v>
      </c>
      <c r="Q1278" s="14" t="s">
        <v>260</v>
      </c>
      <c r="R1278" s="14" t="s">
        <v>229</v>
      </c>
    </row>
    <row r="1279" spans="1:18" s="14" customFormat="1" x14ac:dyDescent="0.25">
      <c r="A1279" s="14" t="str">
        <f>"83709"</f>
        <v>83709</v>
      </c>
      <c r="B1279" s="14" t="str">
        <f>"07010"</f>
        <v>07010</v>
      </c>
      <c r="C1279" s="14" t="str">
        <f>"1800"</f>
        <v>1800</v>
      </c>
      <c r="D1279" s="14" t="str">
        <f>""</f>
        <v/>
      </c>
      <c r="E1279" s="14" t="s">
        <v>1402</v>
      </c>
      <c r="F1279" s="14" t="s">
        <v>1002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228</v>
      </c>
      <c r="P1279" s="14" t="s">
        <v>260</v>
      </c>
      <c r="Q1279" s="14" t="s">
        <v>260</v>
      </c>
      <c r="R1279" s="14" t="s">
        <v>229</v>
      </c>
    </row>
    <row r="1280" spans="1:18" s="14" customFormat="1" x14ac:dyDescent="0.25">
      <c r="A1280" s="14" t="str">
        <f>"83710"</f>
        <v>83710</v>
      </c>
      <c r="B1280" s="14" t="str">
        <f>"07010"</f>
        <v>07010</v>
      </c>
      <c r="C1280" s="14" t="str">
        <f>"1800"</f>
        <v>1800</v>
      </c>
      <c r="D1280" s="14" t="str">
        <f>""</f>
        <v/>
      </c>
      <c r="E1280" s="14" t="s">
        <v>1416</v>
      </c>
      <c r="F1280" s="14" t="s">
        <v>1002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228</v>
      </c>
      <c r="P1280" s="14" t="s">
        <v>260</v>
      </c>
      <c r="Q1280" s="14" t="s">
        <v>260</v>
      </c>
      <c r="R1280" s="14" t="s">
        <v>229</v>
      </c>
    </row>
    <row r="1281" spans="1:18" s="14" customFormat="1" x14ac:dyDescent="0.25">
      <c r="A1281" s="14" t="str">
        <f>"83711"</f>
        <v>83711</v>
      </c>
      <c r="B1281" s="14" t="str">
        <f>"07010"</f>
        <v>07010</v>
      </c>
      <c r="C1281" s="14" t="str">
        <f>"1800"</f>
        <v>1800</v>
      </c>
      <c r="D1281" s="14" t="str">
        <f>""</f>
        <v/>
      </c>
      <c r="E1281" s="14" t="s">
        <v>1417</v>
      </c>
      <c r="F1281" s="14" t="s">
        <v>1002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228</v>
      </c>
      <c r="P1281" s="14" t="s">
        <v>260</v>
      </c>
      <c r="Q1281" s="14" t="s">
        <v>260</v>
      </c>
      <c r="R1281" s="14" t="s">
        <v>229</v>
      </c>
    </row>
    <row r="1282" spans="1:18" s="14" customFormat="1" x14ac:dyDescent="0.25">
      <c r="A1282" s="14" t="str">
        <f>"83712"</f>
        <v>83712</v>
      </c>
      <c r="B1282" s="14" t="str">
        <f>"07010"</f>
        <v>07010</v>
      </c>
      <c r="C1282" s="14" t="str">
        <f>"1800"</f>
        <v>1800</v>
      </c>
      <c r="D1282" s="14" t="str">
        <f>""</f>
        <v/>
      </c>
      <c r="E1282" s="14" t="s">
        <v>1418</v>
      </c>
      <c r="F1282" s="14" t="s">
        <v>1002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228</v>
      </c>
      <c r="P1282" s="14" t="s">
        <v>260</v>
      </c>
      <c r="Q1282" s="14" t="s">
        <v>260</v>
      </c>
      <c r="R1282" s="14" t="s">
        <v>229</v>
      </c>
    </row>
    <row r="1283" spans="1:18" s="14" customFormat="1" x14ac:dyDescent="0.25">
      <c r="A1283" s="14" t="str">
        <f>"83713"</f>
        <v>83713</v>
      </c>
      <c r="B1283" s="14" t="str">
        <f>"07010"</f>
        <v>07010</v>
      </c>
      <c r="C1283" s="14" t="str">
        <f>"1800"</f>
        <v>1800</v>
      </c>
      <c r="D1283" s="14" t="str">
        <f>""</f>
        <v/>
      </c>
      <c r="E1283" s="14" t="s">
        <v>1419</v>
      </c>
      <c r="F1283" s="14" t="s">
        <v>1002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228</v>
      </c>
      <c r="P1283" s="14" t="s">
        <v>260</v>
      </c>
      <c r="Q1283" s="14" t="s">
        <v>260</v>
      </c>
      <c r="R1283" s="14" t="s">
        <v>229</v>
      </c>
    </row>
    <row r="1284" spans="1:18" s="14" customFormat="1" x14ac:dyDescent="0.25">
      <c r="A1284" s="14" t="str">
        <f>"83714"</f>
        <v>83714</v>
      </c>
      <c r="B1284" s="14" t="str">
        <f>"07010"</f>
        <v>07010</v>
      </c>
      <c r="C1284" s="14" t="str">
        <f>"1800"</f>
        <v>1800</v>
      </c>
      <c r="D1284" s="14" t="str">
        <f>""</f>
        <v/>
      </c>
      <c r="E1284" s="14" t="s">
        <v>1420</v>
      </c>
      <c r="F1284" s="14" t="s">
        <v>1002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228</v>
      </c>
      <c r="P1284" s="14" t="s">
        <v>260</v>
      </c>
      <c r="Q1284" s="14" t="s">
        <v>260</v>
      </c>
      <c r="R1284" s="14" t="s">
        <v>229</v>
      </c>
    </row>
    <row r="1285" spans="1:18" s="14" customFormat="1" x14ac:dyDescent="0.25">
      <c r="A1285" s="14" t="str">
        <f>"83715"</f>
        <v>83715</v>
      </c>
      <c r="B1285" s="14" t="str">
        <f>"07010"</f>
        <v>07010</v>
      </c>
      <c r="C1285" s="14" t="str">
        <f>"1800"</f>
        <v>1800</v>
      </c>
      <c r="D1285" s="14" t="str">
        <f>""</f>
        <v/>
      </c>
      <c r="E1285" s="14" t="s">
        <v>1421</v>
      </c>
      <c r="F1285" s="14" t="s">
        <v>1002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228</v>
      </c>
      <c r="P1285" s="14" t="s">
        <v>260</v>
      </c>
      <c r="Q1285" s="14" t="s">
        <v>260</v>
      </c>
      <c r="R1285" s="14" t="s">
        <v>229</v>
      </c>
    </row>
    <row r="1286" spans="1:18" s="14" customFormat="1" x14ac:dyDescent="0.25">
      <c r="A1286" s="14" t="str">
        <f>"83716"</f>
        <v>83716</v>
      </c>
      <c r="B1286" s="14" t="str">
        <f>"07010"</f>
        <v>07010</v>
      </c>
      <c r="C1286" s="14" t="str">
        <f>"1800"</f>
        <v>1800</v>
      </c>
      <c r="D1286" s="14" t="str">
        <f>""</f>
        <v/>
      </c>
      <c r="E1286" s="14" t="s">
        <v>1422</v>
      </c>
      <c r="F1286" s="14" t="s">
        <v>1002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228</v>
      </c>
      <c r="P1286" s="14" t="s">
        <v>260</v>
      </c>
      <c r="Q1286" s="14" t="s">
        <v>260</v>
      </c>
      <c r="R1286" s="14" t="s">
        <v>229</v>
      </c>
    </row>
    <row r="1287" spans="1:18" s="14" customFormat="1" x14ac:dyDescent="0.25">
      <c r="A1287" s="14" t="str">
        <f>"83717"</f>
        <v>83717</v>
      </c>
      <c r="B1287" s="14" t="str">
        <f>"07010"</f>
        <v>07010</v>
      </c>
      <c r="C1287" s="14" t="str">
        <f>"1800"</f>
        <v>1800</v>
      </c>
      <c r="D1287" s="14" t="str">
        <f>""</f>
        <v/>
      </c>
      <c r="E1287" s="14" t="s">
        <v>1423</v>
      </c>
      <c r="F1287" s="14" t="s">
        <v>1002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228</v>
      </c>
      <c r="P1287" s="14" t="s">
        <v>260</v>
      </c>
      <c r="Q1287" s="14" t="s">
        <v>260</v>
      </c>
      <c r="R1287" s="14" t="s">
        <v>229</v>
      </c>
    </row>
    <row r="1288" spans="1:18" s="14" customFormat="1" x14ac:dyDescent="0.25">
      <c r="A1288" s="14" t="str">
        <f>"83718"</f>
        <v>83718</v>
      </c>
      <c r="B1288" s="14" t="str">
        <f>"07010"</f>
        <v>07010</v>
      </c>
      <c r="C1288" s="14" t="str">
        <f>"1800"</f>
        <v>1800</v>
      </c>
      <c r="D1288" s="14" t="str">
        <f>""</f>
        <v/>
      </c>
      <c r="E1288" s="14" t="s">
        <v>1424</v>
      </c>
      <c r="F1288" s="14" t="s">
        <v>1002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228</v>
      </c>
      <c r="P1288" s="14" t="s">
        <v>260</v>
      </c>
      <c r="Q1288" s="14" t="s">
        <v>260</v>
      </c>
      <c r="R1288" s="14" t="s">
        <v>229</v>
      </c>
    </row>
    <row r="1289" spans="1:18" s="14" customFormat="1" x14ac:dyDescent="0.25">
      <c r="A1289" s="14" t="str">
        <f>"83719"</f>
        <v>83719</v>
      </c>
      <c r="B1289" s="14" t="str">
        <f>"07010"</f>
        <v>07010</v>
      </c>
      <c r="C1289" s="14" t="str">
        <f>"1800"</f>
        <v>1800</v>
      </c>
      <c r="D1289" s="14" t="str">
        <f>""</f>
        <v/>
      </c>
      <c r="E1289" s="14" t="s">
        <v>1425</v>
      </c>
      <c r="F1289" s="14" t="s">
        <v>1002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228</v>
      </c>
      <c r="P1289" s="14" t="s">
        <v>260</v>
      </c>
      <c r="Q1289" s="14" t="s">
        <v>260</v>
      </c>
      <c r="R1289" s="14" t="s">
        <v>229</v>
      </c>
    </row>
    <row r="1290" spans="1:18" s="14" customFormat="1" x14ac:dyDescent="0.25">
      <c r="A1290" s="14" t="str">
        <f>"83720"</f>
        <v>83720</v>
      </c>
      <c r="B1290" s="14" t="str">
        <f>"07010"</f>
        <v>07010</v>
      </c>
      <c r="C1290" s="14" t="str">
        <f>"1800"</f>
        <v>1800</v>
      </c>
      <c r="D1290" s="14" t="str">
        <f>""</f>
        <v/>
      </c>
      <c r="E1290" s="14" t="s">
        <v>1426</v>
      </c>
      <c r="F1290" s="14" t="s">
        <v>1002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228</v>
      </c>
      <c r="P1290" s="14" t="s">
        <v>260</v>
      </c>
      <c r="Q1290" s="14" t="s">
        <v>260</v>
      </c>
      <c r="R1290" s="14" t="s">
        <v>229</v>
      </c>
    </row>
    <row r="1291" spans="1:18" s="14" customFormat="1" x14ac:dyDescent="0.25">
      <c r="A1291" s="14" t="str">
        <f>"83721"</f>
        <v>83721</v>
      </c>
      <c r="B1291" s="14" t="str">
        <f>"07010"</f>
        <v>07010</v>
      </c>
      <c r="C1291" s="14" t="str">
        <f>"1800"</f>
        <v>1800</v>
      </c>
      <c r="D1291" s="14" t="str">
        <f>""</f>
        <v/>
      </c>
      <c r="E1291" s="14" t="s">
        <v>1427</v>
      </c>
      <c r="F1291" s="14" t="s">
        <v>1002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228</v>
      </c>
      <c r="P1291" s="14" t="s">
        <v>260</v>
      </c>
      <c r="Q1291" s="14" t="s">
        <v>260</v>
      </c>
      <c r="R1291" s="14" t="s">
        <v>229</v>
      </c>
    </row>
    <row r="1292" spans="1:18" s="14" customFormat="1" x14ac:dyDescent="0.25">
      <c r="A1292" s="14" t="str">
        <f>"83722"</f>
        <v>83722</v>
      </c>
      <c r="B1292" s="14" t="str">
        <f>"07010"</f>
        <v>07010</v>
      </c>
      <c r="C1292" s="14" t="str">
        <f>"1800"</f>
        <v>1800</v>
      </c>
      <c r="D1292" s="14" t="str">
        <f>""</f>
        <v/>
      </c>
      <c r="E1292" s="14" t="s">
        <v>1428</v>
      </c>
      <c r="F1292" s="14" t="s">
        <v>1002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228</v>
      </c>
      <c r="P1292" s="14" t="s">
        <v>260</v>
      </c>
      <c r="Q1292" s="14" t="s">
        <v>260</v>
      </c>
      <c r="R1292" s="14" t="s">
        <v>229</v>
      </c>
    </row>
    <row r="1293" spans="1:18" s="14" customFormat="1" x14ac:dyDescent="0.25">
      <c r="A1293" s="14" t="str">
        <f>"83723"</f>
        <v>83723</v>
      </c>
      <c r="B1293" s="14" t="str">
        <f>"07010"</f>
        <v>07010</v>
      </c>
      <c r="C1293" s="14" t="str">
        <f>"1800"</f>
        <v>1800</v>
      </c>
      <c r="D1293" s="14" t="str">
        <f>""</f>
        <v/>
      </c>
      <c r="E1293" s="14" t="s">
        <v>1429</v>
      </c>
      <c r="F1293" s="14" t="s">
        <v>1002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228</v>
      </c>
      <c r="P1293" s="14" t="s">
        <v>260</v>
      </c>
      <c r="Q1293" s="14" t="s">
        <v>260</v>
      </c>
      <c r="R1293" s="14" t="s">
        <v>229</v>
      </c>
    </row>
    <row r="1294" spans="1:18" s="14" customFormat="1" x14ac:dyDescent="0.25">
      <c r="A1294" s="14" t="str">
        <f>"83724"</f>
        <v>83724</v>
      </c>
      <c r="B1294" s="14" t="str">
        <f>"07010"</f>
        <v>07010</v>
      </c>
      <c r="C1294" s="14" t="str">
        <f>"1800"</f>
        <v>1800</v>
      </c>
      <c r="D1294" s="14" t="str">
        <f>""</f>
        <v/>
      </c>
      <c r="E1294" s="14" t="s">
        <v>1430</v>
      </c>
      <c r="F1294" s="14" t="s">
        <v>1002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228</v>
      </c>
      <c r="P1294" s="14" t="s">
        <v>260</v>
      </c>
      <c r="Q1294" s="14" t="s">
        <v>260</v>
      </c>
      <c r="R1294" s="14" t="s">
        <v>229</v>
      </c>
    </row>
    <row r="1295" spans="1:18" s="14" customFormat="1" x14ac:dyDescent="0.25">
      <c r="A1295" s="14" t="str">
        <f>"83725"</f>
        <v>83725</v>
      </c>
      <c r="B1295" s="14" t="str">
        <f>"07010"</f>
        <v>07010</v>
      </c>
      <c r="C1295" s="14" t="str">
        <f>"1800"</f>
        <v>1800</v>
      </c>
      <c r="D1295" s="14" t="str">
        <f>""</f>
        <v/>
      </c>
      <c r="E1295" s="14" t="s">
        <v>1431</v>
      </c>
      <c r="F1295" s="14" t="s">
        <v>1002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228</v>
      </c>
      <c r="P1295" s="14" t="s">
        <v>260</v>
      </c>
      <c r="Q1295" s="14" t="s">
        <v>260</v>
      </c>
      <c r="R1295" s="14" t="s">
        <v>229</v>
      </c>
    </row>
    <row r="1296" spans="1:18" s="14" customFormat="1" x14ac:dyDescent="0.25">
      <c r="A1296" s="14" t="str">
        <f>"83726"</f>
        <v>83726</v>
      </c>
      <c r="B1296" s="14" t="str">
        <f>"07010"</f>
        <v>07010</v>
      </c>
      <c r="C1296" s="14" t="str">
        <f>"1800"</f>
        <v>1800</v>
      </c>
      <c r="D1296" s="14" t="str">
        <f>""</f>
        <v/>
      </c>
      <c r="E1296" s="14" t="s">
        <v>1432</v>
      </c>
      <c r="F1296" s="14" t="s">
        <v>1002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228</v>
      </c>
      <c r="P1296" s="14" t="s">
        <v>260</v>
      </c>
      <c r="Q1296" s="14" t="s">
        <v>260</v>
      </c>
      <c r="R1296" s="14" t="s">
        <v>229</v>
      </c>
    </row>
    <row r="1297" spans="1:18" s="14" customFormat="1" x14ac:dyDescent="0.25">
      <c r="A1297" s="14" t="str">
        <f>"83727"</f>
        <v>83727</v>
      </c>
      <c r="B1297" s="14" t="str">
        <f>"07010"</f>
        <v>07010</v>
      </c>
      <c r="C1297" s="14" t="str">
        <f>"1800"</f>
        <v>1800</v>
      </c>
      <c r="D1297" s="14" t="str">
        <f>""</f>
        <v/>
      </c>
      <c r="E1297" s="14" t="s">
        <v>1433</v>
      </c>
      <c r="F1297" s="14" t="s">
        <v>1002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228</v>
      </c>
      <c r="P1297" s="14" t="s">
        <v>260</v>
      </c>
      <c r="Q1297" s="14" t="s">
        <v>260</v>
      </c>
      <c r="R1297" s="14" t="s">
        <v>229</v>
      </c>
    </row>
    <row r="1298" spans="1:18" s="14" customFormat="1" x14ac:dyDescent="0.25">
      <c r="A1298" s="14" t="str">
        <f>"83728"</f>
        <v>83728</v>
      </c>
      <c r="B1298" s="14" t="str">
        <f>"07010"</f>
        <v>07010</v>
      </c>
      <c r="C1298" s="14" t="str">
        <f>"1800"</f>
        <v>1800</v>
      </c>
      <c r="D1298" s="14" t="str">
        <f>""</f>
        <v/>
      </c>
      <c r="E1298" s="14" t="s">
        <v>1434</v>
      </c>
      <c r="F1298" s="14" t="s">
        <v>1002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228</v>
      </c>
      <c r="P1298" s="14" t="s">
        <v>260</v>
      </c>
      <c r="Q1298" s="14" t="s">
        <v>260</v>
      </c>
      <c r="R1298" s="14" t="s">
        <v>229</v>
      </c>
    </row>
    <row r="1299" spans="1:18" s="14" customFormat="1" x14ac:dyDescent="0.25">
      <c r="A1299" s="14" t="str">
        <f>"83729"</f>
        <v>83729</v>
      </c>
      <c r="B1299" s="14" t="str">
        <f>"07010"</f>
        <v>07010</v>
      </c>
      <c r="C1299" s="14" t="str">
        <f>"1800"</f>
        <v>1800</v>
      </c>
      <c r="D1299" s="14" t="str">
        <f>""</f>
        <v/>
      </c>
      <c r="E1299" s="14" t="s">
        <v>1435</v>
      </c>
      <c r="F1299" s="14" t="s">
        <v>1002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228</v>
      </c>
      <c r="P1299" s="14" t="s">
        <v>260</v>
      </c>
      <c r="Q1299" s="14" t="s">
        <v>260</v>
      </c>
      <c r="R1299" s="14" t="s">
        <v>229</v>
      </c>
    </row>
    <row r="1300" spans="1:18" s="14" customFormat="1" x14ac:dyDescent="0.25">
      <c r="A1300" s="14" t="str">
        <f>"83730"</f>
        <v>83730</v>
      </c>
      <c r="B1300" s="14" t="str">
        <f>"07010"</f>
        <v>07010</v>
      </c>
      <c r="C1300" s="14" t="str">
        <f>"1800"</f>
        <v>1800</v>
      </c>
      <c r="D1300" s="14" t="str">
        <f>""</f>
        <v/>
      </c>
      <c r="E1300" s="14" t="s">
        <v>1436</v>
      </c>
      <c r="F1300" s="14" t="s">
        <v>1002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228</v>
      </c>
      <c r="P1300" s="14" t="s">
        <v>260</v>
      </c>
      <c r="Q1300" s="14" t="s">
        <v>260</v>
      </c>
      <c r="R1300" s="14" t="s">
        <v>229</v>
      </c>
    </row>
    <row r="1301" spans="1:18" s="14" customFormat="1" x14ac:dyDescent="0.25">
      <c r="A1301" s="14" t="str">
        <f>"83731"</f>
        <v>83731</v>
      </c>
      <c r="B1301" s="14" t="str">
        <f>"07010"</f>
        <v>07010</v>
      </c>
      <c r="C1301" s="14" t="str">
        <f>"1800"</f>
        <v>1800</v>
      </c>
      <c r="D1301" s="14" t="str">
        <f>""</f>
        <v/>
      </c>
      <c r="E1301" s="14" t="s">
        <v>1437</v>
      </c>
      <c r="F1301" s="14" t="s">
        <v>1002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228</v>
      </c>
      <c r="P1301" s="14" t="s">
        <v>260</v>
      </c>
      <c r="Q1301" s="14" t="s">
        <v>260</v>
      </c>
      <c r="R1301" s="14" t="s">
        <v>229</v>
      </c>
    </row>
    <row r="1302" spans="1:18" s="14" customFormat="1" x14ac:dyDescent="0.25">
      <c r="A1302" s="14" t="str">
        <f>"83732"</f>
        <v>83732</v>
      </c>
      <c r="B1302" s="14" t="str">
        <f>"07010"</f>
        <v>07010</v>
      </c>
      <c r="C1302" s="14" t="str">
        <f>"1800"</f>
        <v>1800</v>
      </c>
      <c r="D1302" s="14" t="str">
        <f>""</f>
        <v/>
      </c>
      <c r="E1302" s="14" t="s">
        <v>1438</v>
      </c>
      <c r="F1302" s="14" t="s">
        <v>1002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228</v>
      </c>
      <c r="P1302" s="14" t="s">
        <v>260</v>
      </c>
      <c r="Q1302" s="14" t="s">
        <v>260</v>
      </c>
      <c r="R1302" s="14" t="s">
        <v>229</v>
      </c>
    </row>
    <row r="1303" spans="1:18" s="14" customFormat="1" x14ac:dyDescent="0.25">
      <c r="A1303" s="14" t="str">
        <f>"83733"</f>
        <v>83733</v>
      </c>
      <c r="B1303" s="14" t="str">
        <f>"07010"</f>
        <v>07010</v>
      </c>
      <c r="C1303" s="14" t="str">
        <f>"1800"</f>
        <v>1800</v>
      </c>
      <c r="D1303" s="14" t="str">
        <f>""</f>
        <v/>
      </c>
      <c r="E1303" s="14" t="s">
        <v>1439</v>
      </c>
      <c r="F1303" s="14" t="s">
        <v>1002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228</v>
      </c>
      <c r="P1303" s="14" t="s">
        <v>260</v>
      </c>
      <c r="Q1303" s="14" t="s">
        <v>260</v>
      </c>
      <c r="R1303" s="14" t="s">
        <v>229</v>
      </c>
    </row>
    <row r="1304" spans="1:18" s="14" customFormat="1" x14ac:dyDescent="0.25">
      <c r="A1304" s="14" t="str">
        <f>"83734"</f>
        <v>83734</v>
      </c>
      <c r="B1304" s="14" t="str">
        <f>"07010"</f>
        <v>07010</v>
      </c>
      <c r="C1304" s="14" t="str">
        <f>"1800"</f>
        <v>1800</v>
      </c>
      <c r="D1304" s="14" t="str">
        <f>""</f>
        <v/>
      </c>
      <c r="E1304" s="14" t="s">
        <v>1440</v>
      </c>
      <c r="F1304" s="14" t="s">
        <v>1002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228</v>
      </c>
      <c r="P1304" s="14" t="s">
        <v>260</v>
      </c>
      <c r="Q1304" s="14" t="s">
        <v>260</v>
      </c>
      <c r="R1304" s="14" t="s">
        <v>229</v>
      </c>
    </row>
    <row r="1305" spans="1:18" s="14" customFormat="1" x14ac:dyDescent="0.25">
      <c r="A1305" s="14" t="str">
        <f>"83735"</f>
        <v>83735</v>
      </c>
      <c r="B1305" s="14" t="str">
        <f>"07010"</f>
        <v>07010</v>
      </c>
      <c r="C1305" s="14" t="str">
        <f>"1800"</f>
        <v>1800</v>
      </c>
      <c r="D1305" s="14" t="str">
        <f>""</f>
        <v/>
      </c>
      <c r="E1305" s="14" t="s">
        <v>1441</v>
      </c>
      <c r="F1305" s="14" t="s">
        <v>1002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228</v>
      </c>
      <c r="P1305" s="14" t="s">
        <v>260</v>
      </c>
      <c r="Q1305" s="14" t="s">
        <v>260</v>
      </c>
      <c r="R1305" s="14" t="s">
        <v>229</v>
      </c>
    </row>
    <row r="1306" spans="1:18" s="14" customFormat="1" x14ac:dyDescent="0.25">
      <c r="A1306" s="14" t="str">
        <f>"83736"</f>
        <v>83736</v>
      </c>
      <c r="B1306" s="14" t="str">
        <f>"07010"</f>
        <v>07010</v>
      </c>
      <c r="C1306" s="14" t="str">
        <f>"1800"</f>
        <v>1800</v>
      </c>
      <c r="D1306" s="14" t="str">
        <f>""</f>
        <v/>
      </c>
      <c r="E1306" s="14" t="s">
        <v>1442</v>
      </c>
      <c r="F1306" s="14" t="s">
        <v>1002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228</v>
      </c>
      <c r="P1306" s="14" t="s">
        <v>260</v>
      </c>
      <c r="Q1306" s="14" t="s">
        <v>260</v>
      </c>
      <c r="R1306" s="14" t="s">
        <v>229</v>
      </c>
    </row>
    <row r="1307" spans="1:18" s="14" customFormat="1" x14ac:dyDescent="0.25">
      <c r="A1307" s="14" t="str">
        <f>"83737"</f>
        <v>83737</v>
      </c>
      <c r="B1307" s="14" t="str">
        <f>"07010"</f>
        <v>07010</v>
      </c>
      <c r="C1307" s="14" t="str">
        <f>"1800"</f>
        <v>1800</v>
      </c>
      <c r="D1307" s="14" t="str">
        <f>""</f>
        <v/>
      </c>
      <c r="E1307" s="14" t="s">
        <v>1443</v>
      </c>
      <c r="F1307" s="14" t="s">
        <v>1002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228</v>
      </c>
      <c r="P1307" s="14" t="s">
        <v>260</v>
      </c>
      <c r="Q1307" s="14" t="s">
        <v>260</v>
      </c>
      <c r="R1307" s="14" t="s">
        <v>229</v>
      </c>
    </row>
    <row r="1308" spans="1:18" s="14" customFormat="1" x14ac:dyDescent="0.25">
      <c r="A1308" s="14" t="str">
        <f>"83738"</f>
        <v>83738</v>
      </c>
      <c r="B1308" s="14" t="str">
        <f>"07010"</f>
        <v>07010</v>
      </c>
      <c r="C1308" s="14" t="str">
        <f>"1800"</f>
        <v>1800</v>
      </c>
      <c r="D1308" s="14" t="str">
        <f>""</f>
        <v/>
      </c>
      <c r="E1308" s="14" t="s">
        <v>1444</v>
      </c>
      <c r="F1308" s="14" t="s">
        <v>1002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228</v>
      </c>
      <c r="P1308" s="14" t="s">
        <v>260</v>
      </c>
      <c r="Q1308" s="14" t="s">
        <v>260</v>
      </c>
      <c r="R1308" s="14" t="s">
        <v>229</v>
      </c>
    </row>
    <row r="1309" spans="1:18" s="14" customFormat="1" x14ac:dyDescent="0.25">
      <c r="A1309" s="14" t="str">
        <f>"83739"</f>
        <v>83739</v>
      </c>
      <c r="B1309" s="14" t="str">
        <f>"07010"</f>
        <v>07010</v>
      </c>
      <c r="C1309" s="14" t="str">
        <f>"1800"</f>
        <v>1800</v>
      </c>
      <c r="D1309" s="14" t="str">
        <f>""</f>
        <v/>
      </c>
      <c r="E1309" s="14" t="s">
        <v>1445</v>
      </c>
      <c r="F1309" s="14" t="s">
        <v>1002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228</v>
      </c>
      <c r="P1309" s="14" t="s">
        <v>260</v>
      </c>
      <c r="Q1309" s="14" t="s">
        <v>260</v>
      </c>
      <c r="R1309" s="14" t="s">
        <v>229</v>
      </c>
    </row>
    <row r="1310" spans="1:18" s="14" customFormat="1" x14ac:dyDescent="0.25">
      <c r="A1310" s="14" t="str">
        <f>"83740"</f>
        <v>83740</v>
      </c>
      <c r="B1310" s="14" t="str">
        <f>"07010"</f>
        <v>07010</v>
      </c>
      <c r="C1310" s="14" t="str">
        <f>"1800"</f>
        <v>1800</v>
      </c>
      <c r="D1310" s="14" t="str">
        <f>""</f>
        <v/>
      </c>
      <c r="E1310" s="14" t="s">
        <v>1446</v>
      </c>
      <c r="F1310" s="14" t="s">
        <v>1002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228</v>
      </c>
      <c r="P1310" s="14" t="s">
        <v>260</v>
      </c>
      <c r="Q1310" s="14" t="s">
        <v>260</v>
      </c>
      <c r="R1310" s="14" t="s">
        <v>229</v>
      </c>
    </row>
    <row r="1311" spans="1:18" s="14" customFormat="1" x14ac:dyDescent="0.25">
      <c r="A1311" s="14" t="str">
        <f>"83741"</f>
        <v>83741</v>
      </c>
      <c r="B1311" s="14" t="str">
        <f>"07010"</f>
        <v>07010</v>
      </c>
      <c r="C1311" s="14" t="str">
        <f>"1800"</f>
        <v>1800</v>
      </c>
      <c r="D1311" s="14" t="str">
        <f>""</f>
        <v/>
      </c>
      <c r="E1311" s="14" t="s">
        <v>1447</v>
      </c>
      <c r="F1311" s="14" t="s">
        <v>1002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228</v>
      </c>
      <c r="P1311" s="14" t="s">
        <v>260</v>
      </c>
      <c r="Q1311" s="14" t="s">
        <v>260</v>
      </c>
      <c r="R1311" s="14" t="s">
        <v>229</v>
      </c>
    </row>
    <row r="1312" spans="1:18" s="14" customFormat="1" x14ac:dyDescent="0.25">
      <c r="A1312" s="14" t="str">
        <f>"83742"</f>
        <v>83742</v>
      </c>
      <c r="B1312" s="14" t="str">
        <f>"07010"</f>
        <v>07010</v>
      </c>
      <c r="C1312" s="14" t="str">
        <f>"1800"</f>
        <v>1800</v>
      </c>
      <c r="D1312" s="14" t="str">
        <f>""</f>
        <v/>
      </c>
      <c r="E1312" s="14" t="s">
        <v>1448</v>
      </c>
      <c r="F1312" s="14" t="s">
        <v>1002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228</v>
      </c>
      <c r="P1312" s="14" t="s">
        <v>260</v>
      </c>
      <c r="Q1312" s="14" t="s">
        <v>260</v>
      </c>
      <c r="R1312" s="14" t="s">
        <v>229</v>
      </c>
    </row>
    <row r="1313" spans="1:18" s="14" customFormat="1" x14ac:dyDescent="0.25">
      <c r="A1313" s="14" t="str">
        <f>"83743"</f>
        <v>83743</v>
      </c>
      <c r="B1313" s="14" t="str">
        <f>"07010"</f>
        <v>07010</v>
      </c>
      <c r="C1313" s="14" t="str">
        <f>"1800"</f>
        <v>1800</v>
      </c>
      <c r="D1313" s="14" t="str">
        <f>""</f>
        <v/>
      </c>
      <c r="E1313" s="14" t="s">
        <v>1449</v>
      </c>
      <c r="F1313" s="14" t="s">
        <v>1002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228</v>
      </c>
      <c r="P1313" s="14" t="s">
        <v>260</v>
      </c>
      <c r="Q1313" s="14" t="s">
        <v>260</v>
      </c>
      <c r="R1313" s="14" t="s">
        <v>229</v>
      </c>
    </row>
    <row r="1314" spans="1:18" s="14" customFormat="1" x14ac:dyDescent="0.25">
      <c r="A1314" s="14" t="str">
        <f>"83744"</f>
        <v>83744</v>
      </c>
      <c r="B1314" s="14" t="str">
        <f>"07010"</f>
        <v>07010</v>
      </c>
      <c r="C1314" s="14" t="str">
        <f>"1800"</f>
        <v>1800</v>
      </c>
      <c r="D1314" s="14" t="str">
        <f>""</f>
        <v/>
      </c>
      <c r="E1314" s="14" t="s">
        <v>1450</v>
      </c>
      <c r="F1314" s="14" t="s">
        <v>1002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228</v>
      </c>
      <c r="P1314" s="14" t="s">
        <v>260</v>
      </c>
      <c r="Q1314" s="14" t="s">
        <v>260</v>
      </c>
      <c r="R1314" s="14" t="s">
        <v>229</v>
      </c>
    </row>
    <row r="1315" spans="1:18" s="14" customFormat="1" x14ac:dyDescent="0.25">
      <c r="A1315" s="14" t="str">
        <f>"83745"</f>
        <v>83745</v>
      </c>
      <c r="B1315" s="14" t="str">
        <f>"07010"</f>
        <v>07010</v>
      </c>
      <c r="C1315" s="14" t="str">
        <f>"1800"</f>
        <v>1800</v>
      </c>
      <c r="D1315" s="14" t="str">
        <f>""</f>
        <v/>
      </c>
      <c r="E1315" s="14" t="s">
        <v>1451</v>
      </c>
      <c r="F1315" s="14" t="s">
        <v>1002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228</v>
      </c>
      <c r="P1315" s="14" t="s">
        <v>260</v>
      </c>
      <c r="Q1315" s="14" t="s">
        <v>260</v>
      </c>
      <c r="R1315" s="14" t="s">
        <v>229</v>
      </c>
    </row>
    <row r="1316" spans="1:18" s="14" customFormat="1" x14ac:dyDescent="0.25">
      <c r="A1316" s="14" t="str">
        <f>"83746"</f>
        <v>83746</v>
      </c>
      <c r="B1316" s="14" t="str">
        <f>"07010"</f>
        <v>07010</v>
      </c>
      <c r="C1316" s="14" t="str">
        <f>"1800"</f>
        <v>1800</v>
      </c>
      <c r="D1316" s="14" t="str">
        <f>""</f>
        <v/>
      </c>
      <c r="E1316" s="14" t="s">
        <v>1452</v>
      </c>
      <c r="F1316" s="14" t="s">
        <v>1002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228</v>
      </c>
      <c r="P1316" s="14" t="s">
        <v>260</v>
      </c>
      <c r="Q1316" s="14" t="s">
        <v>260</v>
      </c>
      <c r="R1316" s="14" t="s">
        <v>229</v>
      </c>
    </row>
    <row r="1317" spans="1:18" s="14" customFormat="1" x14ac:dyDescent="0.25">
      <c r="A1317" s="14" t="str">
        <f>"83747"</f>
        <v>83747</v>
      </c>
      <c r="B1317" s="14" t="str">
        <f>"07010"</f>
        <v>07010</v>
      </c>
      <c r="C1317" s="14" t="str">
        <f>"1800"</f>
        <v>1800</v>
      </c>
      <c r="D1317" s="14" t="str">
        <f>""</f>
        <v/>
      </c>
      <c r="E1317" s="14" t="s">
        <v>1453</v>
      </c>
      <c r="F1317" s="14" t="s">
        <v>1002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228</v>
      </c>
      <c r="P1317" s="14" t="s">
        <v>260</v>
      </c>
      <c r="Q1317" s="14" t="s">
        <v>260</v>
      </c>
      <c r="R1317" s="14" t="s">
        <v>229</v>
      </c>
    </row>
    <row r="1318" spans="1:18" s="14" customFormat="1" x14ac:dyDescent="0.25">
      <c r="A1318" s="14" t="str">
        <f>"83748"</f>
        <v>83748</v>
      </c>
      <c r="B1318" s="14" t="str">
        <f>"07010"</f>
        <v>07010</v>
      </c>
      <c r="C1318" s="14" t="str">
        <f>"1800"</f>
        <v>1800</v>
      </c>
      <c r="D1318" s="14" t="str">
        <f>""</f>
        <v/>
      </c>
      <c r="E1318" s="14" t="s">
        <v>1454</v>
      </c>
      <c r="F1318" s="14" t="s">
        <v>1002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228</v>
      </c>
      <c r="P1318" s="14" t="s">
        <v>260</v>
      </c>
      <c r="Q1318" s="14" t="s">
        <v>260</v>
      </c>
      <c r="R1318" s="14" t="s">
        <v>229</v>
      </c>
    </row>
    <row r="1319" spans="1:18" s="14" customFormat="1" x14ac:dyDescent="0.25">
      <c r="A1319" s="14" t="str">
        <f>"83749"</f>
        <v>83749</v>
      </c>
      <c r="B1319" s="14" t="str">
        <f>"07010"</f>
        <v>07010</v>
      </c>
      <c r="C1319" s="14" t="str">
        <f>"1800"</f>
        <v>1800</v>
      </c>
      <c r="D1319" s="14" t="str">
        <f>""</f>
        <v/>
      </c>
      <c r="E1319" s="14" t="s">
        <v>1455</v>
      </c>
      <c r="F1319" s="14" t="s">
        <v>1002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228</v>
      </c>
      <c r="P1319" s="14" t="s">
        <v>260</v>
      </c>
      <c r="Q1319" s="14" t="s">
        <v>260</v>
      </c>
      <c r="R1319" s="14" t="s">
        <v>229</v>
      </c>
    </row>
    <row r="1320" spans="1:18" s="14" customFormat="1" x14ac:dyDescent="0.25">
      <c r="A1320" s="14" t="str">
        <f>"83750"</f>
        <v>83750</v>
      </c>
      <c r="B1320" s="14" t="str">
        <f>"07010"</f>
        <v>07010</v>
      </c>
      <c r="C1320" s="14" t="str">
        <f>"1800"</f>
        <v>1800</v>
      </c>
      <c r="D1320" s="14" t="str">
        <f>""</f>
        <v/>
      </c>
      <c r="E1320" s="14" t="s">
        <v>1456</v>
      </c>
      <c r="F1320" s="14" t="s">
        <v>1002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228</v>
      </c>
      <c r="P1320" s="14" t="s">
        <v>260</v>
      </c>
      <c r="Q1320" s="14" t="s">
        <v>260</v>
      </c>
      <c r="R1320" s="14" t="s">
        <v>229</v>
      </c>
    </row>
    <row r="1321" spans="1:18" s="14" customFormat="1" x14ac:dyDescent="0.25">
      <c r="A1321" s="14" t="str">
        <f>"83751"</f>
        <v>83751</v>
      </c>
      <c r="B1321" s="14" t="str">
        <f>"07010"</f>
        <v>07010</v>
      </c>
      <c r="C1321" s="14" t="str">
        <f>"1800"</f>
        <v>1800</v>
      </c>
      <c r="D1321" s="14" t="str">
        <f>""</f>
        <v/>
      </c>
      <c r="E1321" s="14" t="s">
        <v>1457</v>
      </c>
      <c r="F1321" s="14" t="s">
        <v>1002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228</v>
      </c>
      <c r="P1321" s="14" t="s">
        <v>260</v>
      </c>
      <c r="Q1321" s="14" t="s">
        <v>260</v>
      </c>
      <c r="R1321" s="14" t="s">
        <v>229</v>
      </c>
    </row>
    <row r="1322" spans="1:18" s="14" customFormat="1" x14ac:dyDescent="0.25">
      <c r="A1322" s="14" t="str">
        <f>"83752"</f>
        <v>83752</v>
      </c>
      <c r="B1322" s="14" t="str">
        <f>"07010"</f>
        <v>07010</v>
      </c>
      <c r="C1322" s="14" t="str">
        <f>"1800"</f>
        <v>1800</v>
      </c>
      <c r="D1322" s="14" t="str">
        <f>""</f>
        <v/>
      </c>
      <c r="E1322" s="14" t="s">
        <v>1458</v>
      </c>
      <c r="F1322" s="14" t="s">
        <v>1002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228</v>
      </c>
      <c r="P1322" s="14" t="s">
        <v>260</v>
      </c>
      <c r="Q1322" s="14" t="s">
        <v>260</v>
      </c>
      <c r="R1322" s="14" t="s">
        <v>229</v>
      </c>
    </row>
    <row r="1323" spans="1:18" s="14" customFormat="1" x14ac:dyDescent="0.25">
      <c r="A1323" s="14" t="str">
        <f>"83753"</f>
        <v>83753</v>
      </c>
      <c r="B1323" s="14" t="str">
        <f>"07010"</f>
        <v>07010</v>
      </c>
      <c r="C1323" s="14" t="str">
        <f>"1800"</f>
        <v>1800</v>
      </c>
      <c r="D1323" s="14" t="str">
        <f>""</f>
        <v/>
      </c>
      <c r="E1323" s="14" t="s">
        <v>1459</v>
      </c>
      <c r="F1323" s="14" t="s">
        <v>1002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228</v>
      </c>
      <c r="P1323" s="14" t="s">
        <v>260</v>
      </c>
      <c r="Q1323" s="14" t="s">
        <v>260</v>
      </c>
      <c r="R1323" s="14" t="s">
        <v>229</v>
      </c>
    </row>
    <row r="1324" spans="1:18" s="14" customFormat="1" x14ac:dyDescent="0.25">
      <c r="A1324" s="14" t="str">
        <f>"83754"</f>
        <v>83754</v>
      </c>
      <c r="B1324" s="14" t="str">
        <f>"07010"</f>
        <v>07010</v>
      </c>
      <c r="C1324" s="14" t="str">
        <f>"1800"</f>
        <v>1800</v>
      </c>
      <c r="D1324" s="14" t="str">
        <f>""</f>
        <v/>
      </c>
      <c r="E1324" s="14" t="s">
        <v>1460</v>
      </c>
      <c r="F1324" s="14" t="s">
        <v>1002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228</v>
      </c>
      <c r="P1324" s="14" t="s">
        <v>260</v>
      </c>
      <c r="Q1324" s="14" t="s">
        <v>260</v>
      </c>
      <c r="R1324" s="14" t="s">
        <v>229</v>
      </c>
    </row>
    <row r="1325" spans="1:18" s="14" customFormat="1" x14ac:dyDescent="0.25">
      <c r="A1325" s="14" t="str">
        <f>"83755"</f>
        <v>83755</v>
      </c>
      <c r="B1325" s="14" t="str">
        <f>"07010"</f>
        <v>07010</v>
      </c>
      <c r="C1325" s="14" t="str">
        <f>"1800"</f>
        <v>1800</v>
      </c>
      <c r="D1325" s="14" t="str">
        <f>""</f>
        <v/>
      </c>
      <c r="E1325" s="14" t="s">
        <v>1461</v>
      </c>
      <c r="F1325" s="14" t="s">
        <v>1002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228</v>
      </c>
      <c r="P1325" s="14" t="s">
        <v>260</v>
      </c>
      <c r="Q1325" s="14" t="s">
        <v>260</v>
      </c>
      <c r="R1325" s="14" t="s">
        <v>229</v>
      </c>
    </row>
    <row r="1326" spans="1:18" s="14" customFormat="1" x14ac:dyDescent="0.25">
      <c r="A1326" s="14" t="str">
        <f>"83756"</f>
        <v>83756</v>
      </c>
      <c r="B1326" s="14" t="str">
        <f>"07010"</f>
        <v>07010</v>
      </c>
      <c r="C1326" s="14" t="str">
        <f>"1800"</f>
        <v>1800</v>
      </c>
      <c r="D1326" s="14" t="str">
        <f>""</f>
        <v/>
      </c>
      <c r="E1326" s="14" t="s">
        <v>1462</v>
      </c>
      <c r="F1326" s="14" t="s">
        <v>1002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228</v>
      </c>
      <c r="P1326" s="14" t="s">
        <v>260</v>
      </c>
      <c r="Q1326" s="14" t="s">
        <v>260</v>
      </c>
      <c r="R1326" s="14" t="s">
        <v>229</v>
      </c>
    </row>
    <row r="1327" spans="1:18" s="14" customFormat="1" x14ac:dyDescent="0.25">
      <c r="A1327" s="14" t="str">
        <f>"83757"</f>
        <v>83757</v>
      </c>
      <c r="B1327" s="14" t="str">
        <f>"07010"</f>
        <v>07010</v>
      </c>
      <c r="C1327" s="14" t="str">
        <f>"1800"</f>
        <v>1800</v>
      </c>
      <c r="D1327" s="14" t="str">
        <f>""</f>
        <v/>
      </c>
      <c r="E1327" s="14" t="s">
        <v>1463</v>
      </c>
      <c r="F1327" s="14" t="s">
        <v>1002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228</v>
      </c>
      <c r="P1327" s="14" t="s">
        <v>260</v>
      </c>
      <c r="Q1327" s="14" t="s">
        <v>260</v>
      </c>
      <c r="R1327" s="14" t="s">
        <v>229</v>
      </c>
    </row>
    <row r="1328" spans="1:18" s="14" customFormat="1" x14ac:dyDescent="0.25">
      <c r="A1328" s="14" t="str">
        <f>"83758"</f>
        <v>83758</v>
      </c>
      <c r="B1328" s="14" t="str">
        <f>"07010"</f>
        <v>07010</v>
      </c>
      <c r="C1328" s="14" t="str">
        <f>"1800"</f>
        <v>1800</v>
      </c>
      <c r="D1328" s="14" t="str">
        <f>""</f>
        <v/>
      </c>
      <c r="E1328" s="14" t="s">
        <v>1464</v>
      </c>
      <c r="F1328" s="14" t="s">
        <v>1002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228</v>
      </c>
      <c r="P1328" s="14" t="s">
        <v>260</v>
      </c>
      <c r="Q1328" s="14" t="s">
        <v>260</v>
      </c>
      <c r="R1328" s="14" t="s">
        <v>229</v>
      </c>
    </row>
    <row r="1329" spans="1:18" s="14" customFormat="1" x14ac:dyDescent="0.25">
      <c r="A1329" s="14" t="str">
        <f>"83759"</f>
        <v>83759</v>
      </c>
      <c r="B1329" s="14" t="str">
        <f>"07010"</f>
        <v>07010</v>
      </c>
      <c r="C1329" s="14" t="str">
        <f>"1800"</f>
        <v>1800</v>
      </c>
      <c r="D1329" s="14" t="str">
        <f>""</f>
        <v/>
      </c>
      <c r="E1329" s="14" t="s">
        <v>1465</v>
      </c>
      <c r="F1329" s="14" t="s">
        <v>1002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228</v>
      </c>
      <c r="P1329" s="14" t="s">
        <v>260</v>
      </c>
      <c r="Q1329" s="14" t="s">
        <v>260</v>
      </c>
      <c r="R1329" s="14" t="s">
        <v>229</v>
      </c>
    </row>
    <row r="1330" spans="1:18" s="14" customFormat="1" x14ac:dyDescent="0.25">
      <c r="A1330" s="14" t="str">
        <f>"83760"</f>
        <v>83760</v>
      </c>
      <c r="B1330" s="14" t="str">
        <f>"07010"</f>
        <v>07010</v>
      </c>
      <c r="C1330" s="14" t="str">
        <f>"1800"</f>
        <v>1800</v>
      </c>
      <c r="D1330" s="14" t="str">
        <f>""</f>
        <v/>
      </c>
      <c r="E1330" s="14" t="s">
        <v>1466</v>
      </c>
      <c r="F1330" s="14" t="s">
        <v>1002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228</v>
      </c>
      <c r="P1330" s="14" t="s">
        <v>260</v>
      </c>
      <c r="Q1330" s="14" t="s">
        <v>260</v>
      </c>
      <c r="R1330" s="14" t="s">
        <v>229</v>
      </c>
    </row>
    <row r="1331" spans="1:18" s="14" customFormat="1" x14ac:dyDescent="0.25">
      <c r="A1331" s="14" t="str">
        <f>"83761"</f>
        <v>83761</v>
      </c>
      <c r="B1331" s="14" t="str">
        <f>"07010"</f>
        <v>07010</v>
      </c>
      <c r="C1331" s="14" t="str">
        <f>"1800"</f>
        <v>1800</v>
      </c>
      <c r="D1331" s="14" t="str">
        <f>""</f>
        <v/>
      </c>
      <c r="E1331" s="14" t="s">
        <v>1467</v>
      </c>
      <c r="F1331" s="14" t="s">
        <v>1002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228</v>
      </c>
      <c r="P1331" s="14" t="s">
        <v>260</v>
      </c>
      <c r="Q1331" s="14" t="s">
        <v>260</v>
      </c>
      <c r="R1331" s="14" t="s">
        <v>229</v>
      </c>
    </row>
    <row r="1332" spans="1:18" s="14" customFormat="1" x14ac:dyDescent="0.25">
      <c r="A1332" s="14" t="str">
        <f>"83762"</f>
        <v>83762</v>
      </c>
      <c r="B1332" s="14" t="str">
        <f>"07010"</f>
        <v>07010</v>
      </c>
      <c r="C1332" s="14" t="str">
        <f>"1800"</f>
        <v>1800</v>
      </c>
      <c r="D1332" s="14" t="str">
        <f>""</f>
        <v/>
      </c>
      <c r="E1332" s="14" t="s">
        <v>1468</v>
      </c>
      <c r="F1332" s="14" t="s">
        <v>1002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228</v>
      </c>
      <c r="P1332" s="14" t="s">
        <v>260</v>
      </c>
      <c r="Q1332" s="14" t="s">
        <v>260</v>
      </c>
      <c r="R1332" s="14" t="s">
        <v>229</v>
      </c>
    </row>
    <row r="1333" spans="1:18" s="14" customFormat="1" x14ac:dyDescent="0.25">
      <c r="A1333" s="14" t="str">
        <f>"83763"</f>
        <v>83763</v>
      </c>
      <c r="B1333" s="14" t="str">
        <f>"07010"</f>
        <v>07010</v>
      </c>
      <c r="C1333" s="14" t="str">
        <f>"1800"</f>
        <v>1800</v>
      </c>
      <c r="D1333" s="14" t="str">
        <f>""</f>
        <v/>
      </c>
      <c r="E1333" s="14" t="s">
        <v>1469</v>
      </c>
      <c r="F1333" s="14" t="s">
        <v>1002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228</v>
      </c>
      <c r="P1333" s="14" t="s">
        <v>260</v>
      </c>
      <c r="Q1333" s="14" t="s">
        <v>260</v>
      </c>
      <c r="R1333" s="14" t="s">
        <v>229</v>
      </c>
    </row>
    <row r="1334" spans="1:18" s="14" customFormat="1" x14ac:dyDescent="0.25">
      <c r="A1334" s="14" t="str">
        <f>"83764"</f>
        <v>83764</v>
      </c>
      <c r="B1334" s="14" t="str">
        <f>"07010"</f>
        <v>07010</v>
      </c>
      <c r="C1334" s="14" t="str">
        <f>"1800"</f>
        <v>1800</v>
      </c>
      <c r="D1334" s="14" t="str">
        <f>""</f>
        <v/>
      </c>
      <c r="E1334" s="14" t="s">
        <v>1470</v>
      </c>
      <c r="F1334" s="14" t="s">
        <v>1002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228</v>
      </c>
      <c r="P1334" s="14" t="s">
        <v>260</v>
      </c>
      <c r="Q1334" s="14" t="s">
        <v>260</v>
      </c>
      <c r="R1334" s="14" t="s">
        <v>229</v>
      </c>
    </row>
    <row r="1335" spans="1:18" s="14" customFormat="1" x14ac:dyDescent="0.25">
      <c r="A1335" s="14" t="str">
        <f>"83765"</f>
        <v>83765</v>
      </c>
      <c r="B1335" s="14" t="str">
        <f>"07010"</f>
        <v>07010</v>
      </c>
      <c r="C1335" s="14" t="str">
        <f>"1800"</f>
        <v>1800</v>
      </c>
      <c r="D1335" s="14" t="str">
        <f>""</f>
        <v/>
      </c>
      <c r="E1335" s="14" t="s">
        <v>1471</v>
      </c>
      <c r="F1335" s="14" t="s">
        <v>1002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228</v>
      </c>
      <c r="P1335" s="14" t="s">
        <v>260</v>
      </c>
      <c r="Q1335" s="14" t="s">
        <v>260</v>
      </c>
      <c r="R1335" s="14" t="s">
        <v>229</v>
      </c>
    </row>
    <row r="1336" spans="1:18" s="14" customFormat="1" x14ac:dyDescent="0.25">
      <c r="A1336" s="14" t="str">
        <f>"83766"</f>
        <v>83766</v>
      </c>
      <c r="B1336" s="14" t="str">
        <f>"07010"</f>
        <v>07010</v>
      </c>
      <c r="C1336" s="14" t="str">
        <f>"1800"</f>
        <v>1800</v>
      </c>
      <c r="D1336" s="14" t="str">
        <f>""</f>
        <v/>
      </c>
      <c r="E1336" s="14" t="s">
        <v>1472</v>
      </c>
      <c r="F1336" s="14" t="s">
        <v>1002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228</v>
      </c>
      <c r="P1336" s="14" t="s">
        <v>260</v>
      </c>
      <c r="Q1336" s="14" t="s">
        <v>260</v>
      </c>
      <c r="R1336" s="14" t="s">
        <v>229</v>
      </c>
    </row>
    <row r="1337" spans="1:18" s="14" customFormat="1" x14ac:dyDescent="0.25">
      <c r="A1337" s="14" t="str">
        <f>"83767"</f>
        <v>83767</v>
      </c>
      <c r="B1337" s="14" t="str">
        <f>"07010"</f>
        <v>07010</v>
      </c>
      <c r="C1337" s="14" t="str">
        <f>"1800"</f>
        <v>1800</v>
      </c>
      <c r="D1337" s="14" t="str">
        <f>""</f>
        <v/>
      </c>
      <c r="E1337" s="14" t="s">
        <v>1473</v>
      </c>
      <c r="F1337" s="14" t="s">
        <v>1002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228</v>
      </c>
      <c r="P1337" s="14" t="s">
        <v>260</v>
      </c>
      <c r="Q1337" s="14" t="s">
        <v>260</v>
      </c>
      <c r="R1337" s="14" t="s">
        <v>229</v>
      </c>
    </row>
    <row r="1338" spans="1:18" s="14" customFormat="1" x14ac:dyDescent="0.25">
      <c r="A1338" s="14" t="str">
        <f>"83768"</f>
        <v>83768</v>
      </c>
      <c r="B1338" s="14" t="str">
        <f>"07010"</f>
        <v>07010</v>
      </c>
      <c r="C1338" s="14" t="str">
        <f>"1800"</f>
        <v>1800</v>
      </c>
      <c r="D1338" s="14" t="str">
        <f>""</f>
        <v/>
      </c>
      <c r="E1338" s="14" t="s">
        <v>1474</v>
      </c>
      <c r="F1338" s="14" t="s">
        <v>1002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228</v>
      </c>
      <c r="P1338" s="14" t="s">
        <v>260</v>
      </c>
      <c r="Q1338" s="14" t="s">
        <v>260</v>
      </c>
      <c r="R1338" s="14" t="s">
        <v>229</v>
      </c>
    </row>
    <row r="1339" spans="1:18" s="14" customFormat="1" x14ac:dyDescent="0.25">
      <c r="A1339" s="14" t="str">
        <f>"83769"</f>
        <v>83769</v>
      </c>
      <c r="B1339" s="14" t="str">
        <f>"07010"</f>
        <v>07010</v>
      </c>
      <c r="C1339" s="14" t="str">
        <f>"1800"</f>
        <v>1800</v>
      </c>
      <c r="D1339" s="14" t="str">
        <f>""</f>
        <v/>
      </c>
      <c r="E1339" s="14" t="s">
        <v>1475</v>
      </c>
      <c r="F1339" s="14" t="s">
        <v>1002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228</v>
      </c>
      <c r="P1339" s="14" t="s">
        <v>260</v>
      </c>
      <c r="Q1339" s="14" t="s">
        <v>260</v>
      </c>
      <c r="R1339" s="14" t="s">
        <v>229</v>
      </c>
    </row>
    <row r="1340" spans="1:18" s="14" customFormat="1" x14ac:dyDescent="0.25">
      <c r="A1340" s="14" t="str">
        <f>"83770"</f>
        <v>83770</v>
      </c>
      <c r="B1340" s="14" t="str">
        <f>"07010"</f>
        <v>07010</v>
      </c>
      <c r="C1340" s="14" t="str">
        <f>"1800"</f>
        <v>1800</v>
      </c>
      <c r="D1340" s="14" t="str">
        <f>""</f>
        <v/>
      </c>
      <c r="E1340" s="14" t="s">
        <v>1476</v>
      </c>
      <c r="F1340" s="14" t="s">
        <v>1002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228</v>
      </c>
      <c r="P1340" s="14" t="s">
        <v>260</v>
      </c>
      <c r="Q1340" s="14" t="s">
        <v>260</v>
      </c>
      <c r="R1340" s="14" t="s">
        <v>229</v>
      </c>
    </row>
    <row r="1341" spans="1:18" s="14" customFormat="1" x14ac:dyDescent="0.25">
      <c r="A1341" s="14" t="str">
        <f>"83771"</f>
        <v>83771</v>
      </c>
      <c r="B1341" s="14" t="str">
        <f>"07010"</f>
        <v>07010</v>
      </c>
      <c r="C1341" s="14" t="str">
        <f>"1800"</f>
        <v>1800</v>
      </c>
      <c r="D1341" s="14" t="str">
        <f>""</f>
        <v/>
      </c>
      <c r="E1341" s="14" t="s">
        <v>1477</v>
      </c>
      <c r="F1341" s="14" t="s">
        <v>1002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228</v>
      </c>
      <c r="P1341" s="14" t="s">
        <v>260</v>
      </c>
      <c r="Q1341" s="14" t="s">
        <v>260</v>
      </c>
      <c r="R1341" s="14" t="s">
        <v>229</v>
      </c>
    </row>
    <row r="1342" spans="1:18" s="14" customFormat="1" x14ac:dyDescent="0.25">
      <c r="A1342" s="14" t="str">
        <f>"83772"</f>
        <v>83772</v>
      </c>
      <c r="B1342" s="14" t="str">
        <f>"07010"</f>
        <v>07010</v>
      </c>
      <c r="C1342" s="14" t="str">
        <f>"1800"</f>
        <v>1800</v>
      </c>
      <c r="D1342" s="14" t="str">
        <f>""</f>
        <v/>
      </c>
      <c r="E1342" s="14" t="s">
        <v>1478</v>
      </c>
      <c r="F1342" s="14" t="s">
        <v>1002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228</v>
      </c>
      <c r="P1342" s="14" t="s">
        <v>260</v>
      </c>
      <c r="Q1342" s="14" t="s">
        <v>260</v>
      </c>
      <c r="R1342" s="14" t="s">
        <v>229</v>
      </c>
    </row>
    <row r="1343" spans="1:18" s="14" customFormat="1" x14ac:dyDescent="0.25">
      <c r="A1343" s="14" t="str">
        <f>"83773"</f>
        <v>83773</v>
      </c>
      <c r="B1343" s="14" t="str">
        <f>"07010"</f>
        <v>07010</v>
      </c>
      <c r="C1343" s="14" t="str">
        <f>"1800"</f>
        <v>1800</v>
      </c>
      <c r="D1343" s="14" t="str">
        <f>""</f>
        <v/>
      </c>
      <c r="E1343" s="14" t="s">
        <v>1479</v>
      </c>
      <c r="F1343" s="14" t="s">
        <v>1002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228</v>
      </c>
      <c r="P1343" s="14" t="s">
        <v>260</v>
      </c>
      <c r="Q1343" s="14" t="s">
        <v>260</v>
      </c>
      <c r="R1343" s="14" t="s">
        <v>229</v>
      </c>
    </row>
    <row r="1344" spans="1:18" s="14" customFormat="1" x14ac:dyDescent="0.25">
      <c r="A1344" s="14" t="str">
        <f>"83774"</f>
        <v>83774</v>
      </c>
      <c r="B1344" s="14" t="str">
        <f>"07010"</f>
        <v>07010</v>
      </c>
      <c r="C1344" s="14" t="str">
        <f>"1800"</f>
        <v>1800</v>
      </c>
      <c r="D1344" s="14" t="str">
        <f>""</f>
        <v/>
      </c>
      <c r="E1344" s="14" t="s">
        <v>1480</v>
      </c>
      <c r="F1344" s="14" t="s">
        <v>1002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228</v>
      </c>
      <c r="P1344" s="14" t="s">
        <v>260</v>
      </c>
      <c r="Q1344" s="14" t="s">
        <v>260</v>
      </c>
      <c r="R1344" s="14" t="s">
        <v>229</v>
      </c>
    </row>
    <row r="1345" spans="1:18" s="14" customFormat="1" x14ac:dyDescent="0.25">
      <c r="A1345" s="14" t="str">
        <f>"83775"</f>
        <v>83775</v>
      </c>
      <c r="B1345" s="14" t="str">
        <f>"07010"</f>
        <v>07010</v>
      </c>
      <c r="C1345" s="14" t="str">
        <f>"1800"</f>
        <v>1800</v>
      </c>
      <c r="D1345" s="14" t="str">
        <f>""</f>
        <v/>
      </c>
      <c r="E1345" s="14" t="s">
        <v>1481</v>
      </c>
      <c r="F1345" s="14" t="s">
        <v>1002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228</v>
      </c>
      <c r="P1345" s="14" t="s">
        <v>260</v>
      </c>
      <c r="Q1345" s="14" t="s">
        <v>260</v>
      </c>
      <c r="R1345" s="14" t="s">
        <v>229</v>
      </c>
    </row>
    <row r="1346" spans="1:18" s="14" customFormat="1" x14ac:dyDescent="0.25">
      <c r="A1346" s="14" t="str">
        <f>"83776"</f>
        <v>83776</v>
      </c>
      <c r="B1346" s="14" t="str">
        <f>"07010"</f>
        <v>07010</v>
      </c>
      <c r="C1346" s="14" t="str">
        <f>"1800"</f>
        <v>1800</v>
      </c>
      <c r="D1346" s="14" t="str">
        <f>""</f>
        <v/>
      </c>
      <c r="E1346" s="14" t="s">
        <v>1482</v>
      </c>
      <c r="F1346" s="14" t="s">
        <v>1002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228</v>
      </c>
      <c r="P1346" s="14" t="s">
        <v>260</v>
      </c>
      <c r="Q1346" s="14" t="s">
        <v>260</v>
      </c>
      <c r="R1346" s="14" t="s">
        <v>229</v>
      </c>
    </row>
    <row r="1347" spans="1:18" s="14" customFormat="1" x14ac:dyDescent="0.25">
      <c r="A1347" s="14" t="str">
        <f>"83777"</f>
        <v>83777</v>
      </c>
      <c r="B1347" s="14" t="str">
        <f>"07010"</f>
        <v>07010</v>
      </c>
      <c r="C1347" s="14" t="str">
        <f>"1800"</f>
        <v>1800</v>
      </c>
      <c r="D1347" s="14" t="str">
        <f>""</f>
        <v/>
      </c>
      <c r="E1347" s="14" t="s">
        <v>1483</v>
      </c>
      <c r="F1347" s="14" t="s">
        <v>1002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228</v>
      </c>
      <c r="P1347" s="14" t="s">
        <v>260</v>
      </c>
      <c r="Q1347" s="14" t="s">
        <v>260</v>
      </c>
      <c r="R1347" s="14" t="s">
        <v>229</v>
      </c>
    </row>
    <row r="1348" spans="1:18" s="14" customFormat="1" x14ac:dyDescent="0.25">
      <c r="A1348" s="14" t="str">
        <f>"83778"</f>
        <v>83778</v>
      </c>
      <c r="B1348" s="14" t="str">
        <f>"07010"</f>
        <v>07010</v>
      </c>
      <c r="C1348" s="14" t="str">
        <f>"1800"</f>
        <v>1800</v>
      </c>
      <c r="D1348" s="14" t="str">
        <f>""</f>
        <v/>
      </c>
      <c r="E1348" s="14" t="s">
        <v>1484</v>
      </c>
      <c r="F1348" s="14" t="s">
        <v>1002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228</v>
      </c>
      <c r="P1348" s="14" t="s">
        <v>260</v>
      </c>
      <c r="Q1348" s="14" t="s">
        <v>260</v>
      </c>
      <c r="R1348" s="14" t="s">
        <v>229</v>
      </c>
    </row>
    <row r="1349" spans="1:18" s="14" customFormat="1" x14ac:dyDescent="0.25">
      <c r="A1349" s="14" t="str">
        <f>"83779"</f>
        <v>83779</v>
      </c>
      <c r="B1349" s="14" t="str">
        <f>"07010"</f>
        <v>07010</v>
      </c>
      <c r="C1349" s="14" t="str">
        <f>"1800"</f>
        <v>1800</v>
      </c>
      <c r="D1349" s="14" t="str">
        <f>""</f>
        <v/>
      </c>
      <c r="E1349" s="14" t="s">
        <v>1485</v>
      </c>
      <c r="F1349" s="14" t="s">
        <v>1002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228</v>
      </c>
      <c r="P1349" s="14" t="s">
        <v>260</v>
      </c>
      <c r="Q1349" s="14" t="s">
        <v>260</v>
      </c>
      <c r="R1349" s="14" t="s">
        <v>229</v>
      </c>
    </row>
    <row r="1350" spans="1:18" s="14" customFormat="1" x14ac:dyDescent="0.25">
      <c r="A1350" s="14" t="str">
        <f>"83780"</f>
        <v>83780</v>
      </c>
      <c r="B1350" s="14" t="str">
        <f>"07010"</f>
        <v>07010</v>
      </c>
      <c r="C1350" s="14" t="str">
        <f>"1800"</f>
        <v>1800</v>
      </c>
      <c r="D1350" s="14" t="str">
        <f>""</f>
        <v/>
      </c>
      <c r="E1350" s="14" t="s">
        <v>1486</v>
      </c>
      <c r="F1350" s="14" t="s">
        <v>1002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228</v>
      </c>
      <c r="P1350" s="14" t="s">
        <v>260</v>
      </c>
      <c r="Q1350" s="14" t="s">
        <v>260</v>
      </c>
      <c r="R1350" s="14" t="s">
        <v>229</v>
      </c>
    </row>
    <row r="1351" spans="1:18" s="14" customFormat="1" x14ac:dyDescent="0.25">
      <c r="A1351" s="14" t="str">
        <f>"83781"</f>
        <v>83781</v>
      </c>
      <c r="B1351" s="14" t="str">
        <f>"07010"</f>
        <v>07010</v>
      </c>
      <c r="C1351" s="14" t="str">
        <f>"1800"</f>
        <v>1800</v>
      </c>
      <c r="D1351" s="14" t="str">
        <f>""</f>
        <v/>
      </c>
      <c r="E1351" s="14" t="s">
        <v>1487</v>
      </c>
      <c r="F1351" s="14" t="s">
        <v>1002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228</v>
      </c>
      <c r="P1351" s="14" t="s">
        <v>260</v>
      </c>
      <c r="Q1351" s="14" t="s">
        <v>260</v>
      </c>
      <c r="R1351" s="14" t="s">
        <v>229</v>
      </c>
    </row>
    <row r="1352" spans="1:18" s="14" customFormat="1" x14ac:dyDescent="0.25">
      <c r="A1352" s="14" t="str">
        <f>"83782"</f>
        <v>83782</v>
      </c>
      <c r="B1352" s="14" t="str">
        <f>"07010"</f>
        <v>07010</v>
      </c>
      <c r="C1352" s="14" t="str">
        <f>"1800"</f>
        <v>1800</v>
      </c>
      <c r="D1352" s="14" t="str">
        <f>""</f>
        <v/>
      </c>
      <c r="E1352" s="14" t="s">
        <v>1488</v>
      </c>
      <c r="F1352" s="14" t="s">
        <v>1002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228</v>
      </c>
      <c r="P1352" s="14" t="s">
        <v>260</v>
      </c>
      <c r="Q1352" s="14" t="s">
        <v>260</v>
      </c>
      <c r="R1352" s="14" t="s">
        <v>229</v>
      </c>
    </row>
    <row r="1353" spans="1:18" s="14" customFormat="1" x14ac:dyDescent="0.25">
      <c r="A1353" s="14" t="str">
        <f>"83783"</f>
        <v>83783</v>
      </c>
      <c r="B1353" s="14" t="str">
        <f>"07010"</f>
        <v>07010</v>
      </c>
      <c r="C1353" s="14" t="str">
        <f>"1800"</f>
        <v>1800</v>
      </c>
      <c r="D1353" s="14" t="str">
        <f>""</f>
        <v/>
      </c>
      <c r="E1353" s="14" t="s">
        <v>1489</v>
      </c>
      <c r="F1353" s="14" t="s">
        <v>1002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228</v>
      </c>
      <c r="P1353" s="14" t="s">
        <v>260</v>
      </c>
      <c r="Q1353" s="14" t="s">
        <v>260</v>
      </c>
      <c r="R1353" s="14" t="s">
        <v>229</v>
      </c>
    </row>
    <row r="1354" spans="1:18" s="14" customFormat="1" x14ac:dyDescent="0.25">
      <c r="A1354" s="14" t="str">
        <f>"83784"</f>
        <v>83784</v>
      </c>
      <c r="B1354" s="14" t="str">
        <f>"07010"</f>
        <v>07010</v>
      </c>
      <c r="C1354" s="14" t="str">
        <f>"1800"</f>
        <v>1800</v>
      </c>
      <c r="D1354" s="14" t="str">
        <f>""</f>
        <v/>
      </c>
      <c r="E1354" s="14" t="s">
        <v>1490</v>
      </c>
      <c r="F1354" s="14" t="s">
        <v>1002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228</v>
      </c>
      <c r="P1354" s="14" t="s">
        <v>260</v>
      </c>
      <c r="Q1354" s="14" t="s">
        <v>260</v>
      </c>
      <c r="R1354" s="14" t="s">
        <v>229</v>
      </c>
    </row>
    <row r="1355" spans="1:18" s="14" customFormat="1" x14ac:dyDescent="0.25">
      <c r="A1355" s="14" t="str">
        <f>"83785"</f>
        <v>83785</v>
      </c>
      <c r="B1355" s="14" t="str">
        <f>"07010"</f>
        <v>07010</v>
      </c>
      <c r="C1355" s="14" t="str">
        <f>"1800"</f>
        <v>1800</v>
      </c>
      <c r="D1355" s="14" t="str">
        <f>""</f>
        <v/>
      </c>
      <c r="E1355" s="14" t="s">
        <v>1491</v>
      </c>
      <c r="F1355" s="14" t="s">
        <v>1002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228</v>
      </c>
      <c r="P1355" s="14" t="s">
        <v>260</v>
      </c>
      <c r="Q1355" s="14" t="s">
        <v>260</v>
      </c>
      <c r="R1355" s="14" t="s">
        <v>229</v>
      </c>
    </row>
    <row r="1356" spans="1:18" s="14" customFormat="1" x14ac:dyDescent="0.25">
      <c r="A1356" s="14" t="str">
        <f>"83786"</f>
        <v>83786</v>
      </c>
      <c r="B1356" s="14" t="str">
        <f>"07010"</f>
        <v>07010</v>
      </c>
      <c r="C1356" s="14" t="str">
        <f>"1800"</f>
        <v>1800</v>
      </c>
      <c r="D1356" s="14" t="str">
        <f>""</f>
        <v/>
      </c>
      <c r="E1356" s="14" t="s">
        <v>1492</v>
      </c>
      <c r="F1356" s="14" t="s">
        <v>1002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228</v>
      </c>
      <c r="P1356" s="14" t="s">
        <v>260</v>
      </c>
      <c r="Q1356" s="14" t="s">
        <v>260</v>
      </c>
      <c r="R1356" s="14" t="s">
        <v>229</v>
      </c>
    </row>
    <row r="1357" spans="1:18" s="14" customFormat="1" x14ac:dyDescent="0.25">
      <c r="A1357" s="14" t="str">
        <f>"83787"</f>
        <v>83787</v>
      </c>
      <c r="B1357" s="14" t="str">
        <f>"07010"</f>
        <v>07010</v>
      </c>
      <c r="C1357" s="14" t="str">
        <f>"1800"</f>
        <v>1800</v>
      </c>
      <c r="D1357" s="14" t="str">
        <f>""</f>
        <v/>
      </c>
      <c r="E1357" s="14" t="s">
        <v>1493</v>
      </c>
      <c r="F1357" s="14" t="s">
        <v>1002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228</v>
      </c>
      <c r="P1357" s="14" t="s">
        <v>260</v>
      </c>
      <c r="Q1357" s="14" t="s">
        <v>260</v>
      </c>
      <c r="R1357" s="14" t="s">
        <v>229</v>
      </c>
    </row>
    <row r="1358" spans="1:18" s="14" customFormat="1" x14ac:dyDescent="0.25">
      <c r="A1358" s="14" t="str">
        <f>"83788"</f>
        <v>83788</v>
      </c>
      <c r="B1358" s="14" t="str">
        <f>"07010"</f>
        <v>07010</v>
      </c>
      <c r="C1358" s="14" t="str">
        <f>"1800"</f>
        <v>1800</v>
      </c>
      <c r="D1358" s="14" t="str">
        <f>""</f>
        <v/>
      </c>
      <c r="E1358" s="14" t="s">
        <v>1494</v>
      </c>
      <c r="F1358" s="14" t="s">
        <v>1002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228</v>
      </c>
      <c r="P1358" s="14" t="s">
        <v>260</v>
      </c>
      <c r="Q1358" s="14" t="s">
        <v>260</v>
      </c>
      <c r="R1358" s="14" t="s">
        <v>229</v>
      </c>
    </row>
    <row r="1359" spans="1:18" s="14" customFormat="1" x14ac:dyDescent="0.25">
      <c r="A1359" s="14" t="str">
        <f>"83789"</f>
        <v>83789</v>
      </c>
      <c r="B1359" s="14" t="str">
        <f>"07010"</f>
        <v>07010</v>
      </c>
      <c r="C1359" s="14" t="str">
        <f>"1800"</f>
        <v>1800</v>
      </c>
      <c r="D1359" s="14" t="str">
        <f>""</f>
        <v/>
      </c>
      <c r="E1359" s="14" t="s">
        <v>1495</v>
      </c>
      <c r="F1359" s="14" t="s">
        <v>1002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228</v>
      </c>
      <c r="P1359" s="14" t="s">
        <v>260</v>
      </c>
      <c r="Q1359" s="14" t="s">
        <v>260</v>
      </c>
      <c r="R1359" s="14" t="s">
        <v>229</v>
      </c>
    </row>
    <row r="1360" spans="1:18" s="14" customFormat="1" x14ac:dyDescent="0.25">
      <c r="A1360" s="14" t="str">
        <f>"83790"</f>
        <v>83790</v>
      </c>
      <c r="B1360" s="14" t="str">
        <f>"07010"</f>
        <v>07010</v>
      </c>
      <c r="C1360" s="14" t="str">
        <f>"1800"</f>
        <v>1800</v>
      </c>
      <c r="D1360" s="14" t="str">
        <f>""</f>
        <v/>
      </c>
      <c r="E1360" s="14" t="s">
        <v>1496</v>
      </c>
      <c r="F1360" s="14" t="s">
        <v>1002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228</v>
      </c>
      <c r="P1360" s="14" t="s">
        <v>260</v>
      </c>
      <c r="Q1360" s="14" t="s">
        <v>260</v>
      </c>
      <c r="R1360" s="14" t="s">
        <v>229</v>
      </c>
    </row>
    <row r="1361" spans="1:18" s="14" customFormat="1" x14ac:dyDescent="0.25">
      <c r="A1361" s="14" t="str">
        <f>"83791"</f>
        <v>83791</v>
      </c>
      <c r="B1361" s="14" t="str">
        <f>"07010"</f>
        <v>07010</v>
      </c>
      <c r="C1361" s="14" t="str">
        <f>"1800"</f>
        <v>1800</v>
      </c>
      <c r="D1361" s="14" t="str">
        <f>""</f>
        <v/>
      </c>
      <c r="E1361" s="14" t="s">
        <v>1497</v>
      </c>
      <c r="F1361" s="14" t="s">
        <v>1002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228</v>
      </c>
      <c r="P1361" s="14" t="s">
        <v>260</v>
      </c>
      <c r="Q1361" s="14" t="s">
        <v>260</v>
      </c>
      <c r="R1361" s="14" t="s">
        <v>229</v>
      </c>
    </row>
    <row r="1362" spans="1:18" s="14" customFormat="1" x14ac:dyDescent="0.25">
      <c r="A1362" s="14" t="str">
        <f>"83792"</f>
        <v>83792</v>
      </c>
      <c r="B1362" s="14" t="str">
        <f>"07010"</f>
        <v>07010</v>
      </c>
      <c r="C1362" s="14" t="str">
        <f>"1800"</f>
        <v>1800</v>
      </c>
      <c r="D1362" s="14" t="str">
        <f>""</f>
        <v/>
      </c>
      <c r="E1362" s="14" t="s">
        <v>1498</v>
      </c>
      <c r="F1362" s="14" t="s">
        <v>1002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228</v>
      </c>
      <c r="P1362" s="14" t="s">
        <v>260</v>
      </c>
      <c r="Q1362" s="14" t="s">
        <v>260</v>
      </c>
      <c r="R1362" s="14" t="s">
        <v>229</v>
      </c>
    </row>
    <row r="1363" spans="1:18" s="14" customFormat="1" x14ac:dyDescent="0.25">
      <c r="A1363" s="14" t="str">
        <f>"83793"</f>
        <v>83793</v>
      </c>
      <c r="B1363" s="14" t="str">
        <f>"07010"</f>
        <v>07010</v>
      </c>
      <c r="C1363" s="14" t="str">
        <f>"1800"</f>
        <v>1800</v>
      </c>
      <c r="D1363" s="14" t="str">
        <f>""</f>
        <v/>
      </c>
      <c r="E1363" s="14" t="s">
        <v>1499</v>
      </c>
      <c r="F1363" s="14" t="s">
        <v>1002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228</v>
      </c>
      <c r="P1363" s="14" t="s">
        <v>260</v>
      </c>
      <c r="Q1363" s="14" t="s">
        <v>260</v>
      </c>
      <c r="R1363" s="14" t="s">
        <v>229</v>
      </c>
    </row>
    <row r="1364" spans="1:18" s="14" customFormat="1" x14ac:dyDescent="0.25">
      <c r="A1364" s="14" t="str">
        <f>"83794"</f>
        <v>83794</v>
      </c>
      <c r="B1364" s="14" t="str">
        <f>"07010"</f>
        <v>07010</v>
      </c>
      <c r="C1364" s="14" t="str">
        <f>"1800"</f>
        <v>1800</v>
      </c>
      <c r="D1364" s="14" t="str">
        <f>""</f>
        <v/>
      </c>
      <c r="E1364" s="14" t="s">
        <v>1500</v>
      </c>
      <c r="F1364" s="14" t="s">
        <v>1002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228</v>
      </c>
      <c r="P1364" s="14" t="s">
        <v>260</v>
      </c>
      <c r="Q1364" s="14" t="s">
        <v>260</v>
      </c>
      <c r="R1364" s="14" t="s">
        <v>229</v>
      </c>
    </row>
    <row r="1365" spans="1:18" s="14" customFormat="1" x14ac:dyDescent="0.25">
      <c r="A1365" s="14" t="str">
        <f>"83795"</f>
        <v>83795</v>
      </c>
      <c r="B1365" s="14" t="str">
        <f>"07010"</f>
        <v>07010</v>
      </c>
      <c r="C1365" s="14" t="str">
        <f>"1800"</f>
        <v>1800</v>
      </c>
      <c r="D1365" s="14" t="str">
        <f>""</f>
        <v/>
      </c>
      <c r="E1365" s="14" t="s">
        <v>1501</v>
      </c>
      <c r="F1365" s="14" t="s">
        <v>1002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228</v>
      </c>
      <c r="P1365" s="14" t="s">
        <v>260</v>
      </c>
      <c r="Q1365" s="14" t="s">
        <v>260</v>
      </c>
      <c r="R1365" s="14" t="s">
        <v>229</v>
      </c>
    </row>
    <row r="1366" spans="1:18" s="14" customFormat="1" x14ac:dyDescent="0.25">
      <c r="A1366" s="14" t="str">
        <f>"83796"</f>
        <v>83796</v>
      </c>
      <c r="B1366" s="14" t="str">
        <f>"07010"</f>
        <v>07010</v>
      </c>
      <c r="C1366" s="14" t="str">
        <f>"1800"</f>
        <v>1800</v>
      </c>
      <c r="D1366" s="14" t="str">
        <f>""</f>
        <v/>
      </c>
      <c r="E1366" s="14" t="s">
        <v>1502</v>
      </c>
      <c r="F1366" s="14" t="s">
        <v>1002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228</v>
      </c>
      <c r="P1366" s="14" t="s">
        <v>260</v>
      </c>
      <c r="Q1366" s="14" t="s">
        <v>260</v>
      </c>
      <c r="R1366" s="14" t="s">
        <v>229</v>
      </c>
    </row>
    <row r="1367" spans="1:18" s="14" customFormat="1" x14ac:dyDescent="0.25">
      <c r="A1367" s="14" t="str">
        <f>"83797"</f>
        <v>83797</v>
      </c>
      <c r="B1367" s="14" t="str">
        <f>"07010"</f>
        <v>07010</v>
      </c>
      <c r="C1367" s="14" t="str">
        <f>"1800"</f>
        <v>1800</v>
      </c>
      <c r="D1367" s="14" t="str">
        <f>""</f>
        <v/>
      </c>
      <c r="E1367" s="14" t="s">
        <v>1503</v>
      </c>
      <c r="F1367" s="14" t="s">
        <v>1002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228</v>
      </c>
      <c r="P1367" s="14" t="s">
        <v>260</v>
      </c>
      <c r="Q1367" s="14" t="s">
        <v>260</v>
      </c>
      <c r="R1367" s="14" t="s">
        <v>229</v>
      </c>
    </row>
    <row r="1368" spans="1:18" s="14" customFormat="1" x14ac:dyDescent="0.25">
      <c r="A1368" s="14" t="str">
        <f>"83798"</f>
        <v>83798</v>
      </c>
      <c r="B1368" s="14" t="str">
        <f>"07010"</f>
        <v>07010</v>
      </c>
      <c r="C1368" s="14" t="str">
        <f>"1800"</f>
        <v>1800</v>
      </c>
      <c r="D1368" s="14" t="str">
        <f>""</f>
        <v/>
      </c>
      <c r="E1368" s="14" t="s">
        <v>1504</v>
      </c>
      <c r="F1368" s="14" t="s">
        <v>1002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228</v>
      </c>
      <c r="P1368" s="14" t="s">
        <v>260</v>
      </c>
      <c r="Q1368" s="14" t="s">
        <v>260</v>
      </c>
      <c r="R1368" s="14" t="s">
        <v>229</v>
      </c>
    </row>
    <row r="1369" spans="1:18" s="14" customFormat="1" x14ac:dyDescent="0.25">
      <c r="A1369" s="14" t="str">
        <f>"83799"</f>
        <v>83799</v>
      </c>
      <c r="B1369" s="14" t="str">
        <f>"07010"</f>
        <v>07010</v>
      </c>
      <c r="C1369" s="14" t="str">
        <f>"1800"</f>
        <v>1800</v>
      </c>
      <c r="D1369" s="14" t="str">
        <f>""</f>
        <v/>
      </c>
      <c r="E1369" s="14" t="s">
        <v>1505</v>
      </c>
      <c r="F1369" s="14" t="s">
        <v>1002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228</v>
      </c>
      <c r="P1369" s="14" t="s">
        <v>260</v>
      </c>
      <c r="Q1369" s="14" t="s">
        <v>260</v>
      </c>
      <c r="R1369" s="14" t="s">
        <v>229</v>
      </c>
    </row>
    <row r="1370" spans="1:18" s="14" customFormat="1" x14ac:dyDescent="0.25">
      <c r="A1370" s="14" t="str">
        <f>"83801"</f>
        <v>83801</v>
      </c>
      <c r="B1370" s="14" t="str">
        <f>"07010"</f>
        <v>07010</v>
      </c>
      <c r="C1370" s="14" t="str">
        <f>"1800"</f>
        <v>1800</v>
      </c>
      <c r="D1370" s="14" t="str">
        <f>""</f>
        <v/>
      </c>
      <c r="E1370" s="14" t="s">
        <v>1506</v>
      </c>
      <c r="F1370" s="14" t="s">
        <v>1002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228</v>
      </c>
      <c r="P1370" s="14" t="s">
        <v>260</v>
      </c>
      <c r="Q1370" s="14" t="s">
        <v>260</v>
      </c>
      <c r="R1370" s="14" t="s">
        <v>229</v>
      </c>
    </row>
    <row r="1371" spans="1:18" s="14" customFormat="1" x14ac:dyDescent="0.25">
      <c r="A1371" s="14" t="str">
        <f>"83802"</f>
        <v>83802</v>
      </c>
      <c r="B1371" s="14" t="str">
        <f>"07010"</f>
        <v>07010</v>
      </c>
      <c r="C1371" s="14" t="str">
        <f>"1800"</f>
        <v>1800</v>
      </c>
      <c r="D1371" s="14" t="str">
        <f>""</f>
        <v/>
      </c>
      <c r="E1371" s="14" t="s">
        <v>1507</v>
      </c>
      <c r="F1371" s="14" t="s">
        <v>1002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228</v>
      </c>
      <c r="P1371" s="14" t="s">
        <v>260</v>
      </c>
      <c r="Q1371" s="14" t="s">
        <v>260</v>
      </c>
      <c r="R1371" s="14" t="s">
        <v>229</v>
      </c>
    </row>
    <row r="1372" spans="1:18" s="14" customFormat="1" x14ac:dyDescent="0.25">
      <c r="A1372" s="14" t="str">
        <f>"83803"</f>
        <v>83803</v>
      </c>
      <c r="B1372" s="14" t="str">
        <f>"07010"</f>
        <v>07010</v>
      </c>
      <c r="C1372" s="14" t="str">
        <f>"1800"</f>
        <v>1800</v>
      </c>
      <c r="D1372" s="14" t="str">
        <f>""</f>
        <v/>
      </c>
      <c r="E1372" s="14" t="s">
        <v>1508</v>
      </c>
      <c r="F1372" s="14" t="s">
        <v>1002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228</v>
      </c>
      <c r="P1372" s="14" t="s">
        <v>260</v>
      </c>
      <c r="Q1372" s="14" t="s">
        <v>260</v>
      </c>
      <c r="R1372" s="14" t="s">
        <v>229</v>
      </c>
    </row>
    <row r="1373" spans="1:18" s="14" customFormat="1" x14ac:dyDescent="0.25">
      <c r="A1373" s="14" t="str">
        <f>"83804"</f>
        <v>83804</v>
      </c>
      <c r="B1373" s="14" t="str">
        <f>"07010"</f>
        <v>07010</v>
      </c>
      <c r="C1373" s="14" t="str">
        <f>"1800"</f>
        <v>1800</v>
      </c>
      <c r="D1373" s="14" t="str">
        <f>""</f>
        <v/>
      </c>
      <c r="E1373" s="14" t="s">
        <v>1509</v>
      </c>
      <c r="F1373" s="14" t="s">
        <v>1002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228</v>
      </c>
      <c r="P1373" s="14" t="s">
        <v>260</v>
      </c>
      <c r="Q1373" s="14" t="s">
        <v>260</v>
      </c>
      <c r="R1373" s="14" t="s">
        <v>229</v>
      </c>
    </row>
    <row r="1374" spans="1:18" s="14" customFormat="1" x14ac:dyDescent="0.25">
      <c r="A1374" s="14" t="str">
        <f>"83805"</f>
        <v>83805</v>
      </c>
      <c r="B1374" s="14" t="str">
        <f>"07010"</f>
        <v>07010</v>
      </c>
      <c r="C1374" s="14" t="str">
        <f>"1800"</f>
        <v>1800</v>
      </c>
      <c r="D1374" s="14" t="str">
        <f>""</f>
        <v/>
      </c>
      <c r="E1374" s="14" t="s">
        <v>1510</v>
      </c>
      <c r="F1374" s="14" t="s">
        <v>1002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228</v>
      </c>
      <c r="P1374" s="14" t="s">
        <v>260</v>
      </c>
      <c r="Q1374" s="14" t="s">
        <v>260</v>
      </c>
      <c r="R1374" s="14" t="s">
        <v>229</v>
      </c>
    </row>
    <row r="1375" spans="1:18" s="14" customFormat="1" x14ac:dyDescent="0.25">
      <c r="A1375" s="14" t="str">
        <f>"83806"</f>
        <v>83806</v>
      </c>
      <c r="B1375" s="14" t="str">
        <f>"07010"</f>
        <v>07010</v>
      </c>
      <c r="C1375" s="14" t="str">
        <f>"1800"</f>
        <v>1800</v>
      </c>
      <c r="D1375" s="14" t="str">
        <f>""</f>
        <v/>
      </c>
      <c r="E1375" s="14" t="s">
        <v>1511</v>
      </c>
      <c r="F1375" s="14" t="s">
        <v>1002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228</v>
      </c>
      <c r="P1375" s="14" t="s">
        <v>260</v>
      </c>
      <c r="Q1375" s="14" t="s">
        <v>260</v>
      </c>
      <c r="R1375" s="14" t="s">
        <v>229</v>
      </c>
    </row>
    <row r="1376" spans="1:18" s="14" customFormat="1" x14ac:dyDescent="0.25">
      <c r="A1376" s="14" t="str">
        <f>"83807"</f>
        <v>83807</v>
      </c>
      <c r="B1376" s="14" t="str">
        <f>"07010"</f>
        <v>07010</v>
      </c>
      <c r="C1376" s="14" t="str">
        <f>"1800"</f>
        <v>1800</v>
      </c>
      <c r="D1376" s="14" t="str">
        <f>""</f>
        <v/>
      </c>
      <c r="E1376" s="14" t="s">
        <v>1512</v>
      </c>
      <c r="F1376" s="14" t="s">
        <v>1002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228</v>
      </c>
      <c r="P1376" s="14" t="s">
        <v>260</v>
      </c>
      <c r="Q1376" s="14" t="s">
        <v>260</v>
      </c>
      <c r="R1376" s="14" t="s">
        <v>229</v>
      </c>
    </row>
    <row r="1377" spans="1:18" s="14" customFormat="1" x14ac:dyDescent="0.25">
      <c r="A1377" s="14" t="str">
        <f>"83808"</f>
        <v>83808</v>
      </c>
      <c r="B1377" s="14" t="str">
        <f>"07010"</f>
        <v>07010</v>
      </c>
      <c r="C1377" s="14" t="str">
        <f>"1800"</f>
        <v>1800</v>
      </c>
      <c r="D1377" s="14" t="str">
        <f>""</f>
        <v/>
      </c>
      <c r="E1377" s="14" t="s">
        <v>1513</v>
      </c>
      <c r="F1377" s="14" t="s">
        <v>1002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228</v>
      </c>
      <c r="P1377" s="14" t="s">
        <v>260</v>
      </c>
      <c r="Q1377" s="14" t="s">
        <v>260</v>
      </c>
      <c r="R1377" s="14" t="s">
        <v>229</v>
      </c>
    </row>
    <row r="1378" spans="1:18" s="14" customFormat="1" x14ac:dyDescent="0.25">
      <c r="A1378" s="14" t="str">
        <f>"83809"</f>
        <v>83809</v>
      </c>
      <c r="B1378" s="14" t="str">
        <f>"07010"</f>
        <v>07010</v>
      </c>
      <c r="C1378" s="14" t="str">
        <f>"1800"</f>
        <v>1800</v>
      </c>
      <c r="D1378" s="14" t="str">
        <f>""</f>
        <v/>
      </c>
      <c r="E1378" s="14" t="s">
        <v>1514</v>
      </c>
      <c r="F1378" s="14" t="s">
        <v>1002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228</v>
      </c>
      <c r="P1378" s="14" t="s">
        <v>260</v>
      </c>
      <c r="Q1378" s="14" t="s">
        <v>260</v>
      </c>
      <c r="R1378" s="14" t="s">
        <v>229</v>
      </c>
    </row>
    <row r="1379" spans="1:18" s="14" customFormat="1" x14ac:dyDescent="0.25">
      <c r="A1379" s="14" t="str">
        <f>"83810"</f>
        <v>83810</v>
      </c>
      <c r="B1379" s="14" t="str">
        <f>"07010"</f>
        <v>07010</v>
      </c>
      <c r="C1379" s="14" t="str">
        <f>"1800"</f>
        <v>1800</v>
      </c>
      <c r="D1379" s="14" t="str">
        <f>""</f>
        <v/>
      </c>
      <c r="E1379" s="14" t="s">
        <v>1515</v>
      </c>
      <c r="F1379" s="14" t="s">
        <v>1002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228</v>
      </c>
      <c r="P1379" s="14" t="s">
        <v>260</v>
      </c>
      <c r="Q1379" s="14" t="s">
        <v>260</v>
      </c>
      <c r="R1379" s="14" t="s">
        <v>229</v>
      </c>
    </row>
    <row r="1380" spans="1:18" s="14" customFormat="1" x14ac:dyDescent="0.25">
      <c r="A1380" s="14" t="str">
        <f>"83811"</f>
        <v>83811</v>
      </c>
      <c r="B1380" s="14" t="str">
        <f>"07010"</f>
        <v>07010</v>
      </c>
      <c r="C1380" s="14" t="str">
        <f>"1800"</f>
        <v>1800</v>
      </c>
      <c r="D1380" s="14" t="str">
        <f>""</f>
        <v/>
      </c>
      <c r="E1380" s="14" t="s">
        <v>1516</v>
      </c>
      <c r="F1380" s="14" t="s">
        <v>1002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228</v>
      </c>
      <c r="P1380" s="14" t="s">
        <v>260</v>
      </c>
      <c r="Q1380" s="14" t="s">
        <v>260</v>
      </c>
      <c r="R1380" s="14" t="s">
        <v>229</v>
      </c>
    </row>
    <row r="1381" spans="1:18" s="14" customFormat="1" x14ac:dyDescent="0.25">
      <c r="A1381" s="14" t="str">
        <f>"83812"</f>
        <v>83812</v>
      </c>
      <c r="B1381" s="14" t="str">
        <f>"07010"</f>
        <v>07010</v>
      </c>
      <c r="C1381" s="14" t="str">
        <f>"1800"</f>
        <v>1800</v>
      </c>
      <c r="D1381" s="14" t="str">
        <f>""</f>
        <v/>
      </c>
      <c r="E1381" s="14" t="s">
        <v>1517</v>
      </c>
      <c r="F1381" s="14" t="s">
        <v>1002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228</v>
      </c>
      <c r="P1381" s="14" t="s">
        <v>260</v>
      </c>
      <c r="Q1381" s="14" t="s">
        <v>260</v>
      </c>
      <c r="R1381" s="14" t="s">
        <v>229</v>
      </c>
    </row>
    <row r="1382" spans="1:18" s="14" customFormat="1" x14ac:dyDescent="0.25">
      <c r="A1382" s="14" t="str">
        <f>"83813"</f>
        <v>83813</v>
      </c>
      <c r="B1382" s="14" t="str">
        <f>"07010"</f>
        <v>07010</v>
      </c>
      <c r="C1382" s="14" t="str">
        <f>"1800"</f>
        <v>1800</v>
      </c>
      <c r="D1382" s="14" t="str">
        <f>""</f>
        <v/>
      </c>
      <c r="E1382" s="14" t="s">
        <v>1518</v>
      </c>
      <c r="F1382" s="14" t="s">
        <v>1002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228</v>
      </c>
      <c r="P1382" s="14" t="s">
        <v>260</v>
      </c>
      <c r="Q1382" s="14" t="s">
        <v>260</v>
      </c>
      <c r="R1382" s="14" t="s">
        <v>229</v>
      </c>
    </row>
    <row r="1383" spans="1:18" s="14" customFormat="1" x14ac:dyDescent="0.25">
      <c r="A1383" s="14" t="str">
        <f>"83814"</f>
        <v>83814</v>
      </c>
      <c r="B1383" s="14" t="str">
        <f>"07010"</f>
        <v>07010</v>
      </c>
      <c r="C1383" s="14" t="str">
        <f>"1800"</f>
        <v>1800</v>
      </c>
      <c r="D1383" s="14" t="str">
        <f>""</f>
        <v/>
      </c>
      <c r="E1383" s="14" t="s">
        <v>1519</v>
      </c>
      <c r="F1383" s="14" t="s">
        <v>1002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228</v>
      </c>
      <c r="P1383" s="14" t="s">
        <v>260</v>
      </c>
      <c r="Q1383" s="14" t="s">
        <v>260</v>
      </c>
      <c r="R1383" s="14" t="s">
        <v>229</v>
      </c>
    </row>
    <row r="1384" spans="1:18" s="14" customFormat="1" x14ac:dyDescent="0.25">
      <c r="A1384" s="14" t="str">
        <f>"83815"</f>
        <v>83815</v>
      </c>
      <c r="B1384" s="14" t="str">
        <f>"07010"</f>
        <v>07010</v>
      </c>
      <c r="C1384" s="14" t="str">
        <f>"1800"</f>
        <v>1800</v>
      </c>
      <c r="D1384" s="14" t="str">
        <f>""</f>
        <v/>
      </c>
      <c r="E1384" s="14" t="s">
        <v>1520</v>
      </c>
      <c r="F1384" s="14" t="s">
        <v>1002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228</v>
      </c>
      <c r="P1384" s="14" t="s">
        <v>260</v>
      </c>
      <c r="Q1384" s="14" t="s">
        <v>260</v>
      </c>
      <c r="R1384" s="14" t="s">
        <v>229</v>
      </c>
    </row>
    <row r="1385" spans="1:18" s="14" customFormat="1" x14ac:dyDescent="0.25">
      <c r="A1385" s="14" t="str">
        <f>"83816"</f>
        <v>83816</v>
      </c>
      <c r="B1385" s="14" t="str">
        <f>"07010"</f>
        <v>07010</v>
      </c>
      <c r="C1385" s="14" t="str">
        <f>"1800"</f>
        <v>1800</v>
      </c>
      <c r="D1385" s="14" t="str">
        <f>""</f>
        <v/>
      </c>
      <c r="E1385" s="14" t="s">
        <v>1521</v>
      </c>
      <c r="F1385" s="14" t="s">
        <v>1002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228</v>
      </c>
      <c r="P1385" s="14" t="s">
        <v>260</v>
      </c>
      <c r="Q1385" s="14" t="s">
        <v>260</v>
      </c>
      <c r="R1385" s="14" t="s">
        <v>229</v>
      </c>
    </row>
    <row r="1386" spans="1:18" s="14" customFormat="1" x14ac:dyDescent="0.25">
      <c r="A1386" s="14" t="str">
        <f>"83817"</f>
        <v>83817</v>
      </c>
      <c r="B1386" s="14" t="str">
        <f>"07010"</f>
        <v>07010</v>
      </c>
      <c r="C1386" s="14" t="str">
        <f>"1800"</f>
        <v>1800</v>
      </c>
      <c r="D1386" s="14" t="str">
        <f>""</f>
        <v/>
      </c>
      <c r="E1386" s="14" t="s">
        <v>1522</v>
      </c>
      <c r="F1386" s="14" t="s">
        <v>1002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228</v>
      </c>
      <c r="P1386" s="14" t="s">
        <v>260</v>
      </c>
      <c r="Q1386" s="14" t="s">
        <v>260</v>
      </c>
      <c r="R1386" s="14" t="s">
        <v>229</v>
      </c>
    </row>
    <row r="1387" spans="1:18" s="14" customFormat="1" x14ac:dyDescent="0.25">
      <c r="A1387" s="14" t="str">
        <f>"83818"</f>
        <v>83818</v>
      </c>
      <c r="B1387" s="14" t="str">
        <f>"07010"</f>
        <v>07010</v>
      </c>
      <c r="C1387" s="14" t="str">
        <f>"1800"</f>
        <v>1800</v>
      </c>
      <c r="D1387" s="14" t="str">
        <f>""</f>
        <v/>
      </c>
      <c r="E1387" s="14" t="s">
        <v>1523</v>
      </c>
      <c r="F1387" s="14" t="s">
        <v>1002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228</v>
      </c>
      <c r="P1387" s="14" t="s">
        <v>260</v>
      </c>
      <c r="Q1387" s="14" t="s">
        <v>260</v>
      </c>
      <c r="R1387" s="14" t="s">
        <v>229</v>
      </c>
    </row>
    <row r="1388" spans="1:18" s="14" customFormat="1" x14ac:dyDescent="0.25">
      <c r="A1388" s="14" t="str">
        <f>"83819"</f>
        <v>83819</v>
      </c>
      <c r="B1388" s="14" t="str">
        <f>"07010"</f>
        <v>07010</v>
      </c>
      <c r="C1388" s="14" t="str">
        <f>"1800"</f>
        <v>1800</v>
      </c>
      <c r="D1388" s="14" t="str">
        <f>""</f>
        <v/>
      </c>
      <c r="E1388" s="14" t="s">
        <v>1524</v>
      </c>
      <c r="F1388" s="14" t="s">
        <v>1002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228</v>
      </c>
      <c r="P1388" s="14" t="s">
        <v>260</v>
      </c>
      <c r="Q1388" s="14" t="s">
        <v>260</v>
      </c>
      <c r="R1388" s="14" t="s">
        <v>229</v>
      </c>
    </row>
    <row r="1389" spans="1:18" s="14" customFormat="1" x14ac:dyDescent="0.25">
      <c r="A1389" s="14" t="str">
        <f>"83820"</f>
        <v>83820</v>
      </c>
      <c r="B1389" s="14" t="str">
        <f>"07010"</f>
        <v>07010</v>
      </c>
      <c r="C1389" s="14" t="str">
        <f>"1800"</f>
        <v>1800</v>
      </c>
      <c r="D1389" s="14" t="str">
        <f>""</f>
        <v/>
      </c>
      <c r="E1389" s="14" t="s">
        <v>1525</v>
      </c>
      <c r="F1389" s="14" t="s">
        <v>1002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228</v>
      </c>
      <c r="P1389" s="14" t="s">
        <v>260</v>
      </c>
      <c r="Q1389" s="14" t="s">
        <v>260</v>
      </c>
      <c r="R1389" s="14" t="s">
        <v>229</v>
      </c>
    </row>
    <row r="1390" spans="1:18" s="14" customFormat="1" x14ac:dyDescent="0.25">
      <c r="A1390" s="14" t="str">
        <f>"83821"</f>
        <v>83821</v>
      </c>
      <c r="B1390" s="14" t="str">
        <f>"07010"</f>
        <v>07010</v>
      </c>
      <c r="C1390" s="14" t="str">
        <f>"1800"</f>
        <v>1800</v>
      </c>
      <c r="D1390" s="14" t="str">
        <f>""</f>
        <v/>
      </c>
      <c r="E1390" s="14" t="s">
        <v>1526</v>
      </c>
      <c r="F1390" s="14" t="s">
        <v>1002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228</v>
      </c>
      <c r="P1390" s="14" t="s">
        <v>260</v>
      </c>
      <c r="Q1390" s="14" t="s">
        <v>260</v>
      </c>
      <c r="R1390" s="14" t="s">
        <v>229</v>
      </c>
    </row>
    <row r="1391" spans="1:18" s="14" customFormat="1" x14ac:dyDescent="0.25">
      <c r="A1391" s="14" t="str">
        <f>"83822"</f>
        <v>83822</v>
      </c>
      <c r="B1391" s="14" t="str">
        <f>"07010"</f>
        <v>07010</v>
      </c>
      <c r="C1391" s="14" t="str">
        <f>"1800"</f>
        <v>1800</v>
      </c>
      <c r="D1391" s="14" t="str">
        <f>""</f>
        <v/>
      </c>
      <c r="E1391" s="14" t="s">
        <v>1527</v>
      </c>
      <c r="F1391" s="14" t="s">
        <v>1002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228</v>
      </c>
      <c r="P1391" s="14" t="s">
        <v>260</v>
      </c>
      <c r="Q1391" s="14" t="s">
        <v>260</v>
      </c>
      <c r="R1391" s="14" t="s">
        <v>229</v>
      </c>
    </row>
    <row r="1392" spans="1:18" s="14" customFormat="1" x14ac:dyDescent="0.25">
      <c r="A1392" s="14" t="str">
        <f>"83823"</f>
        <v>83823</v>
      </c>
      <c r="B1392" s="14" t="str">
        <f>"07010"</f>
        <v>07010</v>
      </c>
      <c r="C1392" s="14" t="str">
        <f>"1800"</f>
        <v>1800</v>
      </c>
      <c r="D1392" s="14" t="str">
        <f>""</f>
        <v/>
      </c>
      <c r="E1392" s="14" t="s">
        <v>1528</v>
      </c>
      <c r="F1392" s="14" t="s">
        <v>1002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228</v>
      </c>
      <c r="P1392" s="14" t="s">
        <v>260</v>
      </c>
      <c r="Q1392" s="14" t="s">
        <v>260</v>
      </c>
      <c r="R1392" s="14" t="s">
        <v>229</v>
      </c>
    </row>
    <row r="1393" spans="1:18" s="14" customFormat="1" x14ac:dyDescent="0.25">
      <c r="A1393" s="14" t="str">
        <f>"83824"</f>
        <v>83824</v>
      </c>
      <c r="B1393" s="14" t="str">
        <f>"07010"</f>
        <v>07010</v>
      </c>
      <c r="C1393" s="14" t="str">
        <f>"1800"</f>
        <v>1800</v>
      </c>
      <c r="D1393" s="14" t="str">
        <f>""</f>
        <v/>
      </c>
      <c r="E1393" s="14" t="s">
        <v>1529</v>
      </c>
      <c r="F1393" s="14" t="s">
        <v>1002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228</v>
      </c>
      <c r="P1393" s="14" t="s">
        <v>260</v>
      </c>
      <c r="Q1393" s="14" t="s">
        <v>260</v>
      </c>
      <c r="R1393" s="14" t="s">
        <v>229</v>
      </c>
    </row>
    <row r="1394" spans="1:18" s="14" customFormat="1" x14ac:dyDescent="0.25">
      <c r="A1394" s="14" t="str">
        <f>"83950"</f>
        <v>83950</v>
      </c>
      <c r="B1394" s="14" t="str">
        <f>"07010"</f>
        <v>07010</v>
      </c>
      <c r="C1394" s="14" t="str">
        <f>"1800"</f>
        <v>1800</v>
      </c>
      <c r="D1394" s="14" t="str">
        <f>""</f>
        <v/>
      </c>
      <c r="E1394" s="14" t="s">
        <v>1530</v>
      </c>
      <c r="F1394" s="14" t="s">
        <v>1002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228</v>
      </c>
      <c r="P1394" s="14" t="s">
        <v>260</v>
      </c>
      <c r="Q1394" s="14" t="s">
        <v>260</v>
      </c>
      <c r="R1394" s="14" t="s">
        <v>229</v>
      </c>
    </row>
    <row r="1395" spans="1:18" s="14" customFormat="1" x14ac:dyDescent="0.25">
      <c r="A1395" s="14" t="str">
        <f>"83999"</f>
        <v>83999</v>
      </c>
      <c r="B1395" s="14" t="str">
        <f>"07010"</f>
        <v>07010</v>
      </c>
      <c r="C1395" s="14" t="str">
        <f>"1800"</f>
        <v>1800</v>
      </c>
      <c r="D1395" s="14" t="str">
        <f>""</f>
        <v/>
      </c>
      <c r="E1395" s="14" t="s">
        <v>496</v>
      </c>
      <c r="F1395" s="14" t="s">
        <v>1002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228</v>
      </c>
      <c r="P1395" s="14" t="s">
        <v>260</v>
      </c>
      <c r="Q1395" s="14" t="s">
        <v>260</v>
      </c>
      <c r="R1395" s="14" t="s">
        <v>229</v>
      </c>
    </row>
    <row r="1396" spans="1:18" s="14" customFormat="1" x14ac:dyDescent="0.25">
      <c r="A1396" s="14" t="str">
        <f>"10001"</f>
        <v>10001</v>
      </c>
      <c r="B1396" s="14" t="str">
        <f>"03210"</f>
        <v>03210</v>
      </c>
      <c r="C1396" s="14" t="str">
        <f>"1400"</f>
        <v>1400</v>
      </c>
      <c r="D1396" s="14" t="str">
        <f>"03210"</f>
        <v>03210</v>
      </c>
      <c r="E1396" s="14" t="s">
        <v>20</v>
      </c>
      <c r="F1396" s="14" t="s">
        <v>257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258</v>
      </c>
      <c r="L1396" s="14" t="s">
        <v>28</v>
      </c>
      <c r="P1396" s="14" t="s">
        <v>31</v>
      </c>
      <c r="Q1396" s="14" t="s">
        <v>25</v>
      </c>
      <c r="R1396" s="14" t="s">
        <v>32</v>
      </c>
    </row>
    <row r="1397" spans="1:18" s="14" customFormat="1" x14ac:dyDescent="0.25">
      <c r="A1397" s="14" t="str">
        <f>"84233"</f>
        <v>84233</v>
      </c>
      <c r="B1397" s="14" t="str">
        <f>"07020"</f>
        <v>07020</v>
      </c>
      <c r="C1397" s="14" t="str">
        <f>"1700"</f>
        <v>1700</v>
      </c>
      <c r="D1397" s="14" t="str">
        <f>"84233"</f>
        <v>84233</v>
      </c>
      <c r="E1397" s="14" t="s">
        <v>1747</v>
      </c>
      <c r="F1397" s="14" t="s">
        <v>1532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1748</v>
      </c>
      <c r="L1397" s="14" t="s">
        <v>181</v>
      </c>
      <c r="P1397" s="14" t="s">
        <v>31</v>
      </c>
      <c r="Q1397" s="14" t="s">
        <v>31</v>
      </c>
      <c r="R1397" s="14" t="s">
        <v>1536</v>
      </c>
    </row>
    <row r="1398" spans="1:18" s="14" customFormat="1" x14ac:dyDescent="0.25">
      <c r="A1398" s="14" t="str">
        <f>"10001"</f>
        <v>10001</v>
      </c>
      <c r="B1398" s="14" t="str">
        <f>"01730"</f>
        <v>01730</v>
      </c>
      <c r="C1398" s="14" t="str">
        <f>"1100"</f>
        <v>1100</v>
      </c>
      <c r="D1398" s="14" t="str">
        <f>"01730"</f>
        <v>01730</v>
      </c>
      <c r="E1398" s="14" t="s">
        <v>20</v>
      </c>
      <c r="F1398" s="14" t="s">
        <v>165</v>
      </c>
      <c r="G1398" s="14" t="str">
        <f>""</f>
        <v/>
      </c>
      <c r="H1398" s="14" t="str">
        <f>" 20"</f>
        <v xml:space="preserve"> 20</v>
      </c>
      <c r="I1398" s="14">
        <v>500.01</v>
      </c>
      <c r="J1398" s="14">
        <v>9999999.9900000002</v>
      </c>
      <c r="K1398" s="14" t="s">
        <v>154</v>
      </c>
      <c r="L1398" s="14" t="s">
        <v>147</v>
      </c>
      <c r="M1398" s="14" t="s">
        <v>166</v>
      </c>
      <c r="P1398" s="14" t="s">
        <v>39</v>
      </c>
      <c r="Q1398" s="14" t="s">
        <v>25</v>
      </c>
      <c r="R1398" s="14" t="s">
        <v>146</v>
      </c>
    </row>
    <row r="1399" spans="1:18" s="14" customFormat="1" x14ac:dyDescent="0.25">
      <c r="A1399" s="14" t="str">
        <f>"10001"</f>
        <v>10001</v>
      </c>
      <c r="B1399" s="14" t="str">
        <f>"01750"</f>
        <v>01750</v>
      </c>
      <c r="C1399" s="14" t="str">
        <f>"1100"</f>
        <v>1100</v>
      </c>
      <c r="D1399" s="14" t="str">
        <f>"01750"</f>
        <v>01750</v>
      </c>
      <c r="E1399" s="14" t="s">
        <v>20</v>
      </c>
      <c r="F1399" s="14" t="s">
        <v>167</v>
      </c>
      <c r="G1399" s="14" t="str">
        <f>""</f>
        <v/>
      </c>
      <c r="H1399" s="14" t="str">
        <f>" 20"</f>
        <v xml:space="preserve"> 20</v>
      </c>
      <c r="I1399" s="14">
        <v>500.01</v>
      </c>
      <c r="J1399" s="14">
        <v>9999999.9900000002</v>
      </c>
      <c r="K1399" s="14" t="s">
        <v>154</v>
      </c>
      <c r="L1399" s="14" t="s">
        <v>147</v>
      </c>
      <c r="M1399" s="14" t="s">
        <v>166</v>
      </c>
      <c r="P1399" s="14" t="s">
        <v>39</v>
      </c>
      <c r="Q1399" s="14" t="s">
        <v>25</v>
      </c>
      <c r="R1399" s="14" t="s">
        <v>146</v>
      </c>
    </row>
    <row r="1400" spans="1:18" s="14" customFormat="1" x14ac:dyDescent="0.25">
      <c r="A1400" s="14" t="str">
        <f>"84009"</f>
        <v>84009</v>
      </c>
      <c r="B1400" s="14" t="str">
        <f>"07020"</f>
        <v>07020</v>
      </c>
      <c r="C1400" s="14" t="str">
        <f>"1700"</f>
        <v>1700</v>
      </c>
      <c r="D1400" s="14" t="str">
        <f>"84009"</f>
        <v>84009</v>
      </c>
      <c r="E1400" s="14" t="s">
        <v>1541</v>
      </c>
      <c r="F1400" s="14" t="s">
        <v>1532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154</v>
      </c>
      <c r="L1400" s="14" t="s">
        <v>147</v>
      </c>
      <c r="M1400" s="14" t="s">
        <v>166</v>
      </c>
      <c r="P1400" s="14" t="s">
        <v>31</v>
      </c>
      <c r="Q1400" s="14" t="s">
        <v>31</v>
      </c>
      <c r="R1400" s="14" t="s">
        <v>146</v>
      </c>
    </row>
    <row r="1401" spans="1:18" s="14" customFormat="1" x14ac:dyDescent="0.25">
      <c r="A1401" s="14" t="str">
        <f>"84139"</f>
        <v>84139</v>
      </c>
      <c r="B1401" s="14" t="str">
        <f>"07020"</f>
        <v>07020</v>
      </c>
      <c r="C1401" s="14" t="str">
        <f>"1700"</f>
        <v>1700</v>
      </c>
      <c r="D1401" s="14" t="str">
        <f>"84139"</f>
        <v>84139</v>
      </c>
      <c r="E1401" s="14" t="s">
        <v>1666</v>
      </c>
      <c r="F1401" s="14" t="s">
        <v>1532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1667</v>
      </c>
      <c r="L1401" s="14" t="s">
        <v>72</v>
      </c>
      <c r="P1401" s="14" t="s">
        <v>31</v>
      </c>
      <c r="Q1401" s="14" t="s">
        <v>31</v>
      </c>
      <c r="R1401" s="14" t="s">
        <v>1667</v>
      </c>
    </row>
    <row r="1402" spans="1:18" s="14" customFormat="1" x14ac:dyDescent="0.25">
      <c r="A1402" s="14" t="str">
        <f>"84070"</f>
        <v>84070</v>
      </c>
      <c r="B1402" s="14" t="str">
        <f>"07020"</f>
        <v>07020</v>
      </c>
      <c r="C1402" s="14" t="str">
        <f>"1700"</f>
        <v>1700</v>
      </c>
      <c r="D1402" s="14" t="str">
        <f>"84070"</f>
        <v>84070</v>
      </c>
      <c r="E1402" s="14" t="s">
        <v>1611</v>
      </c>
      <c r="F1402" s="14" t="s">
        <v>1532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1534</v>
      </c>
      <c r="L1402" s="14" t="s">
        <v>387</v>
      </c>
      <c r="M1402" s="14" t="s">
        <v>386</v>
      </c>
      <c r="P1402" s="14" t="s">
        <v>31</v>
      </c>
      <c r="Q1402" s="14" t="s">
        <v>31</v>
      </c>
      <c r="R1402" s="14" t="s">
        <v>1534</v>
      </c>
    </row>
    <row r="1403" spans="1:18" s="14" customFormat="1" x14ac:dyDescent="0.25">
      <c r="A1403" s="14" t="str">
        <f>"84034"</f>
        <v>84034</v>
      </c>
      <c r="B1403" s="14" t="str">
        <f>"07020"</f>
        <v>07020</v>
      </c>
      <c r="C1403" s="14" t="str">
        <f>"1700"</f>
        <v>1700</v>
      </c>
      <c r="D1403" s="14" t="str">
        <f>"84034"</f>
        <v>84034</v>
      </c>
      <c r="E1403" s="14" t="s">
        <v>1577</v>
      </c>
      <c r="F1403" s="14" t="s">
        <v>1532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166</v>
      </c>
      <c r="L1403" s="14" t="s">
        <v>147</v>
      </c>
      <c r="P1403" s="14" t="s">
        <v>31</v>
      </c>
      <c r="Q1403" s="14" t="s">
        <v>31</v>
      </c>
      <c r="R1403" s="14" t="s">
        <v>166</v>
      </c>
    </row>
    <row r="1404" spans="1:18" s="14" customFormat="1" x14ac:dyDescent="0.25">
      <c r="A1404" s="14" t="str">
        <f>"10001"</f>
        <v>10001</v>
      </c>
      <c r="B1404" s="14" t="str">
        <f>"05080"</f>
        <v>05080</v>
      </c>
      <c r="C1404" s="14" t="str">
        <f>"1700"</f>
        <v>1700</v>
      </c>
      <c r="D1404" s="14" t="str">
        <f>"05080"</f>
        <v>05080</v>
      </c>
      <c r="E1404" s="14" t="s">
        <v>20</v>
      </c>
      <c r="F1404" s="14" t="s">
        <v>385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386</v>
      </c>
      <c r="L1404" s="14" t="s">
        <v>47</v>
      </c>
      <c r="M1404" s="14" t="s">
        <v>387</v>
      </c>
      <c r="P1404" s="14" t="s">
        <v>31</v>
      </c>
      <c r="Q1404" s="14" t="s">
        <v>25</v>
      </c>
      <c r="R1404" s="14" t="s">
        <v>388</v>
      </c>
    </row>
    <row r="1405" spans="1:18" s="14" customFormat="1" x14ac:dyDescent="0.25">
      <c r="A1405" s="14" t="str">
        <f>"16007"</f>
        <v>16007</v>
      </c>
      <c r="B1405" s="14" t="str">
        <f>"05080"</f>
        <v>05080</v>
      </c>
      <c r="C1405" s="14" t="str">
        <f>"1700"</f>
        <v>1700</v>
      </c>
      <c r="D1405" s="14" t="str">
        <f>"16007"</f>
        <v>16007</v>
      </c>
      <c r="E1405" s="14" t="s">
        <v>385</v>
      </c>
      <c r="F1405" s="14" t="s">
        <v>385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386</v>
      </c>
      <c r="L1405" s="14" t="s">
        <v>47</v>
      </c>
      <c r="M1405" s="14" t="s">
        <v>387</v>
      </c>
      <c r="P1405" s="14" t="s">
        <v>31</v>
      </c>
      <c r="Q1405" s="14" t="s">
        <v>25</v>
      </c>
      <c r="R1405" s="14" t="s">
        <v>388</v>
      </c>
    </row>
    <row r="1406" spans="1:18" s="14" customFormat="1" x14ac:dyDescent="0.25">
      <c r="A1406" s="14" t="str">
        <f>"16008"</f>
        <v>16008</v>
      </c>
      <c r="B1406" s="14" t="str">
        <f>"05080"</f>
        <v>05080</v>
      </c>
      <c r="C1406" s="14" t="str">
        <f>"1700"</f>
        <v>1700</v>
      </c>
      <c r="D1406" s="14" t="str">
        <f>"16008"</f>
        <v>16008</v>
      </c>
      <c r="E1406" s="14" t="s">
        <v>527</v>
      </c>
      <c r="F1406" s="14" t="s">
        <v>385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386</v>
      </c>
      <c r="L1406" s="14" t="s">
        <v>47</v>
      </c>
      <c r="M1406" s="14" t="s">
        <v>387</v>
      </c>
      <c r="P1406" s="14" t="s">
        <v>31</v>
      </c>
      <c r="Q1406" s="14" t="s">
        <v>25</v>
      </c>
      <c r="R1406" s="14" t="s">
        <v>388</v>
      </c>
    </row>
    <row r="1407" spans="1:18" s="14" customFormat="1" x14ac:dyDescent="0.25">
      <c r="A1407" s="14" t="str">
        <f>"16061"</f>
        <v>16061</v>
      </c>
      <c r="B1407" s="14" t="str">
        <f>"05080"</f>
        <v>05080</v>
      </c>
      <c r="C1407" s="14" t="str">
        <f>"1700"</f>
        <v>1700</v>
      </c>
      <c r="D1407" s="14" t="str">
        <f>"16061"</f>
        <v>16061</v>
      </c>
      <c r="E1407" s="14" t="s">
        <v>575</v>
      </c>
      <c r="F1407" s="14" t="s">
        <v>385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386</v>
      </c>
      <c r="L1407" s="14" t="s">
        <v>47</v>
      </c>
      <c r="M1407" s="14" t="s">
        <v>387</v>
      </c>
      <c r="P1407" s="14" t="s">
        <v>31</v>
      </c>
      <c r="Q1407" s="14" t="s">
        <v>25</v>
      </c>
      <c r="R1407" s="14" t="s">
        <v>388</v>
      </c>
    </row>
    <row r="1408" spans="1:18" s="14" customFormat="1" x14ac:dyDescent="0.25">
      <c r="A1408" s="14" t="str">
        <f>"18608"</f>
        <v>18608</v>
      </c>
      <c r="B1408" s="14" t="str">
        <f>"05080"</f>
        <v>05080</v>
      </c>
      <c r="C1408" s="14" t="str">
        <f>"1800"</f>
        <v>1800</v>
      </c>
      <c r="D1408" s="14" t="str">
        <f>""</f>
        <v/>
      </c>
      <c r="E1408" s="14" t="s">
        <v>741</v>
      </c>
      <c r="F1408" s="14" t="s">
        <v>385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386</v>
      </c>
      <c r="L1408" s="14" t="s">
        <v>47</v>
      </c>
      <c r="M1408" s="14" t="s">
        <v>387</v>
      </c>
      <c r="P1408" s="14" t="s">
        <v>31</v>
      </c>
      <c r="Q1408" s="14" t="s">
        <v>25</v>
      </c>
      <c r="R1408" s="14" t="s">
        <v>388</v>
      </c>
    </row>
    <row r="1409" spans="1:18" s="14" customFormat="1" x14ac:dyDescent="0.25">
      <c r="A1409" s="14" t="str">
        <f>"22654"</f>
        <v>22654</v>
      </c>
      <c r="B1409" s="14" t="str">
        <f>"05080"</f>
        <v>05080</v>
      </c>
      <c r="C1409" s="14" t="str">
        <f>"1600"</f>
        <v>1600</v>
      </c>
      <c r="D1409" s="14" t="str">
        <f>"22654"</f>
        <v>22654</v>
      </c>
      <c r="E1409" s="14" t="s">
        <v>874</v>
      </c>
      <c r="F1409" s="14" t="s">
        <v>385</v>
      </c>
      <c r="G1409" s="14" t="str">
        <f>"GR0022654"</f>
        <v>GR0022654</v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386</v>
      </c>
      <c r="L1409" s="14" t="s">
        <v>875</v>
      </c>
      <c r="M1409" s="14" t="s">
        <v>53</v>
      </c>
      <c r="O1409" s="14" t="s">
        <v>386</v>
      </c>
      <c r="P1409" s="14" t="s">
        <v>701</v>
      </c>
      <c r="Q1409" s="14" t="s">
        <v>701</v>
      </c>
      <c r="R1409" s="14" t="s">
        <v>875</v>
      </c>
    </row>
    <row r="1410" spans="1:18" s="14" customFormat="1" x14ac:dyDescent="0.25">
      <c r="A1410" s="14" t="str">
        <f>"84004"</f>
        <v>84004</v>
      </c>
      <c r="B1410" s="14" t="str">
        <f>"07020"</f>
        <v>07020</v>
      </c>
      <c r="C1410" s="14" t="str">
        <f>"1700"</f>
        <v>1700</v>
      </c>
      <c r="D1410" s="14" t="str">
        <f>"84004"</f>
        <v>84004</v>
      </c>
      <c r="E1410" s="14" t="s">
        <v>1533</v>
      </c>
      <c r="F1410" s="14" t="s">
        <v>1532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386</v>
      </c>
      <c r="L1410" s="14" t="s">
        <v>1534</v>
      </c>
      <c r="M1410" s="14" t="s">
        <v>387</v>
      </c>
      <c r="P1410" s="14" t="s">
        <v>31</v>
      </c>
      <c r="Q1410" s="14" t="s">
        <v>31</v>
      </c>
      <c r="R1410" s="14" t="s">
        <v>388</v>
      </c>
    </row>
    <row r="1411" spans="1:18" s="14" customFormat="1" x14ac:dyDescent="0.25">
      <c r="A1411" s="14" t="str">
        <f>"84090"</f>
        <v>84090</v>
      </c>
      <c r="B1411" s="14" t="str">
        <f>"07020"</f>
        <v>07020</v>
      </c>
      <c r="C1411" s="14" t="str">
        <f>"1700"</f>
        <v>1700</v>
      </c>
      <c r="D1411" s="14" t="str">
        <f>"84090"</f>
        <v>84090</v>
      </c>
      <c r="E1411" s="14" t="s">
        <v>1624</v>
      </c>
      <c r="F1411" s="14" t="s">
        <v>1532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386</v>
      </c>
      <c r="L1411" s="14" t="s">
        <v>392</v>
      </c>
      <c r="M1411" s="14" t="s">
        <v>1625</v>
      </c>
      <c r="P1411" s="14" t="s">
        <v>31</v>
      </c>
      <c r="Q1411" s="14" t="s">
        <v>31</v>
      </c>
      <c r="R1411" s="14" t="s">
        <v>388</v>
      </c>
    </row>
    <row r="1412" spans="1:18" s="14" customFormat="1" x14ac:dyDescent="0.25">
      <c r="A1412" s="14" t="str">
        <f>"84164"</f>
        <v>84164</v>
      </c>
      <c r="B1412" s="14" t="str">
        <f>"07020"</f>
        <v>07020</v>
      </c>
      <c r="C1412" s="14" t="str">
        <f>"1700"</f>
        <v>1700</v>
      </c>
      <c r="D1412" s="14" t="str">
        <f>"84164"</f>
        <v>84164</v>
      </c>
      <c r="E1412" s="14" t="s">
        <v>1682</v>
      </c>
      <c r="F1412" s="14" t="s">
        <v>1532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386</v>
      </c>
      <c r="L1412" s="14" t="s">
        <v>1534</v>
      </c>
      <c r="M1412" s="14" t="s">
        <v>387</v>
      </c>
      <c r="P1412" s="14" t="s">
        <v>31</v>
      </c>
      <c r="Q1412" s="14" t="s">
        <v>31</v>
      </c>
      <c r="R1412" s="14" t="s">
        <v>388</v>
      </c>
    </row>
    <row r="1413" spans="1:18" s="14" customFormat="1" x14ac:dyDescent="0.25">
      <c r="A1413" s="14" t="str">
        <f>"84235"</f>
        <v>84235</v>
      </c>
      <c r="B1413" s="14" t="str">
        <f>"07020"</f>
        <v>07020</v>
      </c>
      <c r="C1413" s="14" t="str">
        <f>"1700"</f>
        <v>1700</v>
      </c>
      <c r="D1413" s="14" t="str">
        <f>"84235"</f>
        <v>84235</v>
      </c>
      <c r="E1413" s="14" t="s">
        <v>1750</v>
      </c>
      <c r="F1413" s="14" t="s">
        <v>1532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386</v>
      </c>
      <c r="L1413" s="14" t="s">
        <v>1534</v>
      </c>
      <c r="P1413" s="14" t="s">
        <v>31</v>
      </c>
      <c r="Q1413" s="14" t="s">
        <v>31</v>
      </c>
      <c r="R1413" s="14" t="s">
        <v>388</v>
      </c>
    </row>
    <row r="1414" spans="1:18" s="14" customFormat="1" x14ac:dyDescent="0.25">
      <c r="A1414" s="14" t="str">
        <f>"84251"</f>
        <v>84251</v>
      </c>
      <c r="B1414" s="14" t="str">
        <f>"07020"</f>
        <v>07020</v>
      </c>
      <c r="C1414" s="14" t="str">
        <f>"1700"</f>
        <v>1700</v>
      </c>
      <c r="D1414" s="14" t="str">
        <f>"84251"</f>
        <v>84251</v>
      </c>
      <c r="E1414" s="14" t="s">
        <v>1769</v>
      </c>
      <c r="F1414" s="14" t="s">
        <v>1532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1630</v>
      </c>
      <c r="L1414" s="14" t="s">
        <v>392</v>
      </c>
      <c r="M1414" s="14" t="s">
        <v>72</v>
      </c>
      <c r="P1414" s="14" t="s">
        <v>31</v>
      </c>
      <c r="Q1414" s="14" t="s">
        <v>25</v>
      </c>
      <c r="R1414" s="14" t="s">
        <v>392</v>
      </c>
    </row>
    <row r="1415" spans="1:18" s="14" customFormat="1" x14ac:dyDescent="0.25">
      <c r="A1415" s="14" t="str">
        <f>"10001"</f>
        <v>10001</v>
      </c>
      <c r="B1415" s="14" t="str">
        <f>"01230"</f>
        <v>01230</v>
      </c>
      <c r="C1415" s="14" t="str">
        <f>"1300"</f>
        <v>1300</v>
      </c>
      <c r="D1415" s="14" t="str">
        <f>"01230"</f>
        <v>01230</v>
      </c>
      <c r="E1415" s="14" t="s">
        <v>20</v>
      </c>
      <c r="F1415" s="14" t="s">
        <v>75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76</v>
      </c>
      <c r="L1415" s="14" t="s">
        <v>77</v>
      </c>
      <c r="M1415" s="14" t="s">
        <v>78</v>
      </c>
      <c r="P1415" s="14" t="s">
        <v>31</v>
      </c>
      <c r="Q1415" s="14" t="s">
        <v>25</v>
      </c>
      <c r="R1415" s="14" t="s">
        <v>79</v>
      </c>
    </row>
    <row r="1416" spans="1:18" s="14" customFormat="1" x14ac:dyDescent="0.25">
      <c r="A1416" s="14" t="str">
        <f>"11002"</f>
        <v>11002</v>
      </c>
      <c r="B1416" s="14" t="str">
        <f>"01230"</f>
        <v>01230</v>
      </c>
      <c r="C1416" s="14" t="str">
        <f>"1300"</f>
        <v>1300</v>
      </c>
      <c r="D1416" s="14" t="str">
        <f>""</f>
        <v/>
      </c>
      <c r="E1416" s="14" t="s">
        <v>436</v>
      </c>
      <c r="F1416" s="14" t="s">
        <v>75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76</v>
      </c>
      <c r="L1416" s="14" t="s">
        <v>77</v>
      </c>
      <c r="M1416" s="14" t="s">
        <v>78</v>
      </c>
      <c r="P1416" s="14" t="s">
        <v>25</v>
      </c>
      <c r="Q1416" s="14" t="s">
        <v>25</v>
      </c>
      <c r="R1416" s="14" t="s">
        <v>79</v>
      </c>
    </row>
    <row r="1417" spans="1:18" s="14" customFormat="1" x14ac:dyDescent="0.25">
      <c r="A1417" s="14" t="str">
        <f>"18508"</f>
        <v>18508</v>
      </c>
      <c r="B1417" s="14" t="str">
        <f>"01230"</f>
        <v>01230</v>
      </c>
      <c r="C1417" s="14" t="str">
        <f>"1300"</f>
        <v>1300</v>
      </c>
      <c r="D1417" s="14" t="str">
        <f>""</f>
        <v/>
      </c>
      <c r="E1417" s="14" t="s">
        <v>707</v>
      </c>
      <c r="F1417" s="14" t="s">
        <v>75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76</v>
      </c>
      <c r="L1417" s="14" t="s">
        <v>78</v>
      </c>
      <c r="P1417" s="14" t="s">
        <v>701</v>
      </c>
      <c r="Q1417" s="14" t="s">
        <v>25</v>
      </c>
      <c r="R1417" s="14" t="s">
        <v>79</v>
      </c>
    </row>
    <row r="1418" spans="1:18" s="14" customFormat="1" x14ac:dyDescent="0.25">
      <c r="A1418" s="14" t="str">
        <f>"84241"</f>
        <v>84241</v>
      </c>
      <c r="B1418" s="14" t="str">
        <f>"07020"</f>
        <v>07020</v>
      </c>
      <c r="C1418" s="14" t="str">
        <f>"1700"</f>
        <v>1700</v>
      </c>
      <c r="D1418" s="14" t="str">
        <f>"84241"</f>
        <v>84241</v>
      </c>
      <c r="E1418" s="14" t="s">
        <v>1758</v>
      </c>
      <c r="F1418" s="14" t="s">
        <v>1532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779</v>
      </c>
      <c r="L1418" s="14" t="s">
        <v>392</v>
      </c>
      <c r="M1418" s="14" t="s">
        <v>72</v>
      </c>
      <c r="P1418" s="14" t="s">
        <v>31</v>
      </c>
      <c r="Q1418" s="14" t="s">
        <v>31</v>
      </c>
      <c r="R1418" s="14" t="s">
        <v>779</v>
      </c>
    </row>
    <row r="1419" spans="1:18" s="14" customFormat="1" x14ac:dyDescent="0.25">
      <c r="A1419" s="14" t="str">
        <f>"31010"</f>
        <v>31010</v>
      </c>
      <c r="B1419" s="14" t="str">
        <f>"05170"</f>
        <v>05170</v>
      </c>
      <c r="C1419" s="14" t="str">
        <f>"1921"</f>
        <v>1921</v>
      </c>
      <c r="D1419" s="14" t="str">
        <f>"05170A"</f>
        <v>05170A</v>
      </c>
      <c r="E1419" s="14" t="s">
        <v>954</v>
      </c>
      <c r="F1419" s="14" t="s">
        <v>954</v>
      </c>
      <c r="G1419" s="14" t="str">
        <f>""</f>
        <v/>
      </c>
      <c r="H1419" s="14" t="str">
        <f>" 20"</f>
        <v xml:space="preserve"> 20</v>
      </c>
      <c r="I1419" s="14">
        <v>500.01</v>
      </c>
      <c r="J1419" s="14">
        <v>9999999.9900000002</v>
      </c>
      <c r="K1419" s="14" t="s">
        <v>956</v>
      </c>
      <c r="L1419" s="14" t="s">
        <v>957</v>
      </c>
      <c r="M1419" s="14" t="s">
        <v>47</v>
      </c>
      <c r="P1419" s="14" t="s">
        <v>31</v>
      </c>
      <c r="Q1419" s="14" t="s">
        <v>25</v>
      </c>
      <c r="R1419" s="14" t="s">
        <v>955</v>
      </c>
    </row>
    <row r="1420" spans="1:18" s="14" customFormat="1" x14ac:dyDescent="0.25">
      <c r="A1420" s="14" t="str">
        <f>"31010"</f>
        <v>31010</v>
      </c>
      <c r="B1420" s="14" t="str">
        <f>"05175"</f>
        <v>05175</v>
      </c>
      <c r="C1420" s="14" t="str">
        <f>"1921"</f>
        <v>1921</v>
      </c>
      <c r="D1420" s="14" t="str">
        <f>""</f>
        <v/>
      </c>
      <c r="E1420" s="14" t="s">
        <v>954</v>
      </c>
      <c r="F1420" s="14" t="s">
        <v>958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956</v>
      </c>
      <c r="L1420" s="14" t="s">
        <v>957</v>
      </c>
      <c r="M1420" s="14" t="s">
        <v>47</v>
      </c>
      <c r="P1420" s="14" t="s">
        <v>31</v>
      </c>
      <c r="Q1420" s="14" t="s">
        <v>25</v>
      </c>
      <c r="R1420" s="14" t="s">
        <v>955</v>
      </c>
    </row>
    <row r="1421" spans="1:18" s="14" customFormat="1" x14ac:dyDescent="0.25">
      <c r="A1421" s="14" t="str">
        <f>"31010"</f>
        <v>31010</v>
      </c>
      <c r="B1421" s="14" t="str">
        <f>"05190"</f>
        <v>05190</v>
      </c>
      <c r="C1421" s="14" t="str">
        <f>"1921"</f>
        <v>1921</v>
      </c>
      <c r="D1421" s="14" t="str">
        <f>"05190"</f>
        <v>05190</v>
      </c>
      <c r="E1421" s="14" t="s">
        <v>954</v>
      </c>
      <c r="F1421" s="14" t="s">
        <v>959</v>
      </c>
      <c r="G1421" s="14" t="str">
        <f>""</f>
        <v/>
      </c>
      <c r="H1421" s="14" t="str">
        <f>" 20"</f>
        <v xml:space="preserve"> 20</v>
      </c>
      <c r="I1421" s="14">
        <v>500.01</v>
      </c>
      <c r="J1421" s="14">
        <v>9999999.9900000002</v>
      </c>
      <c r="K1421" s="14" t="s">
        <v>956</v>
      </c>
      <c r="L1421" s="14" t="s">
        <v>957</v>
      </c>
      <c r="M1421" s="14" t="s">
        <v>47</v>
      </c>
      <c r="P1421" s="14" t="s">
        <v>31</v>
      </c>
      <c r="Q1421" s="14" t="s">
        <v>25</v>
      </c>
      <c r="R1421" s="14" t="s">
        <v>955</v>
      </c>
    </row>
    <row r="1422" spans="1:18" s="14" customFormat="1" x14ac:dyDescent="0.25">
      <c r="A1422" s="14" t="str">
        <f>"31010"</f>
        <v>31010</v>
      </c>
      <c r="B1422" s="14" t="str">
        <f>"05210"</f>
        <v>05210</v>
      </c>
      <c r="C1422" s="14" t="str">
        <f>"1921"</f>
        <v>1921</v>
      </c>
      <c r="D1422" s="14" t="str">
        <f>"05210"</f>
        <v>05210</v>
      </c>
      <c r="E1422" s="14" t="s">
        <v>954</v>
      </c>
      <c r="F1422" s="14" t="s">
        <v>960</v>
      </c>
      <c r="G1422" s="14" t="str">
        <f>""</f>
        <v/>
      </c>
      <c r="H1422" s="14" t="str">
        <f>" 20"</f>
        <v xml:space="preserve"> 20</v>
      </c>
      <c r="I1422" s="14">
        <v>500.01</v>
      </c>
      <c r="J1422" s="14">
        <v>9999999.9900000002</v>
      </c>
      <c r="K1422" s="14" t="s">
        <v>956</v>
      </c>
      <c r="L1422" s="14" t="s">
        <v>957</v>
      </c>
      <c r="M1422" s="14" t="s">
        <v>47</v>
      </c>
      <c r="P1422" s="14" t="s">
        <v>31</v>
      </c>
      <c r="Q1422" s="14" t="s">
        <v>25</v>
      </c>
      <c r="R1422" s="14" t="s">
        <v>955</v>
      </c>
    </row>
    <row r="1423" spans="1:18" s="14" customFormat="1" x14ac:dyDescent="0.25">
      <c r="A1423" s="14" t="str">
        <f>"31010"</f>
        <v>31010</v>
      </c>
      <c r="B1423" s="14" t="str">
        <f>"05220"</f>
        <v>05220</v>
      </c>
      <c r="C1423" s="14" t="str">
        <f>"1921"</f>
        <v>1921</v>
      </c>
      <c r="D1423" s="14" t="str">
        <f>"05220"</f>
        <v>05220</v>
      </c>
      <c r="E1423" s="14" t="s">
        <v>954</v>
      </c>
      <c r="F1423" s="14" t="s">
        <v>961</v>
      </c>
      <c r="G1423" s="14" t="str">
        <f>""</f>
        <v/>
      </c>
      <c r="H1423" s="14" t="str">
        <f>" 20"</f>
        <v xml:space="preserve"> 20</v>
      </c>
      <c r="I1423" s="14">
        <v>500.01</v>
      </c>
      <c r="J1423" s="14">
        <v>9999999.9900000002</v>
      </c>
      <c r="K1423" s="14" t="s">
        <v>956</v>
      </c>
      <c r="L1423" s="14" t="s">
        <v>957</v>
      </c>
      <c r="M1423" s="14" t="s">
        <v>47</v>
      </c>
      <c r="P1423" s="14" t="s">
        <v>31</v>
      </c>
      <c r="Q1423" s="14" t="s">
        <v>25</v>
      </c>
      <c r="R1423" s="14" t="s">
        <v>955</v>
      </c>
    </row>
    <row r="1424" spans="1:18" s="14" customFormat="1" x14ac:dyDescent="0.25">
      <c r="A1424" s="14" t="str">
        <f>"31015"</f>
        <v>31015</v>
      </c>
      <c r="B1424" s="14" t="str">
        <f>"05170"</f>
        <v>05170</v>
      </c>
      <c r="C1424" s="14" t="str">
        <f>"1921"</f>
        <v>1921</v>
      </c>
      <c r="D1424" s="14" t="str">
        <f>"05170B"</f>
        <v>05170B</v>
      </c>
      <c r="E1424" s="14" t="s">
        <v>962</v>
      </c>
      <c r="F1424" s="14" t="s">
        <v>954</v>
      </c>
      <c r="G1424" s="14" t="str">
        <f>""</f>
        <v/>
      </c>
      <c r="H1424" s="14" t="str">
        <f>" 20"</f>
        <v xml:space="preserve"> 20</v>
      </c>
      <c r="I1424" s="14">
        <v>500.01</v>
      </c>
      <c r="J1424" s="14">
        <v>9999999.9900000002</v>
      </c>
      <c r="K1424" s="14" t="s">
        <v>956</v>
      </c>
      <c r="L1424" s="14" t="s">
        <v>957</v>
      </c>
      <c r="M1424" s="14" t="s">
        <v>47</v>
      </c>
      <c r="P1424" s="14" t="s">
        <v>31</v>
      </c>
      <c r="Q1424" s="14" t="s">
        <v>25</v>
      </c>
      <c r="R1424" s="14" t="s">
        <v>955</v>
      </c>
    </row>
    <row r="1425" spans="1:18" s="14" customFormat="1" x14ac:dyDescent="0.25">
      <c r="A1425" s="14" t="str">
        <f>"31015"</f>
        <v>31015</v>
      </c>
      <c r="B1425" s="14" t="str">
        <f>"05200"</f>
        <v>05200</v>
      </c>
      <c r="C1425" s="14" t="str">
        <f>"1921"</f>
        <v>1921</v>
      </c>
      <c r="D1425" s="14" t="str">
        <f>"05200"</f>
        <v>05200</v>
      </c>
      <c r="E1425" s="14" t="s">
        <v>962</v>
      </c>
      <c r="F1425" s="14" t="s">
        <v>963</v>
      </c>
      <c r="G1425" s="14" t="str">
        <f>""</f>
        <v/>
      </c>
      <c r="H1425" s="14" t="str">
        <f>" 20"</f>
        <v xml:space="preserve"> 20</v>
      </c>
      <c r="I1425" s="14">
        <v>500.01</v>
      </c>
      <c r="J1425" s="14">
        <v>9999999.9900000002</v>
      </c>
      <c r="K1425" s="14" t="s">
        <v>956</v>
      </c>
      <c r="L1425" s="14" t="s">
        <v>957</v>
      </c>
      <c r="M1425" s="14" t="s">
        <v>47</v>
      </c>
      <c r="P1425" s="14" t="s">
        <v>31</v>
      </c>
      <c r="Q1425" s="14" t="s">
        <v>25</v>
      </c>
      <c r="R1425" s="14" t="s">
        <v>955</v>
      </c>
    </row>
    <row r="1426" spans="1:18" s="14" customFormat="1" x14ac:dyDescent="0.25">
      <c r="A1426" s="14" t="str">
        <f>"10001"</f>
        <v>10001</v>
      </c>
      <c r="B1426" s="14" t="str">
        <f>"01810"</f>
        <v>01810</v>
      </c>
      <c r="C1426" s="14" t="str">
        <f>"1100"</f>
        <v>1100</v>
      </c>
      <c r="D1426" s="14" t="str">
        <f>"01810"</f>
        <v>01810</v>
      </c>
      <c r="E1426" s="14" t="s">
        <v>20</v>
      </c>
      <c r="F1426" s="14" t="s">
        <v>183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184</v>
      </c>
      <c r="L1426" s="14" t="s">
        <v>112</v>
      </c>
      <c r="M1426" s="14" t="s">
        <v>113</v>
      </c>
      <c r="N1426" s="14" t="s">
        <v>114</v>
      </c>
      <c r="P1426" s="14" t="s">
        <v>31</v>
      </c>
      <c r="Q1426" s="14" t="s">
        <v>25</v>
      </c>
      <c r="R1426" s="14" t="s">
        <v>115</v>
      </c>
    </row>
    <row r="1427" spans="1:18" s="14" customFormat="1" x14ac:dyDescent="0.25">
      <c r="A1427" s="14" t="str">
        <f>"18518"</f>
        <v>18518</v>
      </c>
      <c r="B1427" s="14" t="str">
        <f>"01810"</f>
        <v>01810</v>
      </c>
      <c r="C1427" s="14" t="str">
        <f>"1100"</f>
        <v>1100</v>
      </c>
      <c r="D1427" s="14" t="str">
        <f>""</f>
        <v/>
      </c>
      <c r="E1427" s="14" t="s">
        <v>715</v>
      </c>
      <c r="F1427" s="14" t="s">
        <v>183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184</v>
      </c>
      <c r="L1427" s="14" t="s">
        <v>112</v>
      </c>
      <c r="M1427" s="14" t="s">
        <v>113</v>
      </c>
      <c r="N1427" s="14" t="s">
        <v>114</v>
      </c>
      <c r="P1427" s="14" t="s">
        <v>701</v>
      </c>
      <c r="Q1427" s="14" t="s">
        <v>25</v>
      </c>
      <c r="R1427" s="14" t="s">
        <v>115</v>
      </c>
    </row>
    <row r="1428" spans="1:18" s="14" customFormat="1" x14ac:dyDescent="0.25">
      <c r="A1428" s="14" t="str">
        <f>"19262"</f>
        <v>19262</v>
      </c>
      <c r="B1428" s="14" t="str">
        <f>"01810"</f>
        <v>01810</v>
      </c>
      <c r="C1428" s="14" t="str">
        <f>"1200"</f>
        <v>1200</v>
      </c>
      <c r="D1428" s="14" t="str">
        <f>"19262"</f>
        <v>19262</v>
      </c>
      <c r="E1428" s="14" t="s">
        <v>774</v>
      </c>
      <c r="F1428" s="14" t="s">
        <v>183</v>
      </c>
      <c r="G1428" s="14" t="str">
        <f>"GR0019262"</f>
        <v>GR0019262</v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184</v>
      </c>
      <c r="L1428" s="14" t="s">
        <v>112</v>
      </c>
      <c r="M1428" s="14" t="s">
        <v>113</v>
      </c>
      <c r="N1428" s="14" t="s">
        <v>114</v>
      </c>
      <c r="O1428" s="14" t="s">
        <v>775</v>
      </c>
      <c r="P1428" s="14" t="s">
        <v>31</v>
      </c>
      <c r="Q1428" s="14" t="s">
        <v>31</v>
      </c>
      <c r="R1428" s="14" t="s">
        <v>115</v>
      </c>
    </row>
    <row r="1429" spans="1:18" s="14" customFormat="1" x14ac:dyDescent="0.25">
      <c r="A1429" s="14" t="str">
        <f>"21215"</f>
        <v>21215</v>
      </c>
      <c r="B1429" s="14" t="str">
        <f>"01810"</f>
        <v>01810</v>
      </c>
      <c r="C1429" s="14" t="str">
        <f>"1200"</f>
        <v>1200</v>
      </c>
      <c r="D1429" s="14" t="str">
        <f>"21215"</f>
        <v>21215</v>
      </c>
      <c r="E1429" s="14" t="s">
        <v>863</v>
      </c>
      <c r="F1429" s="14" t="s">
        <v>183</v>
      </c>
      <c r="G1429" s="14" t="str">
        <f>"GR0021215"</f>
        <v>GR0021215</v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184</v>
      </c>
      <c r="L1429" s="14" t="s">
        <v>112</v>
      </c>
      <c r="M1429" s="14" t="s">
        <v>113</v>
      </c>
      <c r="N1429" s="14" t="s">
        <v>114</v>
      </c>
      <c r="O1429" s="14" t="s">
        <v>184</v>
      </c>
      <c r="P1429" s="14" t="s">
        <v>701</v>
      </c>
      <c r="Q1429" s="14" t="s">
        <v>701</v>
      </c>
      <c r="R1429" s="14" t="s">
        <v>115</v>
      </c>
    </row>
    <row r="1430" spans="1:18" s="14" customFormat="1" x14ac:dyDescent="0.25">
      <c r="A1430" s="14" t="str">
        <f>"21216"</f>
        <v>21216</v>
      </c>
      <c r="B1430" s="14" t="str">
        <f>"01810"</f>
        <v>01810</v>
      </c>
      <c r="C1430" s="14" t="str">
        <f>"1200"</f>
        <v>1200</v>
      </c>
      <c r="D1430" s="14" t="str">
        <f>"21216"</f>
        <v>21216</v>
      </c>
      <c r="E1430" s="14" t="s">
        <v>864</v>
      </c>
      <c r="F1430" s="14" t="s">
        <v>183</v>
      </c>
      <c r="G1430" s="14" t="str">
        <f>"GR0021215"</f>
        <v>GR0021215</v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184</v>
      </c>
      <c r="L1430" s="14" t="s">
        <v>112</v>
      </c>
      <c r="M1430" s="14" t="s">
        <v>113</v>
      </c>
      <c r="N1430" s="14" t="s">
        <v>114</v>
      </c>
      <c r="O1430" s="14" t="s">
        <v>184</v>
      </c>
      <c r="P1430" s="14" t="s">
        <v>701</v>
      </c>
      <c r="Q1430" s="14" t="s">
        <v>701</v>
      </c>
      <c r="R1430" s="14" t="s">
        <v>115</v>
      </c>
    </row>
    <row r="1431" spans="1:18" s="14" customFormat="1" x14ac:dyDescent="0.25">
      <c r="A1431" s="14" t="str">
        <f>"21217"</f>
        <v>21217</v>
      </c>
      <c r="B1431" s="14" t="str">
        <f>"01810"</f>
        <v>01810</v>
      </c>
      <c r="C1431" s="14" t="str">
        <f>"1200"</f>
        <v>1200</v>
      </c>
      <c r="D1431" s="14" t="str">
        <f>"21217"</f>
        <v>21217</v>
      </c>
      <c r="E1431" s="14" t="s">
        <v>865</v>
      </c>
      <c r="F1431" s="14" t="s">
        <v>183</v>
      </c>
      <c r="G1431" s="14" t="str">
        <f>"GR0021215"</f>
        <v>GR0021215</v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184</v>
      </c>
      <c r="L1431" s="14" t="s">
        <v>112</v>
      </c>
      <c r="M1431" s="14" t="s">
        <v>113</v>
      </c>
      <c r="N1431" s="14" t="s">
        <v>114</v>
      </c>
      <c r="O1431" s="14" t="s">
        <v>184</v>
      </c>
      <c r="P1431" s="14" t="s">
        <v>701</v>
      </c>
      <c r="Q1431" s="14" t="s">
        <v>701</v>
      </c>
      <c r="R1431" s="14" t="s">
        <v>115</v>
      </c>
    </row>
    <row r="1432" spans="1:18" s="14" customFormat="1" x14ac:dyDescent="0.25">
      <c r="A1432" s="14" t="str">
        <f>"21218"</f>
        <v>21218</v>
      </c>
      <c r="B1432" s="14" t="str">
        <f>"01810"</f>
        <v>01810</v>
      </c>
      <c r="C1432" s="14" t="str">
        <f>"1200"</f>
        <v>1200</v>
      </c>
      <c r="D1432" s="14" t="str">
        <f>"21218"</f>
        <v>21218</v>
      </c>
      <c r="E1432" s="14" t="s">
        <v>866</v>
      </c>
      <c r="F1432" s="14" t="s">
        <v>183</v>
      </c>
      <c r="G1432" s="14" t="str">
        <f>"GR0021215"</f>
        <v>GR0021215</v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184</v>
      </c>
      <c r="L1432" s="14" t="s">
        <v>112</v>
      </c>
      <c r="M1432" s="14" t="s">
        <v>113</v>
      </c>
      <c r="N1432" s="14" t="s">
        <v>114</v>
      </c>
      <c r="O1432" s="14" t="s">
        <v>184</v>
      </c>
      <c r="P1432" s="14" t="s">
        <v>701</v>
      </c>
      <c r="Q1432" s="14" t="s">
        <v>701</v>
      </c>
      <c r="R1432" s="14" t="s">
        <v>115</v>
      </c>
    </row>
    <row r="1433" spans="1:18" s="14" customFormat="1" x14ac:dyDescent="0.25">
      <c r="A1433" s="14" t="str">
        <f>"24271"</f>
        <v>24271</v>
      </c>
      <c r="B1433" s="14" t="str">
        <f>"01810"</f>
        <v>01810</v>
      </c>
      <c r="C1433" s="14" t="str">
        <f>"1700"</f>
        <v>1700</v>
      </c>
      <c r="D1433" s="14" t="str">
        <f>"24271"</f>
        <v>24271</v>
      </c>
      <c r="E1433" s="14" t="s">
        <v>892</v>
      </c>
      <c r="F1433" s="14" t="s">
        <v>183</v>
      </c>
      <c r="G1433" s="14" t="str">
        <f>"GR0024271"</f>
        <v>GR0024271</v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184</v>
      </c>
      <c r="L1433" s="14" t="s">
        <v>112</v>
      </c>
      <c r="M1433" s="14" t="s">
        <v>113</v>
      </c>
      <c r="N1433" s="14" t="s">
        <v>114</v>
      </c>
      <c r="O1433" s="14" t="s">
        <v>184</v>
      </c>
      <c r="P1433" s="14" t="s">
        <v>701</v>
      </c>
      <c r="Q1433" s="14" t="s">
        <v>701</v>
      </c>
      <c r="R1433" s="14" t="s">
        <v>115</v>
      </c>
    </row>
    <row r="1434" spans="1:18" s="14" customFormat="1" x14ac:dyDescent="0.25">
      <c r="A1434" s="14" t="str">
        <f>"24272"</f>
        <v>24272</v>
      </c>
      <c r="B1434" s="14" t="str">
        <f>"01810"</f>
        <v>01810</v>
      </c>
      <c r="C1434" s="14" t="str">
        <f>"1800"</f>
        <v>1800</v>
      </c>
      <c r="D1434" s="14" t="str">
        <f>""</f>
        <v/>
      </c>
      <c r="E1434" s="14" t="s">
        <v>893</v>
      </c>
      <c r="F1434" s="14" t="s">
        <v>183</v>
      </c>
      <c r="G1434" s="14" t="str">
        <f>"GR0024271"</f>
        <v>GR0024271</v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184</v>
      </c>
      <c r="L1434" s="14" t="s">
        <v>112</v>
      </c>
      <c r="M1434" s="14" t="s">
        <v>113</v>
      </c>
      <c r="N1434" s="14" t="s">
        <v>114</v>
      </c>
      <c r="O1434" s="14" t="s">
        <v>184</v>
      </c>
      <c r="P1434" s="14" t="s">
        <v>701</v>
      </c>
      <c r="Q1434" s="14" t="s">
        <v>701</v>
      </c>
      <c r="R1434" s="14" t="s">
        <v>115</v>
      </c>
    </row>
    <row r="1435" spans="1:18" s="14" customFormat="1" x14ac:dyDescent="0.25">
      <c r="A1435" s="14" t="str">
        <f>"24277"</f>
        <v>24277</v>
      </c>
      <c r="B1435" s="14" t="str">
        <f>"01810"</f>
        <v>01810</v>
      </c>
      <c r="C1435" s="14" t="str">
        <f>"1700"</f>
        <v>1700</v>
      </c>
      <c r="D1435" s="14" t="str">
        <f>"24277"</f>
        <v>24277</v>
      </c>
      <c r="E1435" s="14" t="s">
        <v>899</v>
      </c>
      <c r="F1435" s="14" t="s">
        <v>183</v>
      </c>
      <c r="G1435" s="14" t="str">
        <f>"GR0024277"</f>
        <v>GR0024277</v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184</v>
      </c>
      <c r="L1435" s="14" t="s">
        <v>112</v>
      </c>
      <c r="M1435" s="14" t="s">
        <v>113</v>
      </c>
      <c r="N1435" s="14" t="s">
        <v>114</v>
      </c>
      <c r="O1435" s="14" t="s">
        <v>184</v>
      </c>
      <c r="P1435" s="14" t="s">
        <v>701</v>
      </c>
      <c r="Q1435" s="14" t="s">
        <v>701</v>
      </c>
      <c r="R1435" s="14" t="s">
        <v>115</v>
      </c>
    </row>
    <row r="1436" spans="1:18" s="14" customFormat="1" x14ac:dyDescent="0.25">
      <c r="A1436" s="14" t="str">
        <f>"24278"</f>
        <v>24278</v>
      </c>
      <c r="B1436" s="14" t="str">
        <f>"01810"</f>
        <v>01810</v>
      </c>
      <c r="C1436" s="14" t="str">
        <f>"1800"</f>
        <v>1800</v>
      </c>
      <c r="D1436" s="14" t="str">
        <f>""</f>
        <v/>
      </c>
      <c r="E1436" s="14" t="s">
        <v>900</v>
      </c>
      <c r="F1436" s="14" t="s">
        <v>183</v>
      </c>
      <c r="G1436" s="14" t="str">
        <f>"GR0024277"</f>
        <v>GR0024277</v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184</v>
      </c>
      <c r="L1436" s="14" t="s">
        <v>112</v>
      </c>
      <c r="M1436" s="14" t="s">
        <v>113</v>
      </c>
      <c r="N1436" s="14" t="s">
        <v>114</v>
      </c>
      <c r="O1436" s="14" t="s">
        <v>184</v>
      </c>
      <c r="P1436" s="14" t="s">
        <v>701</v>
      </c>
      <c r="Q1436" s="14" t="s">
        <v>701</v>
      </c>
      <c r="R1436" s="14" t="s">
        <v>115</v>
      </c>
    </row>
    <row r="1437" spans="1:18" s="14" customFormat="1" x14ac:dyDescent="0.25">
      <c r="A1437" s="14" t="str">
        <f>"84086"</f>
        <v>84086</v>
      </c>
      <c r="B1437" s="14" t="str">
        <f>"07020"</f>
        <v>07020</v>
      </c>
      <c r="C1437" s="14" t="str">
        <f>"1700"</f>
        <v>1700</v>
      </c>
      <c r="D1437" s="14" t="str">
        <f>"84086"</f>
        <v>84086</v>
      </c>
      <c r="E1437" s="14" t="s">
        <v>1622</v>
      </c>
      <c r="F1437" s="14" t="s">
        <v>1532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184</v>
      </c>
      <c r="L1437" s="14" t="s">
        <v>37</v>
      </c>
      <c r="P1437" s="14" t="s">
        <v>31</v>
      </c>
      <c r="Q1437" s="14" t="s">
        <v>31</v>
      </c>
      <c r="R1437" s="14" t="s">
        <v>115</v>
      </c>
    </row>
    <row r="1438" spans="1:18" s="14" customFormat="1" x14ac:dyDescent="0.25">
      <c r="A1438" s="14" t="str">
        <f>"85025"</f>
        <v>85025</v>
      </c>
      <c r="B1438" s="14" t="str">
        <f>"07030"</f>
        <v>07030</v>
      </c>
      <c r="C1438" s="14" t="str">
        <f>"8000"</f>
        <v>8000</v>
      </c>
      <c r="D1438" s="14" t="str">
        <f>"85025"</f>
        <v>85025</v>
      </c>
      <c r="E1438" s="14" t="s">
        <v>1779</v>
      </c>
      <c r="F1438" s="14" t="s">
        <v>1776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184</v>
      </c>
      <c r="L1438" s="14" t="s">
        <v>37</v>
      </c>
      <c r="P1438" s="14" t="s">
        <v>31</v>
      </c>
      <c r="Q1438" s="14" t="s">
        <v>31</v>
      </c>
      <c r="R1438" s="14" t="s">
        <v>115</v>
      </c>
    </row>
    <row r="1439" spans="1:18" s="14" customFormat="1" x14ac:dyDescent="0.25">
      <c r="A1439" s="14" t="str">
        <f>"18106"</f>
        <v>18106</v>
      </c>
      <c r="B1439" s="14" t="str">
        <f>"00161"</f>
        <v>00161</v>
      </c>
      <c r="C1439" s="14" t="str">
        <f>"1600"</f>
        <v>1600</v>
      </c>
      <c r="D1439" s="14" t="str">
        <f>"00161"</f>
        <v>00161</v>
      </c>
      <c r="E1439" s="14" t="s">
        <v>673</v>
      </c>
      <c r="F1439" s="14" t="s">
        <v>674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25</v>
      </c>
      <c r="L1439" s="14" t="s">
        <v>34</v>
      </c>
      <c r="M1439" s="14" t="s">
        <v>23</v>
      </c>
      <c r="P1439" s="14" t="s">
        <v>31</v>
      </c>
      <c r="Q1439" s="14" t="s">
        <v>25</v>
      </c>
      <c r="R1439" s="14" t="s">
        <v>23</v>
      </c>
    </row>
    <row r="1440" spans="1:18" s="14" customFormat="1" x14ac:dyDescent="0.25">
      <c r="A1440" s="14" t="str">
        <f>"10001"</f>
        <v>10001</v>
      </c>
      <c r="B1440" s="14" t="str">
        <f>"01240"</f>
        <v>01240</v>
      </c>
      <c r="C1440" s="14" t="str">
        <f>"1400"</f>
        <v>1400</v>
      </c>
      <c r="D1440" s="14" t="str">
        <f>"01240"</f>
        <v>01240</v>
      </c>
      <c r="E1440" s="14" t="s">
        <v>20</v>
      </c>
      <c r="F1440" s="14" t="s">
        <v>80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81</v>
      </c>
      <c r="L1440" s="14" t="s">
        <v>37</v>
      </c>
      <c r="P1440" s="14" t="s">
        <v>31</v>
      </c>
      <c r="Q1440" s="14" t="s">
        <v>25</v>
      </c>
      <c r="R1440" s="14" t="s">
        <v>81</v>
      </c>
    </row>
    <row r="1441" spans="1:18" s="14" customFormat="1" x14ac:dyDescent="0.25">
      <c r="A1441" s="14" t="str">
        <f>"11036"</f>
        <v>11036</v>
      </c>
      <c r="B1441" s="14" t="str">
        <f>"01240"</f>
        <v>01240</v>
      </c>
      <c r="C1441" s="14" t="str">
        <f>"1400"</f>
        <v>1400</v>
      </c>
      <c r="D1441" s="14" t="str">
        <f>""</f>
        <v/>
      </c>
      <c r="E1441" s="14" t="s">
        <v>470</v>
      </c>
      <c r="F1441" s="14" t="s">
        <v>80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81</v>
      </c>
      <c r="L1441" s="14" t="s">
        <v>37</v>
      </c>
      <c r="P1441" s="14" t="s">
        <v>25</v>
      </c>
      <c r="Q1441" s="14" t="s">
        <v>25</v>
      </c>
      <c r="R1441" s="14" t="s">
        <v>81</v>
      </c>
    </row>
    <row r="1442" spans="1:18" s="14" customFormat="1" x14ac:dyDescent="0.25">
      <c r="A1442" s="14" t="str">
        <f>"84199"</f>
        <v>84199</v>
      </c>
      <c r="B1442" s="14" t="str">
        <f>"07020"</f>
        <v>07020</v>
      </c>
      <c r="C1442" s="14" t="str">
        <f>"1700"</f>
        <v>1700</v>
      </c>
      <c r="D1442" s="14" t="str">
        <f>"84199"</f>
        <v>84199</v>
      </c>
      <c r="E1442" s="14" t="s">
        <v>1704</v>
      </c>
      <c r="F1442" s="14" t="s">
        <v>1532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72</v>
      </c>
      <c r="L1442" s="14" t="s">
        <v>797</v>
      </c>
      <c r="P1442" s="14" t="s">
        <v>31</v>
      </c>
      <c r="Q1442" s="14" t="s">
        <v>31</v>
      </c>
      <c r="R1442" s="14" t="s">
        <v>72</v>
      </c>
    </row>
    <row r="1443" spans="1:18" s="14" customFormat="1" x14ac:dyDescent="0.25">
      <c r="A1443" s="14" t="str">
        <f>"10001"</f>
        <v>10001</v>
      </c>
      <c r="B1443" s="14" t="str">
        <f>"03094"</f>
        <v>03094</v>
      </c>
      <c r="C1443" s="14" t="str">
        <f>"1400"</f>
        <v>1400</v>
      </c>
      <c r="D1443" s="14" t="str">
        <f>"03094"</f>
        <v>03094</v>
      </c>
      <c r="E1443" s="14" t="s">
        <v>20</v>
      </c>
      <c r="F1443" s="14" t="s">
        <v>240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241</v>
      </c>
      <c r="L1443" s="14" t="s">
        <v>231</v>
      </c>
      <c r="P1443" s="14" t="s">
        <v>31</v>
      </c>
      <c r="Q1443" s="14" t="s">
        <v>25</v>
      </c>
      <c r="R1443" s="14" t="s">
        <v>242</v>
      </c>
    </row>
    <row r="1444" spans="1:18" s="14" customFormat="1" x14ac:dyDescent="0.25">
      <c r="A1444" s="14" t="str">
        <f>"11013"</f>
        <v>11013</v>
      </c>
      <c r="B1444" s="14" t="str">
        <f>"03094"</f>
        <v>03094</v>
      </c>
      <c r="C1444" s="14" t="str">
        <f>"1400"</f>
        <v>1400</v>
      </c>
      <c r="D1444" s="14" t="str">
        <f>""</f>
        <v/>
      </c>
      <c r="E1444" s="14" t="s">
        <v>448</v>
      </c>
      <c r="F1444" s="14" t="s">
        <v>240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241</v>
      </c>
      <c r="L1444" s="14" t="s">
        <v>231</v>
      </c>
      <c r="P1444" s="14" t="s">
        <v>25</v>
      </c>
      <c r="Q1444" s="14" t="s">
        <v>25</v>
      </c>
      <c r="R1444" s="14" t="s">
        <v>242</v>
      </c>
    </row>
    <row r="1445" spans="1:18" s="14" customFormat="1" x14ac:dyDescent="0.25">
      <c r="A1445" s="14" t="str">
        <f>"13008"</f>
        <v>13008</v>
      </c>
      <c r="B1445" s="14" t="str">
        <f>"03094"</f>
        <v>03094</v>
      </c>
      <c r="C1445" s="14" t="str">
        <f>"1400"</f>
        <v>1400</v>
      </c>
      <c r="D1445" s="14" t="str">
        <f>"13008"</f>
        <v>13008</v>
      </c>
      <c r="E1445" s="14" t="s">
        <v>492</v>
      </c>
      <c r="F1445" s="14" t="s">
        <v>240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241</v>
      </c>
      <c r="L1445" s="14" t="s">
        <v>231</v>
      </c>
      <c r="P1445" s="14" t="s">
        <v>260</v>
      </c>
      <c r="Q1445" s="14" t="s">
        <v>260</v>
      </c>
      <c r="R1445" s="14" t="s">
        <v>242</v>
      </c>
    </row>
    <row r="1446" spans="1:18" s="14" customFormat="1" x14ac:dyDescent="0.25">
      <c r="A1446" s="14" t="str">
        <f>"18038"</f>
        <v>18038</v>
      </c>
      <c r="B1446" s="14" t="str">
        <f>"03094"</f>
        <v>03094</v>
      </c>
      <c r="C1446" s="14" t="str">
        <f>"1400"</f>
        <v>1400</v>
      </c>
      <c r="D1446" s="14" t="str">
        <f>"18038"</f>
        <v>18038</v>
      </c>
      <c r="E1446" s="14" t="s">
        <v>240</v>
      </c>
      <c r="F1446" s="14" t="s">
        <v>240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241</v>
      </c>
      <c r="L1446" s="14" t="s">
        <v>231</v>
      </c>
      <c r="P1446" s="14" t="s">
        <v>31</v>
      </c>
      <c r="Q1446" s="14" t="s">
        <v>25</v>
      </c>
      <c r="R1446" s="14" t="s">
        <v>242</v>
      </c>
    </row>
    <row r="1447" spans="1:18" s="14" customFormat="1" x14ac:dyDescent="0.25">
      <c r="A1447" s="14" t="str">
        <f>"18041"</f>
        <v>18041</v>
      </c>
      <c r="B1447" s="14" t="str">
        <f>"03094"</f>
        <v>03094</v>
      </c>
      <c r="C1447" s="14" t="str">
        <f>"1400"</f>
        <v>1400</v>
      </c>
      <c r="D1447" s="14" t="str">
        <f>"18041"</f>
        <v>18041</v>
      </c>
      <c r="E1447" s="14" t="s">
        <v>609</v>
      </c>
      <c r="F1447" s="14" t="s">
        <v>240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241</v>
      </c>
      <c r="L1447" s="14" t="s">
        <v>231</v>
      </c>
      <c r="P1447" s="14" t="s">
        <v>31</v>
      </c>
      <c r="Q1447" s="14" t="s">
        <v>25</v>
      </c>
      <c r="R1447" s="14" t="s">
        <v>242</v>
      </c>
    </row>
    <row r="1448" spans="1:18" s="14" customFormat="1" x14ac:dyDescent="0.25">
      <c r="A1448" s="14" t="str">
        <f>"84213"</f>
        <v>84213</v>
      </c>
      <c r="B1448" s="14" t="str">
        <f>"07020"</f>
        <v>07020</v>
      </c>
      <c r="C1448" s="14" t="str">
        <f>"1700"</f>
        <v>1700</v>
      </c>
      <c r="D1448" s="14" t="str">
        <f>"84213"</f>
        <v>84213</v>
      </c>
      <c r="E1448" s="14" t="s">
        <v>1720</v>
      </c>
      <c r="F1448" s="14" t="s">
        <v>1532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1721</v>
      </c>
      <c r="L1448" s="14" t="s">
        <v>1722</v>
      </c>
      <c r="P1448" s="14" t="s">
        <v>31</v>
      </c>
      <c r="Q1448" s="14" t="s">
        <v>31</v>
      </c>
      <c r="R1448" s="14" t="s">
        <v>1721</v>
      </c>
    </row>
    <row r="1449" spans="1:18" s="14" customFormat="1" x14ac:dyDescent="0.25">
      <c r="A1449" s="14" t="str">
        <f>"84253"</f>
        <v>84253</v>
      </c>
      <c r="B1449" s="14" t="str">
        <f>"07020"</f>
        <v>07020</v>
      </c>
      <c r="C1449" s="14" t="str">
        <f>"1700"</f>
        <v>1700</v>
      </c>
      <c r="D1449" s="14" t="str">
        <f>"84253"</f>
        <v>84253</v>
      </c>
      <c r="E1449" s="14" t="s">
        <v>1771</v>
      </c>
      <c r="F1449" s="14" t="s">
        <v>1532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1721</v>
      </c>
      <c r="L1449" s="14" t="s">
        <v>49</v>
      </c>
      <c r="P1449" s="14" t="s">
        <v>31</v>
      </c>
      <c r="Q1449" s="14" t="s">
        <v>31</v>
      </c>
      <c r="R1449" s="14" t="s">
        <v>1721</v>
      </c>
    </row>
    <row r="1450" spans="1:18" s="14" customFormat="1" x14ac:dyDescent="0.25">
      <c r="A1450" s="14" t="str">
        <f>"10001"</f>
        <v>10001</v>
      </c>
      <c r="B1450" s="14" t="str">
        <f>"02120"</f>
        <v>02120</v>
      </c>
      <c r="C1450" s="14" t="str">
        <f>"1400"</f>
        <v>1400</v>
      </c>
      <c r="D1450" s="14" t="str">
        <f>"02120A"</f>
        <v>02120A</v>
      </c>
      <c r="E1450" s="14" t="s">
        <v>20</v>
      </c>
      <c r="F1450" s="14" t="s">
        <v>209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29</v>
      </c>
      <c r="L1450" s="14" t="s">
        <v>210</v>
      </c>
      <c r="P1450" s="14" t="s">
        <v>31</v>
      </c>
      <c r="Q1450" s="14" t="s">
        <v>25</v>
      </c>
      <c r="R1450" s="14" t="s">
        <v>210</v>
      </c>
    </row>
    <row r="1451" spans="1:18" s="14" customFormat="1" x14ac:dyDescent="0.25">
      <c r="A1451" s="14" t="str">
        <f>"10001"</f>
        <v>10001</v>
      </c>
      <c r="B1451" s="14" t="str">
        <f>"02121"</f>
        <v>02121</v>
      </c>
      <c r="C1451" s="14" t="str">
        <f>"1400"</f>
        <v>1400</v>
      </c>
      <c r="D1451" s="14" t="str">
        <f>"02121"</f>
        <v>02121</v>
      </c>
      <c r="E1451" s="14" t="s">
        <v>20</v>
      </c>
      <c r="F1451" s="14" t="s">
        <v>211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29</v>
      </c>
      <c r="L1451" s="14" t="s">
        <v>210</v>
      </c>
      <c r="P1451" s="14" t="s">
        <v>31</v>
      </c>
      <c r="Q1451" s="14" t="s">
        <v>25</v>
      </c>
      <c r="R1451" s="14" t="s">
        <v>210</v>
      </c>
    </row>
    <row r="1452" spans="1:18" s="14" customFormat="1" x14ac:dyDescent="0.25">
      <c r="A1452" s="14" t="str">
        <f>"32105"</f>
        <v>32105</v>
      </c>
      <c r="B1452" s="14" t="str">
        <f>"02120"</f>
        <v>02120</v>
      </c>
      <c r="C1452" s="14" t="str">
        <f>"1930"</f>
        <v>1930</v>
      </c>
      <c r="D1452" s="14" t="str">
        <f>"02120B"</f>
        <v>02120B</v>
      </c>
      <c r="E1452" s="14" t="s">
        <v>972</v>
      </c>
      <c r="F1452" s="14" t="s">
        <v>209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29</v>
      </c>
      <c r="L1452" s="14" t="s">
        <v>210</v>
      </c>
      <c r="P1452" s="14" t="s">
        <v>31</v>
      </c>
      <c r="Q1452" s="14" t="s">
        <v>25</v>
      </c>
      <c r="R1452" s="14" t="s">
        <v>210</v>
      </c>
    </row>
    <row r="1453" spans="1:18" s="14" customFormat="1" x14ac:dyDescent="0.25">
      <c r="A1453" s="14" t="str">
        <f>"35015"</f>
        <v>35015</v>
      </c>
      <c r="B1453" s="14" t="str">
        <f>"02120"</f>
        <v>02120</v>
      </c>
      <c r="C1453" s="14" t="str">
        <f>"1930"</f>
        <v>1930</v>
      </c>
      <c r="D1453" s="14" t="str">
        <f>"35015"</f>
        <v>35015</v>
      </c>
      <c r="E1453" s="14" t="s">
        <v>984</v>
      </c>
      <c r="F1453" s="14" t="s">
        <v>209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29</v>
      </c>
      <c r="L1453" s="14" t="s">
        <v>210</v>
      </c>
      <c r="P1453" s="14" t="s">
        <v>31</v>
      </c>
      <c r="Q1453" s="14" t="s">
        <v>25</v>
      </c>
      <c r="R1453" s="14" t="s">
        <v>210</v>
      </c>
    </row>
    <row r="1454" spans="1:18" s="14" customFormat="1" x14ac:dyDescent="0.25">
      <c r="A1454" s="14" t="str">
        <f>"35020"</f>
        <v>35020</v>
      </c>
      <c r="B1454" s="14" t="str">
        <f>"02120"</f>
        <v>02120</v>
      </c>
      <c r="C1454" s="14" t="str">
        <f>"1930"</f>
        <v>1930</v>
      </c>
      <c r="D1454" s="14" t="str">
        <f>"35020"</f>
        <v>35020</v>
      </c>
      <c r="E1454" s="14" t="s">
        <v>985</v>
      </c>
      <c r="F1454" s="14" t="s">
        <v>209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29</v>
      </c>
      <c r="L1454" s="14" t="s">
        <v>210</v>
      </c>
      <c r="P1454" s="14" t="s">
        <v>31</v>
      </c>
      <c r="Q1454" s="14" t="s">
        <v>25</v>
      </c>
      <c r="R1454" s="14" t="s">
        <v>210</v>
      </c>
    </row>
    <row r="1455" spans="1:18" s="14" customFormat="1" x14ac:dyDescent="0.25">
      <c r="A1455" s="14" t="str">
        <f>"10001"</f>
        <v>10001</v>
      </c>
      <c r="B1455" s="14" t="str">
        <f>"01800"</f>
        <v>01800</v>
      </c>
      <c r="C1455" s="14" t="str">
        <f>"1100"</f>
        <v>1100</v>
      </c>
      <c r="D1455" s="14" t="str">
        <f>"01800"</f>
        <v>01800</v>
      </c>
      <c r="E1455" s="14" t="s">
        <v>20</v>
      </c>
      <c r="F1455" s="14" t="s">
        <v>180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181</v>
      </c>
      <c r="L1455" s="14" t="s">
        <v>112</v>
      </c>
      <c r="M1455" s="14" t="s">
        <v>113</v>
      </c>
      <c r="N1455" s="14" t="s">
        <v>114</v>
      </c>
      <c r="P1455" s="14" t="s">
        <v>31</v>
      </c>
      <c r="Q1455" s="14" t="s">
        <v>25</v>
      </c>
      <c r="R1455" s="14" t="s">
        <v>115</v>
      </c>
    </row>
    <row r="1456" spans="1:18" s="14" customFormat="1" x14ac:dyDescent="0.25">
      <c r="A1456" s="14" t="str">
        <f>"10001"</f>
        <v>10001</v>
      </c>
      <c r="B1456" s="14" t="str">
        <f>"01805"</f>
        <v>01805</v>
      </c>
      <c r="C1456" s="14" t="str">
        <f>"1100"</f>
        <v>1100</v>
      </c>
      <c r="D1456" s="14" t="str">
        <f>"01805"</f>
        <v>01805</v>
      </c>
      <c r="E1456" s="14" t="s">
        <v>20</v>
      </c>
      <c r="F1456" s="14" t="s">
        <v>182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181</v>
      </c>
      <c r="L1456" s="14" t="s">
        <v>112</v>
      </c>
      <c r="M1456" s="14" t="s">
        <v>113</v>
      </c>
      <c r="N1456" s="14" t="s">
        <v>114</v>
      </c>
      <c r="P1456" s="14" t="s">
        <v>31</v>
      </c>
      <c r="Q1456" s="14" t="s">
        <v>25</v>
      </c>
      <c r="R1456" s="14" t="s">
        <v>115</v>
      </c>
    </row>
    <row r="1457" spans="1:18" s="14" customFormat="1" x14ac:dyDescent="0.25">
      <c r="A1457" s="14" t="str">
        <f>"19276"</f>
        <v>19276</v>
      </c>
      <c r="B1457" s="14" t="str">
        <f>"01800"</f>
        <v>01800</v>
      </c>
      <c r="C1457" s="14" t="str">
        <f>"1300"</f>
        <v>1300</v>
      </c>
      <c r="D1457" s="14" t="str">
        <f>"19276"</f>
        <v>19276</v>
      </c>
      <c r="E1457" s="14" t="s">
        <v>786</v>
      </c>
      <c r="F1457" s="14" t="s">
        <v>180</v>
      </c>
      <c r="G1457" s="14" t="str">
        <f>"GR0019276"</f>
        <v>GR0019276</v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181</v>
      </c>
      <c r="L1457" s="14" t="s">
        <v>112</v>
      </c>
      <c r="M1457" s="14" t="s">
        <v>113</v>
      </c>
      <c r="N1457" s="14" t="s">
        <v>114</v>
      </c>
      <c r="O1457" s="14" t="s">
        <v>787</v>
      </c>
      <c r="P1457" s="14" t="s">
        <v>31</v>
      </c>
      <c r="Q1457" s="14" t="s">
        <v>31</v>
      </c>
      <c r="R1457" s="14" t="s">
        <v>115</v>
      </c>
    </row>
    <row r="1458" spans="1:18" s="14" customFormat="1" x14ac:dyDescent="0.25">
      <c r="A1458" s="14" t="str">
        <f>"19277"</f>
        <v>19277</v>
      </c>
      <c r="B1458" s="14" t="str">
        <f>"01800"</f>
        <v>01800</v>
      </c>
      <c r="C1458" s="14" t="str">
        <f>"1300"</f>
        <v>1300</v>
      </c>
      <c r="D1458" s="14" t="str">
        <f>"19277"</f>
        <v>19277</v>
      </c>
      <c r="E1458" s="14" t="s">
        <v>788</v>
      </c>
      <c r="F1458" s="14" t="s">
        <v>180</v>
      </c>
      <c r="G1458" s="14" t="str">
        <f>"GR0019277"</f>
        <v>GR0019277</v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181</v>
      </c>
      <c r="L1458" s="14" t="s">
        <v>112</v>
      </c>
      <c r="M1458" s="14" t="s">
        <v>113</v>
      </c>
      <c r="N1458" s="14" t="s">
        <v>114</v>
      </c>
      <c r="O1458" s="14" t="s">
        <v>789</v>
      </c>
      <c r="P1458" s="14" t="s">
        <v>31</v>
      </c>
      <c r="Q1458" s="14" t="s">
        <v>31</v>
      </c>
      <c r="R1458" s="14" t="s">
        <v>115</v>
      </c>
    </row>
    <row r="1459" spans="1:18" s="14" customFormat="1" x14ac:dyDescent="0.25">
      <c r="A1459" s="14" t="str">
        <f>"19288"</f>
        <v>19288</v>
      </c>
      <c r="B1459" s="14" t="str">
        <f>"01800"</f>
        <v>01800</v>
      </c>
      <c r="C1459" s="14" t="str">
        <f>"1200"</f>
        <v>1200</v>
      </c>
      <c r="D1459" s="14" t="str">
        <f>"19288"</f>
        <v>19288</v>
      </c>
      <c r="E1459" s="14" t="s">
        <v>808</v>
      </c>
      <c r="F1459" s="14" t="s">
        <v>180</v>
      </c>
      <c r="G1459" s="14" t="str">
        <f>"GR0019288"</f>
        <v>GR0019288</v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181</v>
      </c>
      <c r="L1459" s="14" t="s">
        <v>112</v>
      </c>
      <c r="M1459" s="14" t="s">
        <v>113</v>
      </c>
      <c r="N1459" s="14" t="s">
        <v>114</v>
      </c>
      <c r="O1459" s="14" t="s">
        <v>809</v>
      </c>
      <c r="P1459" s="14" t="s">
        <v>31</v>
      </c>
      <c r="Q1459" s="14" t="s">
        <v>31</v>
      </c>
      <c r="R1459" s="14" t="s">
        <v>115</v>
      </c>
    </row>
    <row r="1460" spans="1:18" s="14" customFormat="1" x14ac:dyDescent="0.25">
      <c r="A1460" s="14" t="str">
        <f>"19289"</f>
        <v>19289</v>
      </c>
      <c r="B1460" s="14" t="str">
        <f>"01800"</f>
        <v>01800</v>
      </c>
      <c r="C1460" s="14" t="str">
        <f>"1200"</f>
        <v>1200</v>
      </c>
      <c r="D1460" s="14" t="str">
        <f>"19289"</f>
        <v>19289</v>
      </c>
      <c r="E1460" s="14" t="s">
        <v>810</v>
      </c>
      <c r="F1460" s="14" t="s">
        <v>180</v>
      </c>
      <c r="G1460" s="14" t="str">
        <f>"GR0019289"</f>
        <v>GR0019289</v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181</v>
      </c>
      <c r="L1460" s="14" t="s">
        <v>112</v>
      </c>
      <c r="M1460" s="14" t="s">
        <v>113</v>
      </c>
      <c r="N1460" s="14" t="s">
        <v>114</v>
      </c>
      <c r="O1460" s="14" t="s">
        <v>809</v>
      </c>
      <c r="P1460" s="14" t="s">
        <v>31</v>
      </c>
      <c r="Q1460" s="14" t="s">
        <v>31</v>
      </c>
      <c r="R1460" s="14" t="s">
        <v>115</v>
      </c>
    </row>
    <row r="1461" spans="1:18" s="14" customFormat="1" x14ac:dyDescent="0.25">
      <c r="A1461" s="14" t="str">
        <f>"84239"</f>
        <v>84239</v>
      </c>
      <c r="B1461" s="14" t="str">
        <f>"07020"</f>
        <v>07020</v>
      </c>
      <c r="C1461" s="14" t="str">
        <f>"1700"</f>
        <v>1700</v>
      </c>
      <c r="D1461" s="14" t="str">
        <f>"84239"</f>
        <v>84239</v>
      </c>
      <c r="E1461" s="14" t="s">
        <v>1755</v>
      </c>
      <c r="F1461" s="14" t="s">
        <v>1532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181</v>
      </c>
      <c r="L1461" s="14" t="s">
        <v>753</v>
      </c>
      <c r="M1461" s="14" t="s">
        <v>873</v>
      </c>
      <c r="P1461" s="14" t="s">
        <v>31</v>
      </c>
      <c r="Q1461" s="14" t="s">
        <v>31</v>
      </c>
      <c r="R1461" s="14" t="s">
        <v>753</v>
      </c>
    </row>
    <row r="1462" spans="1:18" s="14" customFormat="1" x14ac:dyDescent="0.25">
      <c r="A1462" s="14" t="str">
        <f>"84072"</f>
        <v>84072</v>
      </c>
      <c r="B1462" s="14" t="str">
        <f>"07020"</f>
        <v>07020</v>
      </c>
      <c r="C1462" s="14" t="str">
        <f>"1700"</f>
        <v>1700</v>
      </c>
      <c r="D1462" s="14" t="str">
        <f>"84072"</f>
        <v>84072</v>
      </c>
      <c r="E1462" s="14" t="s">
        <v>1613</v>
      </c>
      <c r="F1462" s="14" t="s">
        <v>1532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1614</v>
      </c>
      <c r="L1462" s="14" t="s">
        <v>69</v>
      </c>
      <c r="M1462" s="14" t="s">
        <v>70</v>
      </c>
      <c r="N1462" s="14" t="s">
        <v>71</v>
      </c>
      <c r="P1462" s="14" t="s">
        <v>31</v>
      </c>
      <c r="Q1462" s="14" t="s">
        <v>31</v>
      </c>
      <c r="R1462" s="14" t="s">
        <v>72</v>
      </c>
    </row>
    <row r="1463" spans="1:18" s="14" customFormat="1" x14ac:dyDescent="0.25">
      <c r="A1463" s="14" t="str">
        <f>"24435"</f>
        <v>24435</v>
      </c>
      <c r="B1463" s="14" t="str">
        <f>"01110"</f>
        <v>01110</v>
      </c>
      <c r="C1463" s="14" t="str">
        <f>"1930"</f>
        <v>1930</v>
      </c>
      <c r="D1463" s="14" t="str">
        <f>"24435"</f>
        <v>24435</v>
      </c>
      <c r="E1463" s="14" t="s">
        <v>904</v>
      </c>
      <c r="F1463" s="14" t="s">
        <v>905</v>
      </c>
      <c r="G1463" s="14" t="str">
        <f>"GR0024435"</f>
        <v>GR0024435</v>
      </c>
      <c r="H1463" s="14" t="str">
        <f>" 20"</f>
        <v xml:space="preserve"> 20</v>
      </c>
      <c r="I1463" s="14">
        <v>500.01</v>
      </c>
      <c r="J1463" s="14">
        <v>9999999.9900000002</v>
      </c>
      <c r="K1463" s="14" t="s">
        <v>906</v>
      </c>
      <c r="L1463" s="14" t="s">
        <v>55</v>
      </c>
      <c r="M1463" s="14" t="s">
        <v>53</v>
      </c>
      <c r="N1463" s="14" t="s">
        <v>907</v>
      </c>
      <c r="O1463" s="14" t="s">
        <v>55</v>
      </c>
      <c r="P1463" s="14" t="s">
        <v>701</v>
      </c>
      <c r="Q1463" s="14" t="s">
        <v>701</v>
      </c>
      <c r="R1463" s="14" t="s">
        <v>727</v>
      </c>
    </row>
    <row r="1464" spans="1:18" s="14" customFormat="1" x14ac:dyDescent="0.25">
      <c r="A1464" s="14" t="str">
        <f>"33105"</f>
        <v>33105</v>
      </c>
      <c r="B1464" s="14" t="str">
        <f>"01110"</f>
        <v>01110</v>
      </c>
      <c r="C1464" s="14" t="str">
        <f>"1930"</f>
        <v>1930</v>
      </c>
      <c r="D1464" s="14" t="str">
        <f>"01110"</f>
        <v>01110</v>
      </c>
      <c r="E1464" s="14" t="s">
        <v>725</v>
      </c>
      <c r="F1464" s="14" t="s">
        <v>905</v>
      </c>
      <c r="G1464" s="14" t="str">
        <f>""</f>
        <v/>
      </c>
      <c r="H1464" s="14" t="str">
        <f>" 20"</f>
        <v xml:space="preserve"> 20</v>
      </c>
      <c r="I1464" s="14">
        <v>500.01</v>
      </c>
      <c r="J1464" s="14">
        <v>9999999.9900000002</v>
      </c>
      <c r="K1464" s="14" t="s">
        <v>906</v>
      </c>
      <c r="L1464" s="14" t="s">
        <v>55</v>
      </c>
      <c r="M1464" s="14" t="s">
        <v>53</v>
      </c>
      <c r="P1464" s="14" t="s">
        <v>31</v>
      </c>
      <c r="Q1464" s="14" t="s">
        <v>25</v>
      </c>
      <c r="R1464" s="14" t="s">
        <v>727</v>
      </c>
    </row>
    <row r="1465" spans="1:18" s="14" customFormat="1" x14ac:dyDescent="0.25">
      <c r="A1465" s="14" t="str">
        <f>"84068"</f>
        <v>84068</v>
      </c>
      <c r="B1465" s="14" t="str">
        <f>"07020"</f>
        <v>07020</v>
      </c>
      <c r="C1465" s="14" t="str">
        <f>"1700"</f>
        <v>1700</v>
      </c>
      <c r="D1465" s="14" t="str">
        <f>"84068"</f>
        <v>84068</v>
      </c>
      <c r="E1465" s="14" t="s">
        <v>1609</v>
      </c>
      <c r="F1465" s="14" t="s">
        <v>1532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1607</v>
      </c>
      <c r="L1465" s="14" t="s">
        <v>141</v>
      </c>
      <c r="M1465" s="14" t="s">
        <v>72</v>
      </c>
      <c r="P1465" s="14" t="s">
        <v>31</v>
      </c>
      <c r="Q1465" s="14" t="s">
        <v>31</v>
      </c>
      <c r="R1465" s="14" t="s">
        <v>1607</v>
      </c>
    </row>
    <row r="1466" spans="1:18" s="14" customFormat="1" x14ac:dyDescent="0.25">
      <c r="A1466" s="14" t="str">
        <f>"84096"</f>
        <v>84096</v>
      </c>
      <c r="B1466" s="14" t="str">
        <f>"07020"</f>
        <v>07020</v>
      </c>
      <c r="C1466" s="14" t="str">
        <f>"1700"</f>
        <v>1700</v>
      </c>
      <c r="D1466" s="14" t="str">
        <f>"84096"</f>
        <v>84096</v>
      </c>
      <c r="E1466" s="14" t="s">
        <v>1635</v>
      </c>
      <c r="F1466" s="14" t="s">
        <v>1532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1562</v>
      </c>
      <c r="P1466" s="14" t="s">
        <v>31</v>
      </c>
      <c r="Q1466" s="14" t="s">
        <v>31</v>
      </c>
      <c r="R1466" s="14" t="s">
        <v>1636</v>
      </c>
    </row>
    <row r="1467" spans="1:18" s="14" customFormat="1" x14ac:dyDescent="0.25">
      <c r="A1467" s="14" t="str">
        <f>"84236"</f>
        <v>84236</v>
      </c>
      <c r="B1467" s="14" t="str">
        <f>"07020"</f>
        <v>07020</v>
      </c>
      <c r="C1467" s="14" t="str">
        <f>"1700"</f>
        <v>1700</v>
      </c>
      <c r="D1467" s="14" t="str">
        <f>"84236"</f>
        <v>84236</v>
      </c>
      <c r="E1467" s="14" t="s">
        <v>1751</v>
      </c>
      <c r="F1467" s="14" t="s">
        <v>1532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766</v>
      </c>
      <c r="P1467" s="14" t="s">
        <v>31</v>
      </c>
      <c r="Q1467" s="14" t="s">
        <v>31</v>
      </c>
      <c r="R1467" s="14" t="s">
        <v>794</v>
      </c>
    </row>
    <row r="1468" spans="1:18" s="14" customFormat="1" x14ac:dyDescent="0.25">
      <c r="A1468" s="14" t="str">
        <f>"84243"</f>
        <v>84243</v>
      </c>
      <c r="B1468" s="14" t="str">
        <f>"07020"</f>
        <v>07020</v>
      </c>
      <c r="C1468" s="14" t="str">
        <f>"1700"</f>
        <v>1700</v>
      </c>
      <c r="D1468" s="14" t="str">
        <f>"84243"</f>
        <v>84243</v>
      </c>
      <c r="E1468" s="14" t="s">
        <v>1761</v>
      </c>
      <c r="F1468" s="14" t="s">
        <v>1532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766</v>
      </c>
      <c r="L1468" s="14" t="s">
        <v>392</v>
      </c>
      <c r="P1468" s="14" t="s">
        <v>31</v>
      </c>
      <c r="Q1468" s="14" t="s">
        <v>31</v>
      </c>
      <c r="R1468" s="14" t="s">
        <v>766</v>
      </c>
    </row>
    <row r="1469" spans="1:18" s="14" customFormat="1" x14ac:dyDescent="0.25">
      <c r="A1469" s="14" t="str">
        <f>"10001"</f>
        <v>10001</v>
      </c>
      <c r="B1469" s="14" t="str">
        <f>"01830"</f>
        <v>01830</v>
      </c>
      <c r="C1469" s="14" t="str">
        <f>"1100"</f>
        <v>1100</v>
      </c>
      <c r="D1469" s="14" t="str">
        <f>"01830"</f>
        <v>01830</v>
      </c>
      <c r="E1469" s="14" t="s">
        <v>20</v>
      </c>
      <c r="F1469" s="14" t="s">
        <v>187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188</v>
      </c>
      <c r="L1469" s="14" t="s">
        <v>112</v>
      </c>
      <c r="M1469" s="14" t="s">
        <v>113</v>
      </c>
      <c r="N1469" s="14" t="s">
        <v>114</v>
      </c>
      <c r="P1469" s="14" t="s">
        <v>31</v>
      </c>
      <c r="Q1469" s="14" t="s">
        <v>25</v>
      </c>
      <c r="R1469" s="14" t="s">
        <v>115</v>
      </c>
    </row>
    <row r="1470" spans="1:18" s="14" customFormat="1" x14ac:dyDescent="0.25">
      <c r="A1470" s="14" t="str">
        <f>"84091"</f>
        <v>84091</v>
      </c>
      <c r="B1470" s="14" t="str">
        <f>"07020"</f>
        <v>07020</v>
      </c>
      <c r="C1470" s="14" t="str">
        <f>"1700"</f>
        <v>1700</v>
      </c>
      <c r="D1470" s="14" t="str">
        <f>"84091"</f>
        <v>84091</v>
      </c>
      <c r="E1470" s="14" t="s">
        <v>1626</v>
      </c>
      <c r="F1470" s="14" t="s">
        <v>1532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188</v>
      </c>
      <c r="L1470" s="14" t="s">
        <v>1627</v>
      </c>
      <c r="M1470" s="14" t="s">
        <v>853</v>
      </c>
      <c r="N1470" s="14" t="s">
        <v>1628</v>
      </c>
      <c r="P1470" s="14" t="s">
        <v>31</v>
      </c>
      <c r="Q1470" s="14" t="s">
        <v>31</v>
      </c>
      <c r="R1470" s="14" t="s">
        <v>115</v>
      </c>
    </row>
    <row r="1471" spans="1:18" s="14" customFormat="1" x14ac:dyDescent="0.25">
      <c r="A1471" s="14" t="str">
        <f>"10001"</f>
        <v>10001</v>
      </c>
      <c r="B1471" s="14" t="str">
        <f>"01710"</f>
        <v>01710</v>
      </c>
      <c r="C1471" s="14" t="str">
        <f>"1100"</f>
        <v>1100</v>
      </c>
      <c r="D1471" s="14" t="str">
        <f>"01710"</f>
        <v>01710</v>
      </c>
      <c r="E1471" s="14" t="s">
        <v>20</v>
      </c>
      <c r="F1471" s="14" t="s">
        <v>161</v>
      </c>
      <c r="G1471" s="14" t="str">
        <f>""</f>
        <v/>
      </c>
      <c r="H1471" s="14" t="str">
        <f>" 20"</f>
        <v xml:space="preserve"> 20</v>
      </c>
      <c r="I1471" s="14">
        <v>500.01</v>
      </c>
      <c r="J1471" s="14">
        <v>9999999.9900000002</v>
      </c>
      <c r="K1471" s="14" t="s">
        <v>162</v>
      </c>
      <c r="L1471" s="14" t="s">
        <v>147</v>
      </c>
      <c r="M1471" s="14" t="s">
        <v>154</v>
      </c>
      <c r="P1471" s="14" t="s">
        <v>39</v>
      </c>
      <c r="Q1471" s="14" t="s">
        <v>25</v>
      </c>
      <c r="R1471" s="14" t="s">
        <v>146</v>
      </c>
    </row>
    <row r="1472" spans="1:18" s="14" customFormat="1" x14ac:dyDescent="0.25">
      <c r="A1472" s="14" t="str">
        <f>"19265"</f>
        <v>19265</v>
      </c>
      <c r="B1472" s="14" t="str">
        <f>"01710"</f>
        <v>01710</v>
      </c>
      <c r="C1472" s="14" t="str">
        <f>"1300"</f>
        <v>1300</v>
      </c>
      <c r="D1472" s="14" t="str">
        <f>"19265"</f>
        <v>19265</v>
      </c>
      <c r="E1472" s="14" t="s">
        <v>776</v>
      </c>
      <c r="F1472" s="14" t="s">
        <v>161</v>
      </c>
      <c r="G1472" s="14" t="str">
        <f>"GR0019265"</f>
        <v>GR0019265</v>
      </c>
      <c r="H1472" s="14" t="str">
        <f>" 20"</f>
        <v xml:space="preserve"> 20</v>
      </c>
      <c r="I1472" s="14">
        <v>500.01</v>
      </c>
      <c r="J1472" s="14">
        <v>9999999.9900000002</v>
      </c>
      <c r="K1472" s="14" t="s">
        <v>162</v>
      </c>
      <c r="L1472" s="14" t="s">
        <v>147</v>
      </c>
      <c r="M1472" s="14" t="s">
        <v>154</v>
      </c>
      <c r="O1472" s="14" t="s">
        <v>777</v>
      </c>
      <c r="P1472" s="14" t="s">
        <v>39</v>
      </c>
      <c r="Q1472" s="14" t="s">
        <v>39</v>
      </c>
      <c r="R1472" s="14" t="s">
        <v>146</v>
      </c>
    </row>
    <row r="1473" spans="1:18" s="14" customFormat="1" x14ac:dyDescent="0.25">
      <c r="A1473" s="14" t="str">
        <f>"25156"</f>
        <v>25156</v>
      </c>
      <c r="B1473" s="14" t="str">
        <f>"01710"</f>
        <v>01710</v>
      </c>
      <c r="C1473" s="14" t="str">
        <f>"1200"</f>
        <v>1200</v>
      </c>
      <c r="D1473" s="14" t="str">
        <f>"25156"</f>
        <v>25156</v>
      </c>
      <c r="E1473" s="14" t="s">
        <v>935</v>
      </c>
      <c r="F1473" s="14" t="s">
        <v>161</v>
      </c>
      <c r="G1473" s="14" t="str">
        <f>"GR0025156"</f>
        <v>GR0025156</v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162</v>
      </c>
      <c r="L1473" s="14" t="s">
        <v>147</v>
      </c>
      <c r="M1473" s="14" t="s">
        <v>154</v>
      </c>
      <c r="N1473" s="14" t="s">
        <v>773</v>
      </c>
      <c r="O1473" s="14" t="s">
        <v>773</v>
      </c>
      <c r="P1473" s="14" t="s">
        <v>701</v>
      </c>
      <c r="Q1473" s="14" t="s">
        <v>701</v>
      </c>
      <c r="R1473" s="14" t="s">
        <v>146</v>
      </c>
    </row>
    <row r="1474" spans="1:18" s="14" customFormat="1" x14ac:dyDescent="0.25">
      <c r="A1474" s="14" t="str">
        <f>"25157"</f>
        <v>25157</v>
      </c>
      <c r="B1474" s="14" t="str">
        <f>"01710"</f>
        <v>01710</v>
      </c>
      <c r="C1474" s="14" t="str">
        <f>"1200"</f>
        <v>1200</v>
      </c>
      <c r="D1474" s="14" t="str">
        <f>"25157"</f>
        <v>25157</v>
      </c>
      <c r="E1474" s="14" t="s">
        <v>936</v>
      </c>
      <c r="F1474" s="14" t="s">
        <v>161</v>
      </c>
      <c r="G1474" s="14" t="str">
        <f>"GR0025156"</f>
        <v>GR0025156</v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162</v>
      </c>
      <c r="L1474" s="14" t="s">
        <v>147</v>
      </c>
      <c r="M1474" s="14" t="s">
        <v>154</v>
      </c>
      <c r="N1474" s="14" t="s">
        <v>773</v>
      </c>
      <c r="O1474" s="14" t="s">
        <v>773</v>
      </c>
      <c r="P1474" s="14" t="s">
        <v>701</v>
      </c>
      <c r="Q1474" s="14" t="s">
        <v>701</v>
      </c>
      <c r="R1474" s="14" t="s">
        <v>146</v>
      </c>
    </row>
    <row r="1475" spans="1:18" s="14" customFormat="1" x14ac:dyDescent="0.25">
      <c r="A1475" s="14" t="str">
        <f>"84117"</f>
        <v>84117</v>
      </c>
      <c r="B1475" s="14" t="str">
        <f>"07020"</f>
        <v>07020</v>
      </c>
      <c r="C1475" s="14" t="str">
        <f>"1700"</f>
        <v>1700</v>
      </c>
      <c r="D1475" s="14" t="str">
        <f>"84117"</f>
        <v>84117</v>
      </c>
      <c r="E1475" s="14" t="s">
        <v>1654</v>
      </c>
      <c r="F1475" s="14" t="s">
        <v>1532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162</v>
      </c>
      <c r="L1475" s="14" t="s">
        <v>164</v>
      </c>
      <c r="M1475" s="14" t="s">
        <v>147</v>
      </c>
      <c r="P1475" s="14" t="s">
        <v>31</v>
      </c>
      <c r="Q1475" s="14" t="s">
        <v>31</v>
      </c>
      <c r="R1475" s="14" t="s">
        <v>162</v>
      </c>
    </row>
    <row r="1476" spans="1:18" s="14" customFormat="1" x14ac:dyDescent="0.25">
      <c r="A1476" s="14" t="str">
        <f>"85026"</f>
        <v>85026</v>
      </c>
      <c r="B1476" s="14" t="str">
        <f>"07030"</f>
        <v>07030</v>
      </c>
      <c r="C1476" s="14" t="str">
        <f>"8000"</f>
        <v>8000</v>
      </c>
      <c r="D1476" s="14" t="str">
        <f>"85026"</f>
        <v>85026</v>
      </c>
      <c r="E1476" s="14" t="s">
        <v>1780</v>
      </c>
      <c r="F1476" s="14" t="s">
        <v>1776</v>
      </c>
      <c r="G1476" s="14" t="str">
        <f>""</f>
        <v/>
      </c>
      <c r="H1476" s="14" t="str">
        <f>" 20"</f>
        <v xml:space="preserve"> 20</v>
      </c>
      <c r="I1476" s="14">
        <v>500.01</v>
      </c>
      <c r="J1476" s="14">
        <v>9999999.9900000002</v>
      </c>
      <c r="K1476" s="14" t="s">
        <v>162</v>
      </c>
      <c r="L1476" s="14" t="s">
        <v>147</v>
      </c>
      <c r="M1476" s="14" t="s">
        <v>156</v>
      </c>
      <c r="P1476" s="14" t="s">
        <v>39</v>
      </c>
      <c r="Q1476" s="14" t="s">
        <v>39</v>
      </c>
      <c r="R1476" s="14" t="s">
        <v>146</v>
      </c>
    </row>
    <row r="1477" spans="1:18" s="14" customFormat="1" x14ac:dyDescent="0.25">
      <c r="A1477" s="14" t="str">
        <f>"18107"</f>
        <v>18107</v>
      </c>
      <c r="B1477" s="14" t="str">
        <f>"01047"</f>
        <v>01047</v>
      </c>
      <c r="C1477" s="14" t="str">
        <f>"1600"</f>
        <v>1600</v>
      </c>
      <c r="D1477" s="14" t="str">
        <f>"18107"</f>
        <v>18107</v>
      </c>
      <c r="E1477" s="14" t="s">
        <v>675</v>
      </c>
      <c r="F1477" s="14" t="s">
        <v>59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60</v>
      </c>
      <c r="L1477" s="14" t="s">
        <v>661</v>
      </c>
      <c r="P1477" s="14" t="s">
        <v>31</v>
      </c>
      <c r="Q1477" s="14" t="s">
        <v>25</v>
      </c>
      <c r="R1477" s="14" t="s">
        <v>60</v>
      </c>
    </row>
    <row r="1478" spans="1:18" s="14" customFormat="1" x14ac:dyDescent="0.25">
      <c r="A1478" s="14" t="str">
        <f>"84088"</f>
        <v>84088</v>
      </c>
      <c r="B1478" s="14" t="str">
        <f>"07020"</f>
        <v>07020</v>
      </c>
      <c r="C1478" s="14" t="str">
        <f>"1700"</f>
        <v>1700</v>
      </c>
      <c r="D1478" s="14" t="str">
        <f>"84088"</f>
        <v>84088</v>
      </c>
      <c r="E1478" s="14" t="s">
        <v>1623</v>
      </c>
      <c r="F1478" s="14" t="s">
        <v>1532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60</v>
      </c>
      <c r="L1478" s="14" t="s">
        <v>53</v>
      </c>
      <c r="P1478" s="14" t="s">
        <v>31</v>
      </c>
      <c r="Q1478" s="14" t="s">
        <v>31</v>
      </c>
      <c r="R1478" s="14" t="s">
        <v>60</v>
      </c>
    </row>
    <row r="1479" spans="1:18" s="14" customFormat="1" x14ac:dyDescent="0.25">
      <c r="A1479" s="14" t="str">
        <f>"84141"</f>
        <v>84141</v>
      </c>
      <c r="B1479" s="14" t="str">
        <f>"07020"</f>
        <v>07020</v>
      </c>
      <c r="C1479" s="14" t="str">
        <f>"1700"</f>
        <v>1700</v>
      </c>
      <c r="D1479" s="14" t="str">
        <f>"84141"</f>
        <v>84141</v>
      </c>
      <c r="E1479" s="14" t="s">
        <v>1668</v>
      </c>
      <c r="F1479" s="14" t="s">
        <v>1532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60</v>
      </c>
      <c r="L1479" s="14" t="s">
        <v>53</v>
      </c>
      <c r="M1479" s="14" t="s">
        <v>54</v>
      </c>
      <c r="P1479" s="14" t="s">
        <v>31</v>
      </c>
      <c r="Q1479" s="14" t="s">
        <v>31</v>
      </c>
      <c r="R1479" s="14" t="s">
        <v>60</v>
      </c>
    </row>
    <row r="1480" spans="1:18" s="14" customFormat="1" x14ac:dyDescent="0.25">
      <c r="A1480" s="14" t="str">
        <f>"84026"</f>
        <v>84026</v>
      </c>
      <c r="B1480" s="14" t="str">
        <f>"07020"</f>
        <v>07020</v>
      </c>
      <c r="C1480" s="14" t="str">
        <f>"1700"</f>
        <v>1700</v>
      </c>
      <c r="D1480" s="14" t="str">
        <f>"84026"</f>
        <v>84026</v>
      </c>
      <c r="E1480" s="14" t="s">
        <v>1567</v>
      </c>
      <c r="F1480" s="14" t="s">
        <v>1532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1568</v>
      </c>
      <c r="P1480" s="14" t="s">
        <v>31</v>
      </c>
      <c r="Q1480" s="14" t="s">
        <v>31</v>
      </c>
      <c r="R1480" s="14" t="s">
        <v>115</v>
      </c>
    </row>
    <row r="1481" spans="1:18" s="14" customFormat="1" x14ac:dyDescent="0.25">
      <c r="A1481" s="14" t="str">
        <f>"10001"</f>
        <v>10001</v>
      </c>
      <c r="B1481" s="14" t="str">
        <f>"01660"</f>
        <v>01660</v>
      </c>
      <c r="C1481" s="14" t="str">
        <f>"1300"</f>
        <v>1300</v>
      </c>
      <c r="D1481" s="14" t="str">
        <f>"01660"</f>
        <v>01660</v>
      </c>
      <c r="E1481" s="14" t="s">
        <v>20</v>
      </c>
      <c r="F1481" s="14" t="s">
        <v>145</v>
      </c>
      <c r="G1481" s="14" t="str">
        <f>""</f>
        <v/>
      </c>
      <c r="H1481" s="14" t="str">
        <f>" 20"</f>
        <v xml:space="preserve"> 20</v>
      </c>
      <c r="I1481" s="14">
        <v>500.01</v>
      </c>
      <c r="J1481" s="14">
        <v>9999999.9900000002</v>
      </c>
      <c r="K1481" s="14" t="s">
        <v>147</v>
      </c>
      <c r="L1481" s="14" t="s">
        <v>148</v>
      </c>
      <c r="P1481" s="14" t="s">
        <v>39</v>
      </c>
      <c r="Q1481" s="14" t="s">
        <v>25</v>
      </c>
      <c r="R1481" s="14" t="s">
        <v>146</v>
      </c>
    </row>
    <row r="1482" spans="1:18" s="14" customFormat="1" x14ac:dyDescent="0.25">
      <c r="A1482" s="14" t="str">
        <f>"10001"</f>
        <v>10001</v>
      </c>
      <c r="B1482" s="14" t="str">
        <f>"01670"</f>
        <v>01670</v>
      </c>
      <c r="C1482" s="14" t="str">
        <f>"1100"</f>
        <v>1100</v>
      </c>
      <c r="D1482" s="14" t="str">
        <f>"01670"</f>
        <v>01670</v>
      </c>
      <c r="E1482" s="14" t="s">
        <v>20</v>
      </c>
      <c r="F1482" s="14" t="s">
        <v>151</v>
      </c>
      <c r="G1482" s="14" t="str">
        <f>""</f>
        <v/>
      </c>
      <c r="H1482" s="14" t="str">
        <f>" 20"</f>
        <v xml:space="preserve"> 20</v>
      </c>
      <c r="I1482" s="14">
        <v>500.01</v>
      </c>
      <c r="J1482" s="14">
        <v>9999999.9900000002</v>
      </c>
      <c r="K1482" s="14" t="s">
        <v>147</v>
      </c>
      <c r="L1482" s="14" t="s">
        <v>148</v>
      </c>
      <c r="P1482" s="14" t="s">
        <v>39</v>
      </c>
      <c r="Q1482" s="14" t="s">
        <v>25</v>
      </c>
      <c r="R1482" s="14" t="s">
        <v>146</v>
      </c>
    </row>
    <row r="1483" spans="1:18" s="14" customFormat="1" x14ac:dyDescent="0.25">
      <c r="A1483" s="14" t="str">
        <f>"10001"</f>
        <v>10001</v>
      </c>
      <c r="B1483" s="14" t="str">
        <f>"01705"</f>
        <v>01705</v>
      </c>
      <c r="C1483" s="14" t="str">
        <f>"1100"</f>
        <v>1100</v>
      </c>
      <c r="D1483" s="14" t="str">
        <f>"01705"</f>
        <v>01705</v>
      </c>
      <c r="E1483" s="14" t="s">
        <v>20</v>
      </c>
      <c r="F1483" s="14" t="s">
        <v>159</v>
      </c>
      <c r="G1483" s="14" t="str">
        <f>""</f>
        <v/>
      </c>
      <c r="H1483" s="14" t="str">
        <f>" 20"</f>
        <v xml:space="preserve"> 20</v>
      </c>
      <c r="I1483" s="14">
        <v>500.01</v>
      </c>
      <c r="J1483" s="14">
        <v>9999999.9900000002</v>
      </c>
      <c r="K1483" s="14" t="s">
        <v>147</v>
      </c>
      <c r="L1483" s="14" t="s">
        <v>154</v>
      </c>
      <c r="M1483" s="14" t="s">
        <v>160</v>
      </c>
      <c r="P1483" s="14" t="s">
        <v>39</v>
      </c>
      <c r="Q1483" s="14" t="s">
        <v>25</v>
      </c>
      <c r="R1483" s="14" t="s">
        <v>146</v>
      </c>
    </row>
    <row r="1484" spans="1:18" s="14" customFormat="1" x14ac:dyDescent="0.25">
      <c r="A1484" s="14" t="str">
        <f>"10001"</f>
        <v>10001</v>
      </c>
      <c r="B1484" s="14" t="str">
        <f>"01730"</f>
        <v>01730</v>
      </c>
      <c r="C1484" s="14" t="str">
        <f>"1100"</f>
        <v>1100</v>
      </c>
      <c r="D1484" s="14" t="str">
        <f>"01730"</f>
        <v>01730</v>
      </c>
      <c r="E1484" s="14" t="s">
        <v>20</v>
      </c>
      <c r="F1484" s="14" t="s">
        <v>165</v>
      </c>
      <c r="G1484" s="14" t="str">
        <f>""</f>
        <v/>
      </c>
      <c r="H1484" s="14" t="str">
        <f>" 10"</f>
        <v xml:space="preserve"> 10</v>
      </c>
      <c r="I1484" s="14">
        <v>0.01</v>
      </c>
      <c r="J1484" s="14">
        <v>500</v>
      </c>
      <c r="K1484" s="14" t="s">
        <v>147</v>
      </c>
      <c r="L1484" s="14" t="s">
        <v>146</v>
      </c>
      <c r="P1484" s="14" t="s">
        <v>39</v>
      </c>
      <c r="Q1484" s="14" t="s">
        <v>25</v>
      </c>
      <c r="R1484" s="14" t="s">
        <v>146</v>
      </c>
    </row>
    <row r="1485" spans="1:18" s="14" customFormat="1" x14ac:dyDescent="0.25">
      <c r="A1485" s="14" t="str">
        <f>"10001"</f>
        <v>10001</v>
      </c>
      <c r="B1485" s="14" t="str">
        <f>"01750"</f>
        <v>01750</v>
      </c>
      <c r="C1485" s="14" t="str">
        <f>"1100"</f>
        <v>1100</v>
      </c>
      <c r="D1485" s="14" t="str">
        <f>"01750"</f>
        <v>01750</v>
      </c>
      <c r="E1485" s="14" t="s">
        <v>20</v>
      </c>
      <c r="F1485" s="14" t="s">
        <v>167</v>
      </c>
      <c r="G1485" s="14" t="str">
        <f>""</f>
        <v/>
      </c>
      <c r="H1485" s="14" t="str">
        <f>" 10"</f>
        <v xml:space="preserve"> 10</v>
      </c>
      <c r="I1485" s="14">
        <v>0.01</v>
      </c>
      <c r="J1485" s="14">
        <v>500</v>
      </c>
      <c r="K1485" s="14" t="s">
        <v>147</v>
      </c>
      <c r="L1485" s="14" t="s">
        <v>146</v>
      </c>
      <c r="P1485" s="14" t="s">
        <v>39</v>
      </c>
      <c r="Q1485" s="14" t="s">
        <v>25</v>
      </c>
      <c r="R1485" s="14" t="s">
        <v>146</v>
      </c>
    </row>
    <row r="1486" spans="1:18" s="14" customFormat="1" x14ac:dyDescent="0.25">
      <c r="A1486" s="14" t="str">
        <f>"10001"</f>
        <v>10001</v>
      </c>
      <c r="B1486" s="14" t="str">
        <f>"01775"</f>
        <v>01775</v>
      </c>
      <c r="C1486" s="14" t="str">
        <f>"1100"</f>
        <v>1100</v>
      </c>
      <c r="D1486" s="14" t="str">
        <f>"01775"</f>
        <v>01775</v>
      </c>
      <c r="E1486" s="14" t="s">
        <v>20</v>
      </c>
      <c r="F1486" s="14" t="s">
        <v>174</v>
      </c>
      <c r="G1486" s="14" t="str">
        <f>""</f>
        <v/>
      </c>
      <c r="H1486" s="14" t="str">
        <f>" 20"</f>
        <v xml:space="preserve"> 20</v>
      </c>
      <c r="I1486" s="14">
        <v>500.01</v>
      </c>
      <c r="J1486" s="14">
        <v>9999999.9900000002</v>
      </c>
      <c r="K1486" s="14" t="s">
        <v>147</v>
      </c>
      <c r="L1486" s="14" t="s">
        <v>154</v>
      </c>
      <c r="P1486" s="14" t="s">
        <v>39</v>
      </c>
      <c r="Q1486" s="14" t="s">
        <v>25</v>
      </c>
      <c r="R1486" s="14" t="s">
        <v>146</v>
      </c>
    </row>
    <row r="1487" spans="1:18" s="14" customFormat="1" x14ac:dyDescent="0.25">
      <c r="A1487" s="14" t="str">
        <f>"11034"</f>
        <v>11034</v>
      </c>
      <c r="B1487" s="14" t="str">
        <f>"01660"</f>
        <v>01660</v>
      </c>
      <c r="C1487" s="14" t="str">
        <f>"1300"</f>
        <v>1300</v>
      </c>
      <c r="D1487" s="14" t="str">
        <f>""</f>
        <v/>
      </c>
      <c r="E1487" s="14" t="s">
        <v>468</v>
      </c>
      <c r="F1487" s="14" t="s">
        <v>145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147</v>
      </c>
      <c r="L1487" s="14" t="s">
        <v>148</v>
      </c>
      <c r="P1487" s="14" t="s">
        <v>25</v>
      </c>
      <c r="Q1487" s="14" t="s">
        <v>25</v>
      </c>
      <c r="R1487" s="14" t="s">
        <v>146</v>
      </c>
    </row>
    <row r="1488" spans="1:18" s="14" customFormat="1" x14ac:dyDescent="0.25">
      <c r="A1488" s="14" t="str">
        <f>"11040"</f>
        <v>11040</v>
      </c>
      <c r="B1488" s="14" t="str">
        <f>"01670"</f>
        <v>01670</v>
      </c>
      <c r="C1488" s="14" t="str">
        <f>"1100"</f>
        <v>1100</v>
      </c>
      <c r="D1488" s="14" t="str">
        <f>""</f>
        <v/>
      </c>
      <c r="E1488" s="14" t="s">
        <v>474</v>
      </c>
      <c r="F1488" s="14" t="s">
        <v>151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147</v>
      </c>
      <c r="L1488" s="14" t="s">
        <v>148</v>
      </c>
      <c r="P1488" s="14" t="s">
        <v>25</v>
      </c>
      <c r="Q1488" s="14" t="s">
        <v>25</v>
      </c>
      <c r="R1488" s="14" t="s">
        <v>146</v>
      </c>
    </row>
    <row r="1489" spans="1:18" s="14" customFormat="1" x14ac:dyDescent="0.25">
      <c r="A1489" s="14" t="str">
        <f>"11042"</f>
        <v>11042</v>
      </c>
      <c r="B1489" s="14" t="str">
        <f>"01710"</f>
        <v>01710</v>
      </c>
      <c r="C1489" s="14" t="str">
        <f>"1100"</f>
        <v>1100</v>
      </c>
      <c r="D1489" s="14" t="str">
        <f>""</f>
        <v/>
      </c>
      <c r="E1489" s="14" t="s">
        <v>476</v>
      </c>
      <c r="F1489" s="14" t="s">
        <v>161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147</v>
      </c>
      <c r="L1489" s="14" t="s">
        <v>154</v>
      </c>
      <c r="P1489" s="14" t="s">
        <v>25</v>
      </c>
      <c r="Q1489" s="14" t="s">
        <v>25</v>
      </c>
      <c r="R1489" s="14" t="s">
        <v>146</v>
      </c>
    </row>
    <row r="1490" spans="1:18" s="14" customFormat="1" x14ac:dyDescent="0.25">
      <c r="A1490" s="14" t="str">
        <f>"11051"</f>
        <v>11051</v>
      </c>
      <c r="B1490" s="14" t="str">
        <f>"01770"</f>
        <v>01770</v>
      </c>
      <c r="C1490" s="14" t="str">
        <f>"1100"</f>
        <v>1100</v>
      </c>
      <c r="D1490" s="14" t="str">
        <f>""</f>
        <v/>
      </c>
      <c r="E1490" s="14" t="s">
        <v>485</v>
      </c>
      <c r="F1490" s="14" t="s">
        <v>172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147</v>
      </c>
      <c r="L1490" s="14" t="s">
        <v>154</v>
      </c>
      <c r="P1490" s="14" t="s">
        <v>25</v>
      </c>
      <c r="Q1490" s="14" t="s">
        <v>25</v>
      </c>
      <c r="R1490" s="14" t="s">
        <v>146</v>
      </c>
    </row>
    <row r="1491" spans="1:18" s="14" customFormat="1" x14ac:dyDescent="0.25">
      <c r="A1491" s="14" t="str">
        <f>"18020"</f>
        <v>18020</v>
      </c>
      <c r="B1491" s="14" t="str">
        <f>"01660"</f>
        <v>01660</v>
      </c>
      <c r="C1491" s="14" t="str">
        <f>"1300"</f>
        <v>1300</v>
      </c>
      <c r="D1491" s="14" t="str">
        <f>"18020"</f>
        <v>18020</v>
      </c>
      <c r="E1491" s="14" t="s">
        <v>604</v>
      </c>
      <c r="F1491" s="14" t="s">
        <v>145</v>
      </c>
      <c r="G1491" s="14" t="str">
        <f>""</f>
        <v/>
      </c>
      <c r="H1491" s="14" t="str">
        <f>" 20"</f>
        <v xml:space="preserve"> 20</v>
      </c>
      <c r="I1491" s="14">
        <v>500.01</v>
      </c>
      <c r="J1491" s="14">
        <v>9999999.9900000002</v>
      </c>
      <c r="K1491" s="14" t="s">
        <v>147</v>
      </c>
      <c r="L1491" s="14" t="s">
        <v>148</v>
      </c>
      <c r="P1491" s="14" t="s">
        <v>39</v>
      </c>
      <c r="Q1491" s="14" t="s">
        <v>25</v>
      </c>
      <c r="R1491" s="14" t="s">
        <v>146</v>
      </c>
    </row>
    <row r="1492" spans="1:18" s="14" customFormat="1" x14ac:dyDescent="0.25">
      <c r="A1492" s="14" t="str">
        <f>"18024"</f>
        <v>18024</v>
      </c>
      <c r="B1492" s="14" t="str">
        <f>"01660"</f>
        <v>01660</v>
      </c>
      <c r="C1492" s="14" t="str">
        <f>"1300"</f>
        <v>1300</v>
      </c>
      <c r="D1492" s="14" t="str">
        <f>"18024"</f>
        <v>18024</v>
      </c>
      <c r="E1492" s="14" t="s">
        <v>606</v>
      </c>
      <c r="F1492" s="14" t="s">
        <v>145</v>
      </c>
      <c r="G1492" s="14" t="str">
        <f>""</f>
        <v/>
      </c>
      <c r="H1492" s="14" t="str">
        <f>" 20"</f>
        <v xml:space="preserve"> 20</v>
      </c>
      <c r="I1492" s="14">
        <v>500.01</v>
      </c>
      <c r="J1492" s="14">
        <v>9999999.9900000002</v>
      </c>
      <c r="K1492" s="14" t="s">
        <v>147</v>
      </c>
      <c r="L1492" s="14" t="s">
        <v>148</v>
      </c>
      <c r="P1492" s="14" t="s">
        <v>39</v>
      </c>
      <c r="Q1492" s="14" t="s">
        <v>25</v>
      </c>
      <c r="R1492" s="14" t="s">
        <v>146</v>
      </c>
    </row>
    <row r="1493" spans="1:18" s="14" customFormat="1" x14ac:dyDescent="0.25">
      <c r="A1493" s="14" t="str">
        <f>"18081"</f>
        <v>18081</v>
      </c>
      <c r="B1493" s="14" t="str">
        <f>"01670"</f>
        <v>01670</v>
      </c>
      <c r="C1493" s="14" t="str">
        <f>"1600"</f>
        <v>1600</v>
      </c>
      <c r="D1493" s="14" t="str">
        <f>"18081"</f>
        <v>18081</v>
      </c>
      <c r="E1493" s="14" t="s">
        <v>660</v>
      </c>
      <c r="F1493" s="14" t="s">
        <v>151</v>
      </c>
      <c r="G1493" s="14" t="str">
        <f>""</f>
        <v/>
      </c>
      <c r="H1493" s="14" t="str">
        <f>" 20"</f>
        <v xml:space="preserve"> 20</v>
      </c>
      <c r="I1493" s="14">
        <v>500.01</v>
      </c>
      <c r="J1493" s="14">
        <v>9999999.9900000002</v>
      </c>
      <c r="K1493" s="14" t="s">
        <v>147</v>
      </c>
      <c r="L1493" s="14" t="s">
        <v>661</v>
      </c>
      <c r="P1493" s="14" t="s">
        <v>39</v>
      </c>
      <c r="Q1493" s="14" t="s">
        <v>25</v>
      </c>
      <c r="R1493" s="14" t="s">
        <v>146</v>
      </c>
    </row>
    <row r="1494" spans="1:18" s="14" customFormat="1" x14ac:dyDescent="0.25">
      <c r="A1494" s="14" t="str">
        <f>"18122"</f>
        <v>18122</v>
      </c>
      <c r="B1494" s="14" t="str">
        <f>"01695"</f>
        <v>01695</v>
      </c>
      <c r="C1494" s="14" t="str">
        <f>"1600"</f>
        <v>1600</v>
      </c>
      <c r="D1494" s="14" t="str">
        <f>"18122"</f>
        <v>18122</v>
      </c>
      <c r="E1494" s="14" t="s">
        <v>687</v>
      </c>
      <c r="F1494" s="14" t="s">
        <v>155</v>
      </c>
      <c r="G1494" s="14" t="str">
        <f>""</f>
        <v/>
      </c>
      <c r="H1494" s="14" t="str">
        <f>" 20"</f>
        <v xml:space="preserve"> 20</v>
      </c>
      <c r="I1494" s="14">
        <v>500.01</v>
      </c>
      <c r="J1494" s="14">
        <v>9999999.9900000002</v>
      </c>
      <c r="K1494" s="14" t="s">
        <v>147</v>
      </c>
      <c r="L1494" s="14" t="s">
        <v>156</v>
      </c>
      <c r="P1494" s="14" t="s">
        <v>39</v>
      </c>
      <c r="Q1494" s="14" t="s">
        <v>25</v>
      </c>
      <c r="R1494" s="14" t="s">
        <v>146</v>
      </c>
    </row>
    <row r="1495" spans="1:18" s="14" customFormat="1" x14ac:dyDescent="0.25">
      <c r="A1495" s="14" t="str">
        <f>"18503"</f>
        <v>18503</v>
      </c>
      <c r="B1495" s="14" t="str">
        <f>"01660"</f>
        <v>01660</v>
      </c>
      <c r="C1495" s="14" t="str">
        <f>"1300"</f>
        <v>1300</v>
      </c>
      <c r="D1495" s="14" t="str">
        <f>""</f>
        <v/>
      </c>
      <c r="E1495" s="14" t="s">
        <v>703</v>
      </c>
      <c r="F1495" s="14" t="s">
        <v>145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147</v>
      </c>
      <c r="L1495" s="14" t="s">
        <v>148</v>
      </c>
      <c r="P1495" s="14" t="s">
        <v>701</v>
      </c>
      <c r="Q1495" s="14" t="s">
        <v>25</v>
      </c>
      <c r="R1495" s="14" t="s">
        <v>146</v>
      </c>
    </row>
    <row r="1496" spans="1:18" s="14" customFormat="1" x14ac:dyDescent="0.25">
      <c r="A1496" s="14" t="str">
        <f>"18507"</f>
        <v>18507</v>
      </c>
      <c r="B1496" s="14" t="str">
        <f>"01670"</f>
        <v>01670</v>
      </c>
      <c r="C1496" s="14" t="str">
        <f>"1300"</f>
        <v>1300</v>
      </c>
      <c r="D1496" s="14" t="str">
        <f>""</f>
        <v/>
      </c>
      <c r="E1496" s="14" t="s">
        <v>706</v>
      </c>
      <c r="F1496" s="14" t="s">
        <v>151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147</v>
      </c>
      <c r="L1496" s="14" t="s">
        <v>148</v>
      </c>
      <c r="P1496" s="14" t="s">
        <v>701</v>
      </c>
      <c r="Q1496" s="14" t="s">
        <v>25</v>
      </c>
      <c r="R1496" s="14" t="s">
        <v>146</v>
      </c>
    </row>
    <row r="1497" spans="1:18" s="14" customFormat="1" x14ac:dyDescent="0.25">
      <c r="A1497" s="14" t="str">
        <f>"18524"</f>
        <v>18524</v>
      </c>
      <c r="B1497" s="14" t="str">
        <f>"01705"</f>
        <v>01705</v>
      </c>
      <c r="C1497" s="14" t="str">
        <f>"1300"</f>
        <v>1300</v>
      </c>
      <c r="D1497" s="14" t="str">
        <f>""</f>
        <v/>
      </c>
      <c r="E1497" s="14" t="s">
        <v>721</v>
      </c>
      <c r="F1497" s="14" t="s">
        <v>159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147</v>
      </c>
      <c r="P1497" s="14" t="s">
        <v>701</v>
      </c>
      <c r="Q1497" s="14" t="s">
        <v>25</v>
      </c>
      <c r="R1497" s="14" t="s">
        <v>146</v>
      </c>
    </row>
    <row r="1498" spans="1:18" s="14" customFormat="1" x14ac:dyDescent="0.25">
      <c r="A1498" s="14" t="str">
        <f>"19200"</f>
        <v>19200</v>
      </c>
      <c r="B1498" s="14" t="str">
        <f>"01670"</f>
        <v>01670</v>
      </c>
      <c r="C1498" s="14" t="str">
        <f>"1300"</f>
        <v>1300</v>
      </c>
      <c r="D1498" s="14" t="str">
        <f>"19200"</f>
        <v>19200</v>
      </c>
      <c r="E1498" s="14" t="s">
        <v>758</v>
      </c>
      <c r="F1498" s="14" t="s">
        <v>151</v>
      </c>
      <c r="G1498" s="14" t="str">
        <f>"GR0019200"</f>
        <v>GR0019200</v>
      </c>
      <c r="H1498" s="14" t="str">
        <f>" 20"</f>
        <v xml:space="preserve"> 20</v>
      </c>
      <c r="I1498" s="14">
        <v>500.01</v>
      </c>
      <c r="J1498" s="14">
        <v>9999999.9900000002</v>
      </c>
      <c r="K1498" s="14" t="s">
        <v>147</v>
      </c>
      <c r="L1498" s="14" t="s">
        <v>148</v>
      </c>
      <c r="O1498" s="14" t="s">
        <v>759</v>
      </c>
      <c r="P1498" s="14" t="s">
        <v>39</v>
      </c>
      <c r="Q1498" s="14" t="s">
        <v>39</v>
      </c>
      <c r="R1498" s="14" t="s">
        <v>146</v>
      </c>
    </row>
    <row r="1499" spans="1:18" s="14" customFormat="1" x14ac:dyDescent="0.25">
      <c r="A1499" s="14" t="str">
        <f>"19293"</f>
        <v>19293</v>
      </c>
      <c r="B1499" s="14" t="str">
        <f>"01670"</f>
        <v>01670</v>
      </c>
      <c r="C1499" s="14" t="str">
        <f>"1300"</f>
        <v>1300</v>
      </c>
      <c r="D1499" s="14" t="str">
        <f>"19293"</f>
        <v>19293</v>
      </c>
      <c r="E1499" s="14" t="s">
        <v>815</v>
      </c>
      <c r="F1499" s="14" t="s">
        <v>151</v>
      </c>
      <c r="G1499" s="14" t="str">
        <f>"GR0019293"</f>
        <v>GR0019293</v>
      </c>
      <c r="H1499" s="14" t="str">
        <f>" 20"</f>
        <v xml:space="preserve"> 20</v>
      </c>
      <c r="I1499" s="14">
        <v>500.01</v>
      </c>
      <c r="J1499" s="14">
        <v>9999999.9900000002</v>
      </c>
      <c r="K1499" s="14" t="s">
        <v>147</v>
      </c>
      <c r="L1499" s="14" t="s">
        <v>148</v>
      </c>
      <c r="O1499" s="14" t="s">
        <v>816</v>
      </c>
      <c r="P1499" s="14" t="s">
        <v>39</v>
      </c>
      <c r="Q1499" s="14" t="s">
        <v>39</v>
      </c>
      <c r="R1499" s="14" t="s">
        <v>146</v>
      </c>
    </row>
    <row r="1500" spans="1:18" s="14" customFormat="1" x14ac:dyDescent="0.25">
      <c r="A1500" s="14" t="str">
        <f>"19294"</f>
        <v>19294</v>
      </c>
      <c r="B1500" s="14" t="str">
        <f>"01765"</f>
        <v>01765</v>
      </c>
      <c r="C1500" s="14" t="str">
        <f>"1300"</f>
        <v>1300</v>
      </c>
      <c r="D1500" s="14" t="str">
        <f>"19294"</f>
        <v>19294</v>
      </c>
      <c r="E1500" s="14" t="s">
        <v>817</v>
      </c>
      <c r="F1500" s="14" t="s">
        <v>170</v>
      </c>
      <c r="G1500" s="14" t="str">
        <f>"GR0019294"</f>
        <v>GR0019294</v>
      </c>
      <c r="H1500" s="14" t="str">
        <f>" 20"</f>
        <v xml:space="preserve"> 20</v>
      </c>
      <c r="I1500" s="14">
        <v>500.01</v>
      </c>
      <c r="J1500" s="14">
        <v>9999999.9900000002</v>
      </c>
      <c r="K1500" s="14" t="s">
        <v>147</v>
      </c>
      <c r="L1500" s="14" t="s">
        <v>171</v>
      </c>
      <c r="O1500" s="14" t="s">
        <v>818</v>
      </c>
      <c r="P1500" s="14" t="s">
        <v>39</v>
      </c>
      <c r="Q1500" s="14" t="s">
        <v>39</v>
      </c>
      <c r="R1500" s="14" t="s">
        <v>146</v>
      </c>
    </row>
    <row r="1501" spans="1:18" s="14" customFormat="1" x14ac:dyDescent="0.25">
      <c r="A1501" s="14" t="str">
        <f>"21165"</f>
        <v>21165</v>
      </c>
      <c r="B1501" s="14" t="str">
        <f>"01695"</f>
        <v>01695</v>
      </c>
      <c r="C1501" s="14" t="str">
        <f>"1600"</f>
        <v>1600</v>
      </c>
      <c r="D1501" s="14" t="str">
        <f>"21165"</f>
        <v>21165</v>
      </c>
      <c r="E1501" s="14" t="s">
        <v>847</v>
      </c>
      <c r="F1501" s="14" t="s">
        <v>155</v>
      </c>
      <c r="G1501" s="14" t="str">
        <f>"GR0021161"</f>
        <v>GR0021161</v>
      </c>
      <c r="H1501" s="14" t="str">
        <f>" 20"</f>
        <v xml:space="preserve"> 20</v>
      </c>
      <c r="I1501" s="14">
        <v>500.01</v>
      </c>
      <c r="J1501" s="14">
        <v>9999999.9900000002</v>
      </c>
      <c r="K1501" s="14" t="s">
        <v>147</v>
      </c>
      <c r="L1501" s="14" t="s">
        <v>156</v>
      </c>
      <c r="O1501" s="14" t="s">
        <v>156</v>
      </c>
      <c r="P1501" s="14" t="s">
        <v>701</v>
      </c>
      <c r="Q1501" s="14" t="s">
        <v>701</v>
      </c>
      <c r="R1501" s="14" t="s">
        <v>146</v>
      </c>
    </row>
    <row r="1502" spans="1:18" s="14" customFormat="1" x14ac:dyDescent="0.25">
      <c r="A1502" s="14" t="str">
        <f>"21183"</f>
        <v>21183</v>
      </c>
      <c r="B1502" s="14" t="str">
        <f>"01695"</f>
        <v>01695</v>
      </c>
      <c r="C1502" s="14" t="str">
        <f>"1600"</f>
        <v>1600</v>
      </c>
      <c r="D1502" s="14" t="str">
        <f>"21183"</f>
        <v>21183</v>
      </c>
      <c r="E1502" s="14" t="s">
        <v>851</v>
      </c>
      <c r="F1502" s="14" t="s">
        <v>155</v>
      </c>
      <c r="G1502" s="14" t="str">
        <f>"GR0021161"</f>
        <v>GR0021161</v>
      </c>
      <c r="H1502" s="14" t="str">
        <f>" 20"</f>
        <v xml:space="preserve"> 20</v>
      </c>
      <c r="I1502" s="14">
        <v>500.01</v>
      </c>
      <c r="J1502" s="14">
        <v>9999999.9900000002</v>
      </c>
      <c r="K1502" s="14" t="s">
        <v>147</v>
      </c>
      <c r="L1502" s="14" t="s">
        <v>156</v>
      </c>
      <c r="O1502" s="14" t="s">
        <v>156</v>
      </c>
      <c r="P1502" s="14" t="s">
        <v>701</v>
      </c>
      <c r="Q1502" s="14" t="s">
        <v>701</v>
      </c>
      <c r="R1502" s="14" t="s">
        <v>146</v>
      </c>
    </row>
    <row r="1503" spans="1:18" s="14" customFormat="1" x14ac:dyDescent="0.25">
      <c r="A1503" s="14" t="str">
        <f>"21189"</f>
        <v>21189</v>
      </c>
      <c r="B1503" s="14" t="str">
        <f>"01670"</f>
        <v>01670</v>
      </c>
      <c r="C1503" s="14" t="str">
        <f>"1600"</f>
        <v>1600</v>
      </c>
      <c r="D1503" s="14" t="str">
        <f>"21189"</f>
        <v>21189</v>
      </c>
      <c r="E1503" s="14" t="s">
        <v>855</v>
      </c>
      <c r="F1503" s="14" t="s">
        <v>151</v>
      </c>
      <c r="G1503" s="14" t="str">
        <f>"GR0021157"</f>
        <v>GR0021157</v>
      </c>
      <c r="H1503" s="14" t="str">
        <f>" 20"</f>
        <v xml:space="preserve"> 20</v>
      </c>
      <c r="I1503" s="14">
        <v>500.01</v>
      </c>
      <c r="J1503" s="14">
        <v>9999999.9900000002</v>
      </c>
      <c r="K1503" s="14" t="s">
        <v>147</v>
      </c>
      <c r="L1503" s="14" t="s">
        <v>856</v>
      </c>
      <c r="M1503" s="14" t="s">
        <v>661</v>
      </c>
      <c r="O1503" s="14" t="s">
        <v>856</v>
      </c>
      <c r="P1503" s="14" t="s">
        <v>701</v>
      </c>
      <c r="Q1503" s="14" t="s">
        <v>701</v>
      </c>
      <c r="R1503" s="14" t="s">
        <v>146</v>
      </c>
    </row>
    <row r="1504" spans="1:18" s="14" customFormat="1" x14ac:dyDescent="0.25">
      <c r="A1504" s="14" t="str">
        <f>"21190"</f>
        <v>21190</v>
      </c>
      <c r="B1504" s="14" t="str">
        <f>"01670"</f>
        <v>01670</v>
      </c>
      <c r="C1504" s="14" t="str">
        <f>"1600"</f>
        <v>1600</v>
      </c>
      <c r="D1504" s="14" t="str">
        <f>"21190"</f>
        <v>21190</v>
      </c>
      <c r="E1504" s="14" t="s">
        <v>857</v>
      </c>
      <c r="F1504" s="14" t="s">
        <v>151</v>
      </c>
      <c r="G1504" s="14" t="str">
        <f>"GR0021157"</f>
        <v>GR0021157</v>
      </c>
      <c r="H1504" s="14" t="str">
        <f>" 20"</f>
        <v xml:space="preserve"> 20</v>
      </c>
      <c r="I1504" s="14">
        <v>500.01</v>
      </c>
      <c r="J1504" s="14">
        <v>9999999.9900000002</v>
      </c>
      <c r="K1504" s="14" t="s">
        <v>147</v>
      </c>
      <c r="L1504" s="14" t="s">
        <v>856</v>
      </c>
      <c r="M1504" s="14" t="s">
        <v>661</v>
      </c>
      <c r="O1504" s="14" t="s">
        <v>856</v>
      </c>
      <c r="P1504" s="14" t="s">
        <v>701</v>
      </c>
      <c r="Q1504" s="14" t="s">
        <v>701</v>
      </c>
      <c r="R1504" s="14" t="s">
        <v>146</v>
      </c>
    </row>
    <row r="1505" spans="1:18" s="14" customFormat="1" x14ac:dyDescent="0.25">
      <c r="A1505" s="14" t="str">
        <f>"21191"</f>
        <v>21191</v>
      </c>
      <c r="B1505" s="14" t="str">
        <f>"01695"</f>
        <v>01695</v>
      </c>
      <c r="C1505" s="14" t="str">
        <f>"1600"</f>
        <v>1600</v>
      </c>
      <c r="D1505" s="14" t="str">
        <f>"21191"</f>
        <v>21191</v>
      </c>
      <c r="E1505" s="14" t="s">
        <v>858</v>
      </c>
      <c r="F1505" s="14" t="s">
        <v>155</v>
      </c>
      <c r="G1505" s="14" t="str">
        <f>"GR0021161"</f>
        <v>GR0021161</v>
      </c>
      <c r="H1505" s="14" t="str">
        <f>" 20"</f>
        <v xml:space="preserve"> 20</v>
      </c>
      <c r="I1505" s="14">
        <v>500.01</v>
      </c>
      <c r="J1505" s="14">
        <v>9999999.9900000002</v>
      </c>
      <c r="K1505" s="14" t="s">
        <v>147</v>
      </c>
      <c r="L1505" s="14" t="s">
        <v>156</v>
      </c>
      <c r="O1505" s="14" t="s">
        <v>156</v>
      </c>
      <c r="P1505" s="14" t="s">
        <v>701</v>
      </c>
      <c r="Q1505" s="14" t="s">
        <v>701</v>
      </c>
      <c r="R1505" s="14" t="s">
        <v>146</v>
      </c>
    </row>
    <row r="1506" spans="1:18" s="14" customFormat="1" x14ac:dyDescent="0.25">
      <c r="A1506" s="14" t="str">
        <f>"22271"</f>
        <v>22271</v>
      </c>
      <c r="B1506" s="14" t="str">
        <f>"01660"</f>
        <v>01660</v>
      </c>
      <c r="C1506" s="14" t="str">
        <f>"1600"</f>
        <v>1600</v>
      </c>
      <c r="D1506" s="14" t="str">
        <f>"22271"</f>
        <v>22271</v>
      </c>
      <c r="E1506" s="14" t="s">
        <v>867</v>
      </c>
      <c r="F1506" s="14" t="s">
        <v>145</v>
      </c>
      <c r="G1506" s="14" t="str">
        <f>"GR0022271"</f>
        <v>GR0022271</v>
      </c>
      <c r="H1506" s="14" t="str">
        <f>" 20"</f>
        <v xml:space="preserve"> 20</v>
      </c>
      <c r="I1506" s="14">
        <v>500.01</v>
      </c>
      <c r="J1506" s="14">
        <v>9999999.9900000002</v>
      </c>
      <c r="K1506" s="14" t="s">
        <v>147</v>
      </c>
      <c r="L1506" s="14" t="s">
        <v>661</v>
      </c>
      <c r="O1506" s="14" t="s">
        <v>661</v>
      </c>
      <c r="P1506" s="14" t="s">
        <v>701</v>
      </c>
      <c r="Q1506" s="14" t="s">
        <v>701</v>
      </c>
      <c r="R1506" s="14" t="s">
        <v>146</v>
      </c>
    </row>
    <row r="1507" spans="1:18" s="14" customFormat="1" x14ac:dyDescent="0.25">
      <c r="A1507" s="14" t="str">
        <f>"22275"</f>
        <v>22275</v>
      </c>
      <c r="B1507" s="14" t="str">
        <f>"01660"</f>
        <v>01660</v>
      </c>
      <c r="C1507" s="14" t="str">
        <f>"1700"</f>
        <v>1700</v>
      </c>
      <c r="D1507" s="14" t="str">
        <f>"22275"</f>
        <v>22275</v>
      </c>
      <c r="E1507" s="14" t="s">
        <v>868</v>
      </c>
      <c r="F1507" s="14" t="s">
        <v>145</v>
      </c>
      <c r="G1507" s="14" t="str">
        <f>"GR0022268"</f>
        <v>GR0022268</v>
      </c>
      <c r="H1507" s="14" t="str">
        <f>" 20"</f>
        <v xml:space="preserve"> 20</v>
      </c>
      <c r="I1507" s="14">
        <v>500.01</v>
      </c>
      <c r="J1507" s="14">
        <v>9999999.9900000002</v>
      </c>
      <c r="K1507" s="14" t="s">
        <v>147</v>
      </c>
      <c r="L1507" s="14" t="s">
        <v>148</v>
      </c>
      <c r="O1507" s="14" t="s">
        <v>147</v>
      </c>
      <c r="P1507" s="14" t="s">
        <v>701</v>
      </c>
      <c r="Q1507" s="14" t="s">
        <v>701</v>
      </c>
      <c r="R1507" s="14" t="s">
        <v>146</v>
      </c>
    </row>
    <row r="1508" spans="1:18" s="14" customFormat="1" x14ac:dyDescent="0.25">
      <c r="A1508" s="14" t="str">
        <f>"22276"</f>
        <v>22276</v>
      </c>
      <c r="B1508" s="14" t="str">
        <f>"01660"</f>
        <v>01660</v>
      </c>
      <c r="C1508" s="14" t="str">
        <f>"1800"</f>
        <v>1800</v>
      </c>
      <c r="D1508" s="14" t="str">
        <f>"22276"</f>
        <v>22276</v>
      </c>
      <c r="E1508" s="14" t="s">
        <v>869</v>
      </c>
      <c r="F1508" s="14" t="s">
        <v>145</v>
      </c>
      <c r="G1508" s="14" t="str">
        <f>"GR0022268"</f>
        <v>GR0022268</v>
      </c>
      <c r="H1508" s="14" t="str">
        <f>" 20"</f>
        <v xml:space="preserve"> 20</v>
      </c>
      <c r="I1508" s="14">
        <v>500.01</v>
      </c>
      <c r="J1508" s="14">
        <v>9999999.9900000002</v>
      </c>
      <c r="K1508" s="14" t="s">
        <v>147</v>
      </c>
      <c r="L1508" s="14" t="s">
        <v>148</v>
      </c>
      <c r="O1508" s="14" t="s">
        <v>147</v>
      </c>
      <c r="P1508" s="14" t="s">
        <v>701</v>
      </c>
      <c r="Q1508" s="14" t="s">
        <v>701</v>
      </c>
      <c r="R1508" s="14" t="s">
        <v>146</v>
      </c>
    </row>
    <row r="1509" spans="1:18" s="14" customFormat="1" x14ac:dyDescent="0.25">
      <c r="A1509" s="14" t="str">
        <f>"22277"</f>
        <v>22277</v>
      </c>
      <c r="B1509" s="14" t="str">
        <f>"01660"</f>
        <v>01660</v>
      </c>
      <c r="C1509" s="14" t="str">
        <f>"1600"</f>
        <v>1600</v>
      </c>
      <c r="D1509" s="14" t="str">
        <f>"22277"</f>
        <v>22277</v>
      </c>
      <c r="E1509" s="14" t="s">
        <v>870</v>
      </c>
      <c r="F1509" s="14" t="s">
        <v>145</v>
      </c>
      <c r="G1509" s="14" t="str">
        <f>"GR0022274"</f>
        <v>GR0022274</v>
      </c>
      <c r="H1509" s="14" t="str">
        <f>" 20"</f>
        <v xml:space="preserve"> 20</v>
      </c>
      <c r="I1509" s="14">
        <v>500.01</v>
      </c>
      <c r="J1509" s="14">
        <v>9999999.9900000002</v>
      </c>
      <c r="K1509" s="14" t="s">
        <v>147</v>
      </c>
      <c r="L1509" s="14" t="s">
        <v>661</v>
      </c>
      <c r="O1509" s="14" t="s">
        <v>661</v>
      </c>
      <c r="P1509" s="14" t="s">
        <v>701</v>
      </c>
      <c r="Q1509" s="14" t="s">
        <v>701</v>
      </c>
      <c r="R1509" s="14" t="s">
        <v>146</v>
      </c>
    </row>
    <row r="1510" spans="1:18" s="14" customFormat="1" x14ac:dyDescent="0.25">
      <c r="A1510" s="14" t="str">
        <f>"22650"</f>
        <v>22650</v>
      </c>
      <c r="B1510" s="14" t="str">
        <f>"01660"</f>
        <v>01660</v>
      </c>
      <c r="C1510" s="14" t="str">
        <f>"1100"</f>
        <v>1100</v>
      </c>
      <c r="D1510" s="14" t="str">
        <f>"22650"</f>
        <v>22650</v>
      </c>
      <c r="E1510" s="14" t="s">
        <v>871</v>
      </c>
      <c r="F1510" s="14" t="s">
        <v>145</v>
      </c>
      <c r="G1510" s="14" t="str">
        <f>"GR0022650"</f>
        <v>GR0022650</v>
      </c>
      <c r="H1510" s="14" t="str">
        <f>" 20"</f>
        <v xml:space="preserve"> 20</v>
      </c>
      <c r="I1510" s="14">
        <v>500.01</v>
      </c>
      <c r="J1510" s="14">
        <v>9999999.9900000002</v>
      </c>
      <c r="K1510" s="14" t="s">
        <v>147</v>
      </c>
      <c r="L1510" s="14" t="s">
        <v>148</v>
      </c>
      <c r="O1510" s="14" t="s">
        <v>147</v>
      </c>
      <c r="P1510" s="14" t="s">
        <v>701</v>
      </c>
      <c r="Q1510" s="14" t="s">
        <v>701</v>
      </c>
      <c r="R1510" s="14" t="s">
        <v>146</v>
      </c>
    </row>
    <row r="1511" spans="1:18" s="14" customFormat="1" x14ac:dyDescent="0.25">
      <c r="A1511" s="14" t="str">
        <f>"22655"</f>
        <v>22655</v>
      </c>
      <c r="B1511" s="14" t="str">
        <f>"01660"</f>
        <v>01660</v>
      </c>
      <c r="C1511" s="14" t="str">
        <f>"1600"</f>
        <v>1600</v>
      </c>
      <c r="D1511" s="14" t="str">
        <f>"22655"</f>
        <v>22655</v>
      </c>
      <c r="E1511" s="14" t="s">
        <v>876</v>
      </c>
      <c r="F1511" s="14" t="s">
        <v>145</v>
      </c>
      <c r="G1511" s="14" t="str">
        <f>"GR0022655"</f>
        <v>GR0022655</v>
      </c>
      <c r="H1511" s="14" t="str">
        <f>" 20"</f>
        <v xml:space="preserve"> 20</v>
      </c>
      <c r="I1511" s="14">
        <v>500.01</v>
      </c>
      <c r="J1511" s="14">
        <v>9999999.9900000002</v>
      </c>
      <c r="K1511" s="14" t="s">
        <v>147</v>
      </c>
      <c r="L1511" s="14" t="s">
        <v>661</v>
      </c>
      <c r="O1511" s="14" t="s">
        <v>661</v>
      </c>
      <c r="P1511" s="14" t="s">
        <v>701</v>
      </c>
      <c r="Q1511" s="14" t="s">
        <v>701</v>
      </c>
      <c r="R1511" s="14" t="s">
        <v>146</v>
      </c>
    </row>
    <row r="1512" spans="1:18" s="14" customFormat="1" x14ac:dyDescent="0.25">
      <c r="A1512" s="14" t="str">
        <f>"24538"</f>
        <v>24538</v>
      </c>
      <c r="B1512" s="14" t="str">
        <f>"01660"</f>
        <v>01660</v>
      </c>
      <c r="C1512" s="14" t="str">
        <f>"1600"</f>
        <v>1600</v>
      </c>
      <c r="D1512" s="14" t="str">
        <f>"24538"</f>
        <v>24538</v>
      </c>
      <c r="E1512" s="14" t="s">
        <v>908</v>
      </c>
      <c r="F1512" s="14" t="s">
        <v>145</v>
      </c>
      <c r="G1512" s="14" t="str">
        <f>"GR0024538"</f>
        <v>GR0024538</v>
      </c>
      <c r="H1512" s="14" t="str">
        <f>" 20"</f>
        <v xml:space="preserve"> 20</v>
      </c>
      <c r="I1512" s="14">
        <v>500.01</v>
      </c>
      <c r="J1512" s="14">
        <v>9999999.9900000002</v>
      </c>
      <c r="K1512" s="14" t="s">
        <v>147</v>
      </c>
      <c r="L1512" s="14" t="s">
        <v>661</v>
      </c>
      <c r="O1512" s="14" t="s">
        <v>661</v>
      </c>
      <c r="P1512" s="14" t="s">
        <v>701</v>
      </c>
      <c r="Q1512" s="14" t="s">
        <v>701</v>
      </c>
      <c r="R1512" s="14" t="s">
        <v>146</v>
      </c>
    </row>
    <row r="1513" spans="1:18" s="14" customFormat="1" x14ac:dyDescent="0.25">
      <c r="A1513" s="14" t="str">
        <f>"24539"</f>
        <v>24539</v>
      </c>
      <c r="B1513" s="14" t="str">
        <f>"01660"</f>
        <v>01660</v>
      </c>
      <c r="C1513" s="14" t="str">
        <f>"1600"</f>
        <v>1600</v>
      </c>
      <c r="D1513" s="14" t="str">
        <f>"24539"</f>
        <v>24539</v>
      </c>
      <c r="E1513" s="14" t="s">
        <v>909</v>
      </c>
      <c r="F1513" s="14" t="s">
        <v>145</v>
      </c>
      <c r="G1513" s="14" t="str">
        <f>"GR0024538"</f>
        <v>GR0024538</v>
      </c>
      <c r="H1513" s="14" t="str">
        <f>" 20"</f>
        <v xml:space="preserve"> 20</v>
      </c>
      <c r="I1513" s="14">
        <v>500.01</v>
      </c>
      <c r="J1513" s="14">
        <v>9999999.9900000002</v>
      </c>
      <c r="K1513" s="14" t="s">
        <v>147</v>
      </c>
      <c r="L1513" s="14" t="s">
        <v>661</v>
      </c>
      <c r="O1513" s="14" t="s">
        <v>661</v>
      </c>
      <c r="P1513" s="14" t="s">
        <v>701</v>
      </c>
      <c r="Q1513" s="14" t="s">
        <v>701</v>
      </c>
      <c r="R1513" s="14" t="s">
        <v>146</v>
      </c>
    </row>
    <row r="1514" spans="1:18" s="14" customFormat="1" x14ac:dyDescent="0.25">
      <c r="A1514" s="14" t="str">
        <f>"25116"</f>
        <v>25116</v>
      </c>
      <c r="B1514" s="14" t="str">
        <f>"01705"</f>
        <v>01705</v>
      </c>
      <c r="C1514" s="14" t="str">
        <f>"1600"</f>
        <v>1600</v>
      </c>
      <c r="D1514" s="14" t="str">
        <f>"25116"</f>
        <v>25116</v>
      </c>
      <c r="E1514" s="14" t="s">
        <v>917</v>
      </c>
      <c r="F1514" s="14" t="s">
        <v>159</v>
      </c>
      <c r="G1514" s="14" t="str">
        <f>"GR0025116"</f>
        <v>GR0025116</v>
      </c>
      <c r="H1514" s="14" t="str">
        <f>" 20"</f>
        <v xml:space="preserve"> 20</v>
      </c>
      <c r="I1514" s="14">
        <v>500.01</v>
      </c>
      <c r="J1514" s="14">
        <v>9999999.9900000002</v>
      </c>
      <c r="K1514" s="14" t="s">
        <v>147</v>
      </c>
      <c r="L1514" s="14" t="s">
        <v>147</v>
      </c>
      <c r="O1514" s="14" t="s">
        <v>147</v>
      </c>
      <c r="P1514" s="14" t="s">
        <v>701</v>
      </c>
      <c r="Q1514" s="14" t="s">
        <v>701</v>
      </c>
      <c r="R1514" s="14" t="s">
        <v>146</v>
      </c>
    </row>
    <row r="1515" spans="1:18" s="14" customFormat="1" x14ac:dyDescent="0.25">
      <c r="A1515" s="14" t="str">
        <f>"25150"</f>
        <v>25150</v>
      </c>
      <c r="B1515" s="14" t="str">
        <f>"01695"</f>
        <v>01695</v>
      </c>
      <c r="C1515" s="14" t="str">
        <f>"1600"</f>
        <v>1600</v>
      </c>
      <c r="D1515" s="14" t="str">
        <f>"25150"</f>
        <v>25150</v>
      </c>
      <c r="E1515" s="14" t="s">
        <v>928</v>
      </c>
      <c r="F1515" s="14" t="s">
        <v>155</v>
      </c>
      <c r="G1515" s="14" t="str">
        <f>"GR0025150"</f>
        <v>GR0025150</v>
      </c>
      <c r="H1515" s="14" t="str">
        <f>" 20"</f>
        <v xml:space="preserve"> 20</v>
      </c>
      <c r="I1515" s="14">
        <v>500.01</v>
      </c>
      <c r="J1515" s="14">
        <v>9999999.9900000002</v>
      </c>
      <c r="K1515" s="14" t="s">
        <v>147</v>
      </c>
      <c r="L1515" s="14" t="s">
        <v>156</v>
      </c>
      <c r="O1515" s="14" t="s">
        <v>156</v>
      </c>
      <c r="P1515" s="14" t="s">
        <v>701</v>
      </c>
      <c r="Q1515" s="14" t="s">
        <v>701</v>
      </c>
      <c r="R1515" s="14" t="s">
        <v>146</v>
      </c>
    </row>
    <row r="1516" spans="1:18" s="14" customFormat="1" x14ac:dyDescent="0.25">
      <c r="A1516" s="14" t="str">
        <f>"25160"</f>
        <v>25160</v>
      </c>
      <c r="B1516" s="14" t="str">
        <f>"01660"</f>
        <v>01660</v>
      </c>
      <c r="C1516" s="14" t="str">
        <f>"1800"</f>
        <v>1800</v>
      </c>
      <c r="D1516" s="14" t="str">
        <f>""</f>
        <v/>
      </c>
      <c r="E1516" s="14" t="s">
        <v>939</v>
      </c>
      <c r="F1516" s="14" t="s">
        <v>145</v>
      </c>
      <c r="G1516" s="14" t="str">
        <f>"GR0025160"</f>
        <v>GR0025160</v>
      </c>
      <c r="H1516" s="14" t="str">
        <f>" 20"</f>
        <v xml:space="preserve"> 20</v>
      </c>
      <c r="I1516" s="14">
        <v>500.01</v>
      </c>
      <c r="J1516" s="14">
        <v>9999999.9900000002</v>
      </c>
      <c r="K1516" s="14" t="s">
        <v>147</v>
      </c>
      <c r="L1516" s="14" t="s">
        <v>148</v>
      </c>
      <c r="O1516" s="14" t="s">
        <v>147</v>
      </c>
      <c r="P1516" s="14" t="s">
        <v>701</v>
      </c>
      <c r="Q1516" s="14" t="s">
        <v>701</v>
      </c>
      <c r="R1516" s="14" t="s">
        <v>146</v>
      </c>
    </row>
    <row r="1517" spans="1:18" s="14" customFormat="1" x14ac:dyDescent="0.25">
      <c r="A1517" s="14" t="str">
        <f>"84018"</f>
        <v>84018</v>
      </c>
      <c r="B1517" s="14" t="str">
        <f>"07020"</f>
        <v>07020</v>
      </c>
      <c r="C1517" s="14" t="str">
        <f>"1700"</f>
        <v>1700</v>
      </c>
      <c r="D1517" s="14" t="str">
        <f>"84018"</f>
        <v>84018</v>
      </c>
      <c r="E1517" s="14" t="s">
        <v>1556</v>
      </c>
      <c r="F1517" s="14" t="s">
        <v>1532</v>
      </c>
      <c r="G1517" s="14" t="str">
        <f>""</f>
        <v/>
      </c>
      <c r="H1517" s="14" t="str">
        <f>" 00"</f>
        <v xml:space="preserve"> 00</v>
      </c>
      <c r="I1517" s="14">
        <v>0.01</v>
      </c>
      <c r="J1517" s="14">
        <v>9999999.9900000002</v>
      </c>
      <c r="K1517" s="14" t="s">
        <v>147</v>
      </c>
      <c r="L1517" s="14" t="s">
        <v>148</v>
      </c>
      <c r="P1517" s="14" t="s">
        <v>31</v>
      </c>
      <c r="Q1517" s="14" t="s">
        <v>31</v>
      </c>
      <c r="R1517" s="14" t="s">
        <v>146</v>
      </c>
    </row>
    <row r="1518" spans="1:18" s="14" customFormat="1" x14ac:dyDescent="0.25">
      <c r="A1518" s="14" t="str">
        <f>"84040"</f>
        <v>84040</v>
      </c>
      <c r="B1518" s="14" t="str">
        <f>"07020"</f>
        <v>07020</v>
      </c>
      <c r="C1518" s="14" t="str">
        <f>"1700"</f>
        <v>1700</v>
      </c>
      <c r="D1518" s="14" t="str">
        <f>"84040"</f>
        <v>84040</v>
      </c>
      <c r="E1518" s="14" t="s">
        <v>1581</v>
      </c>
      <c r="F1518" s="14" t="s">
        <v>1532</v>
      </c>
      <c r="G1518" s="14" t="str">
        <f>""</f>
        <v/>
      </c>
      <c r="H1518" s="14" t="str">
        <f>" 20"</f>
        <v xml:space="preserve"> 20</v>
      </c>
      <c r="I1518" s="14">
        <v>500.01</v>
      </c>
      <c r="J1518" s="14">
        <v>9999999.9900000002</v>
      </c>
      <c r="K1518" s="14" t="s">
        <v>147</v>
      </c>
      <c r="L1518" s="14" t="s">
        <v>148</v>
      </c>
      <c r="P1518" s="14" t="s">
        <v>31</v>
      </c>
      <c r="Q1518" s="14" t="s">
        <v>31</v>
      </c>
      <c r="R1518" s="14" t="s">
        <v>146</v>
      </c>
    </row>
    <row r="1519" spans="1:18" s="14" customFormat="1" x14ac:dyDescent="0.25">
      <c r="A1519" s="14" t="str">
        <f>"84179"</f>
        <v>84179</v>
      </c>
      <c r="B1519" s="14" t="str">
        <f>"07020"</f>
        <v>07020</v>
      </c>
      <c r="C1519" s="14" t="str">
        <f>"1700"</f>
        <v>1700</v>
      </c>
      <c r="D1519" s="14" t="str">
        <f>"84179"</f>
        <v>84179</v>
      </c>
      <c r="E1519" s="14" t="s">
        <v>1690</v>
      </c>
      <c r="F1519" s="14" t="s">
        <v>1532</v>
      </c>
      <c r="G1519" s="14" t="str">
        <f>""</f>
        <v/>
      </c>
      <c r="H1519" s="14" t="str">
        <f>" 10"</f>
        <v xml:space="preserve"> 10</v>
      </c>
      <c r="I1519" s="14">
        <v>0.01</v>
      </c>
      <c r="J1519" s="14">
        <v>500</v>
      </c>
      <c r="K1519" s="14" t="s">
        <v>147</v>
      </c>
      <c r="L1519" s="14" t="s">
        <v>146</v>
      </c>
      <c r="P1519" s="14" t="s">
        <v>31</v>
      </c>
      <c r="Q1519" s="14" t="s">
        <v>31</v>
      </c>
      <c r="R1519" s="14" t="s">
        <v>146</v>
      </c>
    </row>
    <row r="1520" spans="1:18" s="14" customFormat="1" x14ac:dyDescent="0.25">
      <c r="A1520" s="14" t="str">
        <f>"84179"</f>
        <v>84179</v>
      </c>
      <c r="B1520" s="14" t="str">
        <f>"07020"</f>
        <v>07020</v>
      </c>
      <c r="C1520" s="14" t="str">
        <f>"1700"</f>
        <v>1700</v>
      </c>
      <c r="D1520" s="14" t="str">
        <f>"84179"</f>
        <v>84179</v>
      </c>
      <c r="E1520" s="14" t="s">
        <v>1690</v>
      </c>
      <c r="F1520" s="14" t="s">
        <v>1532</v>
      </c>
      <c r="G1520" s="14" t="str">
        <f>""</f>
        <v/>
      </c>
      <c r="H1520" s="14" t="str">
        <f>" 20"</f>
        <v xml:space="preserve"> 20</v>
      </c>
      <c r="I1520" s="14">
        <v>500.01</v>
      </c>
      <c r="J1520" s="14">
        <v>9999999.9900000002</v>
      </c>
      <c r="K1520" s="14" t="s">
        <v>147</v>
      </c>
      <c r="P1520" s="14" t="s">
        <v>31</v>
      </c>
      <c r="Q1520" s="14" t="s">
        <v>31</v>
      </c>
      <c r="R1520" s="14" t="s">
        <v>146</v>
      </c>
    </row>
    <row r="1521" spans="1:18" s="14" customFormat="1" x14ac:dyDescent="0.25">
      <c r="A1521" s="14" t="str">
        <f>"84230"</f>
        <v>84230</v>
      </c>
      <c r="B1521" s="14" t="str">
        <f>"07020"</f>
        <v>07020</v>
      </c>
      <c r="C1521" s="14" t="str">
        <f>"1700"</f>
        <v>1700</v>
      </c>
      <c r="D1521" s="14" t="str">
        <f>"84230"</f>
        <v>84230</v>
      </c>
      <c r="E1521" s="14" t="s">
        <v>1742</v>
      </c>
      <c r="F1521" s="14" t="s">
        <v>1532</v>
      </c>
      <c r="G1521" s="14" t="str">
        <f>""</f>
        <v/>
      </c>
      <c r="H1521" s="14" t="str">
        <f>" 20"</f>
        <v xml:space="preserve"> 20</v>
      </c>
      <c r="I1521" s="14">
        <v>500.01</v>
      </c>
      <c r="J1521" s="14">
        <v>9999999.9900000002</v>
      </c>
      <c r="K1521" s="14" t="s">
        <v>147</v>
      </c>
      <c r="L1521" s="14" t="s">
        <v>158</v>
      </c>
      <c r="P1521" s="14" t="s">
        <v>31</v>
      </c>
      <c r="Q1521" s="14" t="s">
        <v>31</v>
      </c>
      <c r="R1521" s="14" t="s">
        <v>147</v>
      </c>
    </row>
    <row r="1522" spans="1:18" s="14" customFormat="1" x14ac:dyDescent="0.25">
      <c r="A1522" s="14" t="str">
        <f>"85055"</f>
        <v>85055</v>
      </c>
      <c r="B1522" s="14" t="str">
        <f>"07030"</f>
        <v>07030</v>
      </c>
      <c r="C1522" s="14" t="str">
        <f>"8000"</f>
        <v>8000</v>
      </c>
      <c r="D1522" s="14" t="str">
        <f>"85055"</f>
        <v>85055</v>
      </c>
      <c r="E1522" s="14" t="s">
        <v>1783</v>
      </c>
      <c r="F1522" s="14" t="s">
        <v>1776</v>
      </c>
      <c r="G1522" s="14" t="str">
        <f>""</f>
        <v/>
      </c>
      <c r="H1522" s="14" t="str">
        <f>" 20"</f>
        <v xml:space="preserve"> 20</v>
      </c>
      <c r="I1522" s="14">
        <v>500.01</v>
      </c>
      <c r="J1522" s="14">
        <v>9999999.9900000002</v>
      </c>
      <c r="K1522" s="14" t="s">
        <v>147</v>
      </c>
      <c r="L1522" s="14" t="s">
        <v>146</v>
      </c>
      <c r="P1522" s="14" t="s">
        <v>39</v>
      </c>
      <c r="Q1522" s="14" t="s">
        <v>39</v>
      </c>
      <c r="R1522" s="14" t="s">
        <v>146</v>
      </c>
    </row>
    <row r="1523" spans="1:18" s="14" customFormat="1" x14ac:dyDescent="0.25">
      <c r="A1523" s="14" t="str">
        <f>"10001"</f>
        <v>10001</v>
      </c>
      <c r="B1523" s="14" t="str">
        <f>"05150"</f>
        <v>05150</v>
      </c>
      <c r="C1523" s="14" t="str">
        <f>"1700"</f>
        <v>1700</v>
      </c>
      <c r="D1523" s="14" t="str">
        <f>"05150"</f>
        <v>05150</v>
      </c>
      <c r="E1523" s="14" t="s">
        <v>20</v>
      </c>
      <c r="F1523" s="14" t="s">
        <v>402</v>
      </c>
      <c r="G1523" s="14" t="str">
        <f>""</f>
        <v/>
      </c>
      <c r="H1523" s="14" t="str">
        <f>" 10"</f>
        <v xml:space="preserve"> 10</v>
      </c>
      <c r="I1523" s="14">
        <v>0.01</v>
      </c>
      <c r="J1523" s="14">
        <v>500</v>
      </c>
      <c r="K1523" s="14" t="s">
        <v>403</v>
      </c>
      <c r="L1523" s="14" t="s">
        <v>404</v>
      </c>
      <c r="P1523" s="14" t="s">
        <v>39</v>
      </c>
      <c r="Q1523" s="14" t="s">
        <v>25</v>
      </c>
      <c r="R1523" s="14" t="s">
        <v>403</v>
      </c>
    </row>
    <row r="1524" spans="1:18" s="14" customFormat="1" x14ac:dyDescent="0.25">
      <c r="A1524" s="14" t="str">
        <f>"84229"</f>
        <v>84229</v>
      </c>
      <c r="B1524" s="14" t="str">
        <f>"07020"</f>
        <v>07020</v>
      </c>
      <c r="C1524" s="14" t="str">
        <f>"1700"</f>
        <v>1700</v>
      </c>
      <c r="D1524" s="14" t="str">
        <f>"84229"</f>
        <v>84229</v>
      </c>
      <c r="E1524" s="14" t="s">
        <v>1741</v>
      </c>
      <c r="F1524" s="14" t="s">
        <v>1532</v>
      </c>
      <c r="G1524" s="14" t="str">
        <f>""</f>
        <v/>
      </c>
      <c r="H1524" s="14" t="str">
        <f>" 00"</f>
        <v xml:space="preserve"> 00</v>
      </c>
      <c r="I1524" s="14">
        <v>0.01</v>
      </c>
      <c r="J1524" s="14">
        <v>9999999.9900000002</v>
      </c>
      <c r="K1524" s="14" t="s">
        <v>403</v>
      </c>
      <c r="L1524" s="14" t="s">
        <v>404</v>
      </c>
      <c r="P1524" s="14" t="s">
        <v>31</v>
      </c>
      <c r="Q1524" s="14" t="s">
        <v>31</v>
      </c>
      <c r="R1524" s="14" t="s">
        <v>404</v>
      </c>
    </row>
    <row r="1525" spans="1:18" s="14" customFormat="1" x14ac:dyDescent="0.25">
      <c r="A1525" s="14" t="str">
        <f>"84218"</f>
        <v>84218</v>
      </c>
      <c r="B1525" s="14" t="str">
        <f>"07020"</f>
        <v>07020</v>
      </c>
      <c r="C1525" s="14" t="str">
        <f>"1700"</f>
        <v>1700</v>
      </c>
      <c r="D1525" s="14" t="str">
        <f>"84218"</f>
        <v>84218</v>
      </c>
      <c r="E1525" s="14" t="s">
        <v>1725</v>
      </c>
      <c r="F1525" s="14" t="s">
        <v>1532</v>
      </c>
      <c r="G1525" s="14" t="str">
        <f>""</f>
        <v/>
      </c>
      <c r="H1525" s="14" t="str">
        <f>" 00"</f>
        <v xml:space="preserve"> 00</v>
      </c>
      <c r="I1525" s="14">
        <v>0.01</v>
      </c>
      <c r="J1525" s="14">
        <v>9999999.9900000002</v>
      </c>
      <c r="K1525" s="14" t="s">
        <v>1726</v>
      </c>
      <c r="L1525" s="14" t="s">
        <v>1727</v>
      </c>
      <c r="P1525" s="14" t="s">
        <v>31</v>
      </c>
      <c r="Q1525" s="14" t="s">
        <v>31</v>
      </c>
      <c r="R1525" s="14" t="s">
        <v>1726</v>
      </c>
    </row>
    <row r="1526" spans="1:18" s="14" customFormat="1" x14ac:dyDescent="0.25">
      <c r="A1526" s="14" t="str">
        <f>"10001"</f>
        <v>10001</v>
      </c>
      <c r="B1526" s="14" t="str">
        <f>"01330"</f>
        <v>01330</v>
      </c>
      <c r="C1526" s="14" t="str">
        <f>"1100"</f>
        <v>1100</v>
      </c>
      <c r="D1526" s="14" t="str">
        <f>"01330"</f>
        <v>01330</v>
      </c>
      <c r="E1526" s="14" t="s">
        <v>20</v>
      </c>
      <c r="F1526" s="14" t="s">
        <v>105</v>
      </c>
      <c r="G1526" s="14" t="str">
        <f>""</f>
        <v/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106</v>
      </c>
      <c r="L1526" s="14" t="s">
        <v>48</v>
      </c>
      <c r="M1526" s="14" t="s">
        <v>97</v>
      </c>
      <c r="N1526" s="14" t="s">
        <v>98</v>
      </c>
      <c r="P1526" s="14" t="s">
        <v>39</v>
      </c>
      <c r="Q1526" s="14" t="s">
        <v>25</v>
      </c>
      <c r="R1526" s="14" t="s">
        <v>49</v>
      </c>
    </row>
    <row r="1527" spans="1:18" s="14" customFormat="1" x14ac:dyDescent="0.25">
      <c r="A1527" s="14" t="str">
        <f>"10001"</f>
        <v>10001</v>
      </c>
      <c r="B1527" s="14" t="str">
        <f>"01260"</f>
        <v>01260</v>
      </c>
      <c r="C1527" s="14" t="str">
        <f>"1100"</f>
        <v>1100</v>
      </c>
      <c r="D1527" s="14" t="str">
        <f>"01260"</f>
        <v>01260</v>
      </c>
      <c r="E1527" s="14" t="s">
        <v>20</v>
      </c>
      <c r="F1527" s="14" t="s">
        <v>87</v>
      </c>
      <c r="G1527" s="14" t="str">
        <f>""</f>
        <v/>
      </c>
      <c r="H1527" s="14" t="str">
        <f>" 20"</f>
        <v xml:space="preserve"> 20</v>
      </c>
      <c r="I1527" s="14">
        <v>500.01</v>
      </c>
      <c r="J1527" s="14">
        <v>9999999.9900000002</v>
      </c>
      <c r="K1527" s="14" t="s">
        <v>90</v>
      </c>
      <c r="L1527" s="14" t="s">
        <v>88</v>
      </c>
      <c r="P1527" s="14" t="s">
        <v>31</v>
      </c>
      <c r="Q1527" s="14" t="s">
        <v>25</v>
      </c>
      <c r="R1527" s="14" t="s">
        <v>89</v>
      </c>
    </row>
    <row r="1528" spans="1:18" s="14" customFormat="1" x14ac:dyDescent="0.25">
      <c r="A1528" s="14" t="str">
        <f>"10001"</f>
        <v>10001</v>
      </c>
      <c r="B1528" s="14" t="str">
        <f>"01270"</f>
        <v>01270</v>
      </c>
      <c r="C1528" s="14" t="str">
        <f>"1100"</f>
        <v>1100</v>
      </c>
      <c r="D1528" s="14" t="str">
        <f>"01270"</f>
        <v>01270</v>
      </c>
      <c r="E1528" s="14" t="s">
        <v>20</v>
      </c>
      <c r="F1528" s="14" t="s">
        <v>91</v>
      </c>
      <c r="G1528" s="14" t="str">
        <f>""</f>
        <v/>
      </c>
      <c r="H1528" s="14" t="str">
        <f>" 20"</f>
        <v xml:space="preserve"> 20</v>
      </c>
      <c r="I1528" s="14">
        <v>500.01</v>
      </c>
      <c r="J1528" s="14">
        <v>9999999.9900000002</v>
      </c>
      <c r="K1528" s="14" t="s">
        <v>90</v>
      </c>
      <c r="L1528" s="14" t="s">
        <v>88</v>
      </c>
      <c r="P1528" s="14" t="s">
        <v>31</v>
      </c>
      <c r="Q1528" s="14" t="s">
        <v>25</v>
      </c>
      <c r="R1528" s="14" t="s">
        <v>89</v>
      </c>
    </row>
    <row r="1529" spans="1:18" s="14" customFormat="1" x14ac:dyDescent="0.25">
      <c r="A1529" s="14" t="str">
        <f>"10001"</f>
        <v>10001</v>
      </c>
      <c r="B1529" s="14" t="str">
        <f>"01305"</f>
        <v>01305</v>
      </c>
      <c r="C1529" s="14" t="str">
        <f>"1300"</f>
        <v>1300</v>
      </c>
      <c r="D1529" s="14" t="str">
        <f>"01305"</f>
        <v>01305</v>
      </c>
      <c r="E1529" s="14" t="s">
        <v>20</v>
      </c>
      <c r="F1529" s="14" t="s">
        <v>99</v>
      </c>
      <c r="G1529" s="14" t="str">
        <f>""</f>
        <v/>
      </c>
      <c r="H1529" s="14" t="str">
        <f>" 20"</f>
        <v xml:space="preserve"> 20</v>
      </c>
      <c r="I1529" s="14">
        <v>500.01</v>
      </c>
      <c r="J1529" s="14">
        <v>9999999.9900000002</v>
      </c>
      <c r="K1529" s="14" t="s">
        <v>90</v>
      </c>
      <c r="L1529" s="14" t="s">
        <v>100</v>
      </c>
      <c r="P1529" s="14" t="s">
        <v>31</v>
      </c>
      <c r="Q1529" s="14" t="s">
        <v>25</v>
      </c>
      <c r="R1529" s="14" t="s">
        <v>90</v>
      </c>
    </row>
    <row r="1530" spans="1:18" s="14" customFormat="1" x14ac:dyDescent="0.25">
      <c r="A1530" s="14" t="str">
        <f>"10001"</f>
        <v>10001</v>
      </c>
      <c r="B1530" s="14" t="str">
        <f>"01405"</f>
        <v>01405</v>
      </c>
      <c r="C1530" s="14" t="str">
        <f>"1300"</f>
        <v>1300</v>
      </c>
      <c r="D1530" s="14" t="str">
        <f>"01405"</f>
        <v>01405</v>
      </c>
      <c r="E1530" s="14" t="s">
        <v>20</v>
      </c>
      <c r="F1530" s="14" t="s">
        <v>118</v>
      </c>
      <c r="G1530" s="14" t="str">
        <f>""</f>
        <v/>
      </c>
      <c r="H1530" s="14" t="str">
        <f>" 20"</f>
        <v xml:space="preserve"> 20</v>
      </c>
      <c r="I1530" s="14">
        <v>500.01</v>
      </c>
      <c r="J1530" s="14">
        <v>9999999.9900000002</v>
      </c>
      <c r="K1530" s="14" t="s">
        <v>90</v>
      </c>
      <c r="L1530" s="14" t="s">
        <v>119</v>
      </c>
      <c r="P1530" s="14" t="s">
        <v>31</v>
      </c>
      <c r="Q1530" s="14" t="s">
        <v>25</v>
      </c>
      <c r="R1530" s="14" t="s">
        <v>119</v>
      </c>
    </row>
    <row r="1531" spans="1:18" s="14" customFormat="1" x14ac:dyDescent="0.25">
      <c r="A1531" s="14" t="str">
        <f>"10001"</f>
        <v>10001</v>
      </c>
      <c r="B1531" s="14" t="str">
        <f>"01661"</f>
        <v>01661</v>
      </c>
      <c r="C1531" s="14" t="str">
        <f>"1300"</f>
        <v>1300</v>
      </c>
      <c r="D1531" s="14" t="str">
        <f>"01661"</f>
        <v>01661</v>
      </c>
      <c r="E1531" s="14" t="s">
        <v>20</v>
      </c>
      <c r="F1531" s="14" t="s">
        <v>149</v>
      </c>
      <c r="G1531" s="14" t="str">
        <f>""</f>
        <v/>
      </c>
      <c r="H1531" s="14" t="str">
        <f>" 20"</f>
        <v xml:space="preserve"> 20</v>
      </c>
      <c r="I1531" s="14">
        <v>500.01</v>
      </c>
      <c r="J1531" s="14">
        <v>9999999.9900000002</v>
      </c>
      <c r="K1531" s="14" t="s">
        <v>90</v>
      </c>
      <c r="L1531" s="14" t="s">
        <v>150</v>
      </c>
      <c r="P1531" s="14" t="s">
        <v>31</v>
      </c>
      <c r="Q1531" s="14" t="s">
        <v>25</v>
      </c>
      <c r="R1531" s="14" t="s">
        <v>150</v>
      </c>
    </row>
    <row r="1532" spans="1:18" s="14" customFormat="1" x14ac:dyDescent="0.25">
      <c r="A1532" s="14" t="str">
        <f>"10001"</f>
        <v>10001</v>
      </c>
      <c r="B1532" s="14" t="str">
        <f>"01785"</f>
        <v>01785</v>
      </c>
      <c r="C1532" s="14" t="str">
        <f>"1300"</f>
        <v>1300</v>
      </c>
      <c r="D1532" s="14" t="str">
        <f>"01785"</f>
        <v>01785</v>
      </c>
      <c r="E1532" s="14" t="s">
        <v>20</v>
      </c>
      <c r="F1532" s="14" t="s">
        <v>176</v>
      </c>
      <c r="G1532" s="14" t="str">
        <f>""</f>
        <v/>
      </c>
      <c r="H1532" s="14" t="str">
        <f>" 20"</f>
        <v xml:space="preserve"> 20</v>
      </c>
      <c r="I1532" s="14">
        <v>500.01</v>
      </c>
      <c r="J1532" s="14">
        <v>9999999.9900000002</v>
      </c>
      <c r="K1532" s="14" t="s">
        <v>90</v>
      </c>
      <c r="L1532" s="14" t="s">
        <v>177</v>
      </c>
      <c r="P1532" s="14" t="s">
        <v>31</v>
      </c>
      <c r="Q1532" s="14" t="s">
        <v>25</v>
      </c>
      <c r="R1532" s="14" t="s">
        <v>90</v>
      </c>
    </row>
    <row r="1533" spans="1:18" s="14" customFormat="1" x14ac:dyDescent="0.25">
      <c r="A1533" s="14" t="str">
        <f>"10001"</f>
        <v>10001</v>
      </c>
      <c r="B1533" s="14" t="str">
        <f>"05500"</f>
        <v>05500</v>
      </c>
      <c r="C1533" s="14" t="str">
        <f>"1700"</f>
        <v>1700</v>
      </c>
      <c r="D1533" s="14" t="str">
        <f>"05500"</f>
        <v>05500</v>
      </c>
      <c r="E1533" s="14" t="s">
        <v>20</v>
      </c>
      <c r="F1533" s="14" t="s">
        <v>407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90</v>
      </c>
      <c r="P1533" s="14" t="s">
        <v>31</v>
      </c>
      <c r="Q1533" s="14" t="s">
        <v>25</v>
      </c>
      <c r="R1533" s="14" t="s">
        <v>408</v>
      </c>
    </row>
    <row r="1534" spans="1:18" s="14" customFormat="1" x14ac:dyDescent="0.25">
      <c r="A1534" s="14" t="str">
        <f>"85038"</f>
        <v>85038</v>
      </c>
      <c r="B1534" s="14" t="str">
        <f>"07030"</f>
        <v>07030</v>
      </c>
      <c r="C1534" s="14" t="str">
        <f>"8000"</f>
        <v>8000</v>
      </c>
      <c r="D1534" s="14" t="str">
        <f>"85038"</f>
        <v>85038</v>
      </c>
      <c r="E1534" s="14" t="s">
        <v>1782</v>
      </c>
      <c r="F1534" s="14" t="s">
        <v>1776</v>
      </c>
      <c r="G1534" s="14" t="str">
        <f>""</f>
        <v/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898</v>
      </c>
      <c r="L1534" s="14" t="s">
        <v>72</v>
      </c>
      <c r="P1534" s="14" t="s">
        <v>39</v>
      </c>
      <c r="Q1534" s="14" t="s">
        <v>39</v>
      </c>
      <c r="R1534" s="14" t="s">
        <v>72</v>
      </c>
    </row>
    <row r="1535" spans="1:18" s="14" customFormat="1" x14ac:dyDescent="0.25">
      <c r="A1535" s="14" t="str">
        <f>"10001"</f>
        <v>10001</v>
      </c>
      <c r="B1535" s="14" t="str">
        <f>"01480"</f>
        <v>01480</v>
      </c>
      <c r="C1535" s="14" t="str">
        <f>"1300"</f>
        <v>1300</v>
      </c>
      <c r="D1535" s="14" t="str">
        <f>"01480"</f>
        <v>01480</v>
      </c>
      <c r="E1535" s="14" t="s">
        <v>20</v>
      </c>
      <c r="F1535" s="14" t="s">
        <v>128</v>
      </c>
      <c r="G1535" s="14" t="str">
        <f>""</f>
        <v/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129</v>
      </c>
      <c r="L1535" s="14" t="s">
        <v>69</v>
      </c>
      <c r="M1535" s="14" t="s">
        <v>70</v>
      </c>
      <c r="N1535" s="14" t="s">
        <v>71</v>
      </c>
      <c r="P1535" s="14" t="s">
        <v>31</v>
      </c>
      <c r="Q1535" s="14" t="s">
        <v>25</v>
      </c>
      <c r="R1535" s="14" t="s">
        <v>129</v>
      </c>
    </row>
    <row r="1536" spans="1:18" s="14" customFormat="1" x14ac:dyDescent="0.25">
      <c r="A1536" s="14" t="str">
        <f>"84028"</f>
        <v>84028</v>
      </c>
      <c r="B1536" s="14" t="str">
        <f>"07020"</f>
        <v>07020</v>
      </c>
      <c r="C1536" s="14" t="str">
        <f>"1700"</f>
        <v>1700</v>
      </c>
      <c r="D1536" s="14" t="str">
        <f>"84028"</f>
        <v>84028</v>
      </c>
      <c r="E1536" s="14" t="s">
        <v>1569</v>
      </c>
      <c r="F1536" s="14" t="s">
        <v>1532</v>
      </c>
      <c r="G1536" s="14" t="str">
        <f>""</f>
        <v/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1570</v>
      </c>
      <c r="L1536" s="14" t="s">
        <v>392</v>
      </c>
      <c r="P1536" s="14" t="s">
        <v>31</v>
      </c>
      <c r="Q1536" s="14" t="s">
        <v>25</v>
      </c>
      <c r="R1536" s="14" t="s">
        <v>392</v>
      </c>
    </row>
    <row r="1537" spans="1:18" s="14" customFormat="1" x14ac:dyDescent="0.25">
      <c r="A1537" s="14" t="str">
        <f>"84173"</f>
        <v>84173</v>
      </c>
      <c r="B1537" s="14" t="str">
        <f>"07020"</f>
        <v>07020</v>
      </c>
      <c r="C1537" s="14" t="str">
        <f>"1700"</f>
        <v>1700</v>
      </c>
      <c r="D1537" s="14" t="str">
        <f>"84173"</f>
        <v>84173</v>
      </c>
      <c r="E1537" s="14" t="s">
        <v>1685</v>
      </c>
      <c r="F1537" s="14" t="s">
        <v>1532</v>
      </c>
      <c r="G1537" s="14" t="str">
        <f>""</f>
        <v/>
      </c>
      <c r="H1537" s="14" t="str">
        <f>" 00"</f>
        <v xml:space="preserve"> 00</v>
      </c>
      <c r="I1537" s="14">
        <v>0.01</v>
      </c>
      <c r="J1537" s="14">
        <v>9999999.9900000002</v>
      </c>
      <c r="K1537" s="14" t="s">
        <v>1570</v>
      </c>
      <c r="L1537" s="14" t="s">
        <v>1686</v>
      </c>
      <c r="M1537" s="14" t="s">
        <v>1544</v>
      </c>
      <c r="P1537" s="14" t="s">
        <v>31</v>
      </c>
      <c r="Q1537" s="14" t="s">
        <v>31</v>
      </c>
      <c r="R1537" s="14" t="s">
        <v>1570</v>
      </c>
    </row>
    <row r="1538" spans="1:18" s="14" customFormat="1" x14ac:dyDescent="0.25">
      <c r="A1538" s="14" t="str">
        <f>"10001"</f>
        <v>10001</v>
      </c>
      <c r="B1538" s="14" t="str">
        <f>"01300"</f>
        <v>01300</v>
      </c>
      <c r="C1538" s="14" t="str">
        <f>"1300"</f>
        <v>1300</v>
      </c>
      <c r="D1538" s="14" t="str">
        <f>"01300"</f>
        <v>01300</v>
      </c>
      <c r="E1538" s="14" t="s">
        <v>20</v>
      </c>
      <c r="F1538" s="14" t="s">
        <v>96</v>
      </c>
      <c r="G1538" s="14" t="str">
        <f>""</f>
        <v/>
      </c>
      <c r="H1538" s="14" t="str">
        <f>" 00"</f>
        <v xml:space="preserve"> 00</v>
      </c>
      <c r="I1538" s="14">
        <v>0.01</v>
      </c>
      <c r="J1538" s="14">
        <v>9999999.9900000002</v>
      </c>
      <c r="K1538" s="14" t="s">
        <v>48</v>
      </c>
      <c r="L1538" s="14" t="s">
        <v>97</v>
      </c>
      <c r="M1538" s="14" t="s">
        <v>98</v>
      </c>
      <c r="P1538" s="14" t="s">
        <v>39</v>
      </c>
      <c r="Q1538" s="14" t="s">
        <v>25</v>
      </c>
      <c r="R1538" s="14" t="s">
        <v>49</v>
      </c>
    </row>
    <row r="1539" spans="1:18" s="14" customFormat="1" x14ac:dyDescent="0.25">
      <c r="A1539" s="14" t="str">
        <f>"10001"</f>
        <v>10001</v>
      </c>
      <c r="B1539" s="14" t="str">
        <f>"01320"</f>
        <v>01320</v>
      </c>
      <c r="C1539" s="14" t="str">
        <f>"1100"</f>
        <v>1100</v>
      </c>
      <c r="D1539" s="14" t="str">
        <f>"01320"</f>
        <v>01320</v>
      </c>
      <c r="E1539" s="14" t="s">
        <v>20</v>
      </c>
      <c r="F1539" s="14" t="s">
        <v>103</v>
      </c>
      <c r="G1539" s="14" t="str">
        <f>""</f>
        <v/>
      </c>
      <c r="H1539" s="14" t="str">
        <f>" 00"</f>
        <v xml:space="preserve"> 00</v>
      </c>
      <c r="I1539" s="14">
        <v>0.01</v>
      </c>
      <c r="J1539" s="14">
        <v>9999999.9900000002</v>
      </c>
      <c r="K1539" s="14" t="s">
        <v>48</v>
      </c>
      <c r="L1539" s="14" t="s">
        <v>97</v>
      </c>
      <c r="M1539" s="14" t="s">
        <v>98</v>
      </c>
      <c r="P1539" s="14" t="s">
        <v>39</v>
      </c>
      <c r="Q1539" s="14" t="s">
        <v>25</v>
      </c>
      <c r="R1539" s="14" t="s">
        <v>49</v>
      </c>
    </row>
    <row r="1540" spans="1:18" s="14" customFormat="1" x14ac:dyDescent="0.25">
      <c r="A1540" s="14" t="str">
        <f>"10001"</f>
        <v>10001</v>
      </c>
      <c r="B1540" s="14" t="str">
        <f>"01325"</f>
        <v>01325</v>
      </c>
      <c r="C1540" s="14" t="str">
        <f>"1100"</f>
        <v>1100</v>
      </c>
      <c r="D1540" s="14" t="str">
        <f>"01325"</f>
        <v>01325</v>
      </c>
      <c r="E1540" s="14" t="s">
        <v>20</v>
      </c>
      <c r="F1540" s="14" t="s">
        <v>104</v>
      </c>
      <c r="G1540" s="14" t="str">
        <f>""</f>
        <v/>
      </c>
      <c r="H1540" s="14" t="str">
        <f>" 00"</f>
        <v xml:space="preserve"> 00</v>
      </c>
      <c r="I1540" s="14">
        <v>0.01</v>
      </c>
      <c r="J1540" s="14">
        <v>9999999.9900000002</v>
      </c>
      <c r="K1540" s="14" t="s">
        <v>48</v>
      </c>
      <c r="L1540" s="14" t="s">
        <v>97</v>
      </c>
      <c r="M1540" s="14" t="s">
        <v>98</v>
      </c>
      <c r="P1540" s="14" t="s">
        <v>39</v>
      </c>
      <c r="Q1540" s="14" t="s">
        <v>25</v>
      </c>
      <c r="R1540" s="14" t="s">
        <v>49</v>
      </c>
    </row>
    <row r="1541" spans="1:18" s="14" customFormat="1" x14ac:dyDescent="0.25">
      <c r="A1541" s="14" t="str">
        <f>"10001"</f>
        <v>10001</v>
      </c>
      <c r="B1541" s="14" t="str">
        <f>"01341"</f>
        <v>01341</v>
      </c>
      <c r="C1541" s="14" t="str">
        <f>"1100"</f>
        <v>1100</v>
      </c>
      <c r="D1541" s="14" t="str">
        <f>"01341"</f>
        <v>01341</v>
      </c>
      <c r="E1541" s="14" t="s">
        <v>20</v>
      </c>
      <c r="F1541" s="14" t="s">
        <v>107</v>
      </c>
      <c r="G1541" s="14" t="str">
        <f>""</f>
        <v/>
      </c>
      <c r="H1541" s="14" t="str">
        <f>" 00"</f>
        <v xml:space="preserve"> 00</v>
      </c>
      <c r="I1541" s="14">
        <v>0.01</v>
      </c>
      <c r="J1541" s="14">
        <v>9999999.9900000002</v>
      </c>
      <c r="K1541" s="14" t="s">
        <v>48</v>
      </c>
      <c r="L1541" s="14" t="s">
        <v>97</v>
      </c>
      <c r="M1541" s="14" t="s">
        <v>98</v>
      </c>
      <c r="P1541" s="14" t="s">
        <v>39</v>
      </c>
      <c r="Q1541" s="14" t="s">
        <v>25</v>
      </c>
      <c r="R1541" s="14" t="s">
        <v>49</v>
      </c>
    </row>
    <row r="1542" spans="1:18" s="14" customFormat="1" x14ac:dyDescent="0.25">
      <c r="A1542" s="14" t="str">
        <f>"11003"</f>
        <v>11003</v>
      </c>
      <c r="B1542" s="14" t="str">
        <f>"01300"</f>
        <v>01300</v>
      </c>
      <c r="C1542" s="14" t="str">
        <f>"1300"</f>
        <v>1300</v>
      </c>
      <c r="D1542" s="14" t="str">
        <f>""</f>
        <v/>
      </c>
      <c r="E1542" s="14" t="s">
        <v>437</v>
      </c>
      <c r="F1542" s="14" t="s">
        <v>96</v>
      </c>
      <c r="G1542" s="14" t="str">
        <f>""</f>
        <v/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48</v>
      </c>
      <c r="L1542" s="14" t="s">
        <v>97</v>
      </c>
      <c r="M1542" s="14" t="s">
        <v>98</v>
      </c>
      <c r="P1542" s="14" t="s">
        <v>25</v>
      </c>
      <c r="Q1542" s="14" t="s">
        <v>25</v>
      </c>
      <c r="R1542" s="14" t="s">
        <v>49</v>
      </c>
    </row>
    <row r="1543" spans="1:18" s="14" customFormat="1" x14ac:dyDescent="0.25">
      <c r="A1543" s="14" t="str">
        <f>"11031"</f>
        <v>11031</v>
      </c>
      <c r="B1543" s="14" t="str">
        <f>"01300"</f>
        <v>01300</v>
      </c>
      <c r="C1543" s="14" t="str">
        <f>"1300"</f>
        <v>1300</v>
      </c>
      <c r="D1543" s="14" t="str">
        <f>""</f>
        <v/>
      </c>
      <c r="E1543" s="14" t="s">
        <v>465</v>
      </c>
      <c r="F1543" s="14" t="s">
        <v>96</v>
      </c>
      <c r="G1543" s="14" t="str">
        <f>""</f>
        <v/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48</v>
      </c>
      <c r="L1543" s="14" t="s">
        <v>97</v>
      </c>
      <c r="M1543" s="14" t="s">
        <v>98</v>
      </c>
      <c r="P1543" s="14" t="s">
        <v>25</v>
      </c>
      <c r="Q1543" s="14" t="s">
        <v>25</v>
      </c>
      <c r="R1543" s="14" t="s">
        <v>49</v>
      </c>
    </row>
    <row r="1544" spans="1:18" s="14" customFormat="1" x14ac:dyDescent="0.25">
      <c r="A1544" s="14" t="str">
        <f>"11045"</f>
        <v>11045</v>
      </c>
      <c r="B1544" s="14" t="str">
        <f>"01320"</f>
        <v>01320</v>
      </c>
      <c r="C1544" s="14" t="str">
        <f>"1100"</f>
        <v>1100</v>
      </c>
      <c r="D1544" s="14" t="str">
        <f>""</f>
        <v/>
      </c>
      <c r="E1544" s="14" t="s">
        <v>479</v>
      </c>
      <c r="F1544" s="14" t="s">
        <v>103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48</v>
      </c>
      <c r="L1544" s="14" t="s">
        <v>97</v>
      </c>
      <c r="M1544" s="14" t="s">
        <v>98</v>
      </c>
      <c r="P1544" s="14" t="s">
        <v>25</v>
      </c>
      <c r="Q1544" s="14" t="s">
        <v>25</v>
      </c>
      <c r="R1544" s="14" t="s">
        <v>49</v>
      </c>
    </row>
    <row r="1545" spans="1:18" s="14" customFormat="1" x14ac:dyDescent="0.25">
      <c r="A1545" s="14" t="str">
        <f>"18021"</f>
        <v>18021</v>
      </c>
      <c r="B1545" s="14" t="str">
        <f>"01300"</f>
        <v>01300</v>
      </c>
      <c r="C1545" s="14" t="str">
        <f>"1300"</f>
        <v>1300</v>
      </c>
      <c r="D1545" s="14" t="str">
        <f>"18021"</f>
        <v>18021</v>
      </c>
      <c r="E1545" s="14" t="s">
        <v>605</v>
      </c>
      <c r="F1545" s="14" t="s">
        <v>96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48</v>
      </c>
      <c r="L1545" s="14" t="s">
        <v>97</v>
      </c>
      <c r="M1545" s="14" t="s">
        <v>98</v>
      </c>
      <c r="P1545" s="14" t="s">
        <v>39</v>
      </c>
      <c r="Q1545" s="14" t="s">
        <v>25</v>
      </c>
      <c r="R1545" s="14" t="s">
        <v>49</v>
      </c>
    </row>
    <row r="1546" spans="1:18" s="14" customFormat="1" x14ac:dyDescent="0.25">
      <c r="A1546" s="14" t="str">
        <f>"18082"</f>
        <v>18082</v>
      </c>
      <c r="B1546" s="14" t="str">
        <f>"01330"</f>
        <v>01330</v>
      </c>
      <c r="C1546" s="14" t="str">
        <f>"1200"</f>
        <v>1200</v>
      </c>
      <c r="D1546" s="14" t="str">
        <f>"18082"</f>
        <v>18082</v>
      </c>
      <c r="E1546" s="14" t="s">
        <v>662</v>
      </c>
      <c r="F1546" s="14" t="s">
        <v>105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48</v>
      </c>
      <c r="L1546" s="14" t="s">
        <v>97</v>
      </c>
      <c r="M1546" s="14" t="s">
        <v>98</v>
      </c>
      <c r="P1546" s="14" t="s">
        <v>39</v>
      </c>
      <c r="Q1546" s="14" t="s">
        <v>25</v>
      </c>
      <c r="R1546" s="14" t="s">
        <v>663</v>
      </c>
    </row>
    <row r="1547" spans="1:18" s="14" customFormat="1" x14ac:dyDescent="0.25">
      <c r="A1547" s="14" t="str">
        <f>"18110"</f>
        <v>18110</v>
      </c>
      <c r="B1547" s="14" t="str">
        <f>"01320"</f>
        <v>01320</v>
      </c>
      <c r="C1547" s="14" t="str">
        <f>"1600"</f>
        <v>1600</v>
      </c>
      <c r="D1547" s="14" t="str">
        <f>"18110"</f>
        <v>18110</v>
      </c>
      <c r="E1547" s="14" t="s">
        <v>684</v>
      </c>
      <c r="F1547" s="14" t="s">
        <v>103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48</v>
      </c>
      <c r="L1547" s="14" t="s">
        <v>97</v>
      </c>
      <c r="M1547" s="14" t="s">
        <v>98</v>
      </c>
      <c r="P1547" s="14" t="s">
        <v>39</v>
      </c>
      <c r="Q1547" s="14" t="s">
        <v>25</v>
      </c>
      <c r="R1547" s="14" t="s">
        <v>49</v>
      </c>
    </row>
    <row r="1548" spans="1:18" s="14" customFormat="1" x14ac:dyDescent="0.25">
      <c r="A1548" s="14" t="str">
        <f>"18504"</f>
        <v>18504</v>
      </c>
      <c r="B1548" s="14" t="str">
        <f>"01300"</f>
        <v>01300</v>
      </c>
      <c r="C1548" s="14" t="str">
        <f>"1300"</f>
        <v>1300</v>
      </c>
      <c r="D1548" s="14" t="str">
        <f>""</f>
        <v/>
      </c>
      <c r="E1548" s="14" t="s">
        <v>704</v>
      </c>
      <c r="F1548" s="14" t="s">
        <v>96</v>
      </c>
      <c r="G1548" s="14" t="str">
        <f>""</f>
        <v/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48</v>
      </c>
      <c r="L1548" s="14" t="s">
        <v>97</v>
      </c>
      <c r="M1548" s="14" t="s">
        <v>98</v>
      </c>
      <c r="P1548" s="14" t="s">
        <v>701</v>
      </c>
      <c r="Q1548" s="14" t="s">
        <v>25</v>
      </c>
      <c r="R1548" s="14" t="s">
        <v>49</v>
      </c>
    </row>
    <row r="1549" spans="1:18" s="14" customFormat="1" x14ac:dyDescent="0.25">
      <c r="A1549" s="14" t="str">
        <f>"18529"</f>
        <v>18529</v>
      </c>
      <c r="B1549" s="14" t="str">
        <f>"01320"</f>
        <v>01320</v>
      </c>
      <c r="C1549" s="14" t="str">
        <f>"1300"</f>
        <v>1300</v>
      </c>
      <c r="D1549" s="14" t="str">
        <f>""</f>
        <v/>
      </c>
      <c r="E1549" s="14" t="s">
        <v>729</v>
      </c>
      <c r="F1549" s="14" t="s">
        <v>103</v>
      </c>
      <c r="G1549" s="14" t="str">
        <f>""</f>
        <v/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48</v>
      </c>
      <c r="L1549" s="14" t="s">
        <v>97</v>
      </c>
      <c r="M1549" s="14" t="s">
        <v>98</v>
      </c>
      <c r="P1549" s="14" t="s">
        <v>701</v>
      </c>
      <c r="Q1549" s="14" t="s">
        <v>25</v>
      </c>
      <c r="R1549" s="14" t="s">
        <v>49</v>
      </c>
    </row>
    <row r="1550" spans="1:18" s="14" customFormat="1" x14ac:dyDescent="0.25">
      <c r="A1550" s="14" t="str">
        <f>"19184"</f>
        <v>19184</v>
      </c>
      <c r="B1550" s="14" t="str">
        <f>"01320"</f>
        <v>01320</v>
      </c>
      <c r="C1550" s="14" t="str">
        <f>"1200"</f>
        <v>1200</v>
      </c>
      <c r="D1550" s="14" t="str">
        <f>"19184"</f>
        <v>19184</v>
      </c>
      <c r="E1550" s="14" t="s">
        <v>756</v>
      </c>
      <c r="F1550" s="14" t="s">
        <v>103</v>
      </c>
      <c r="G1550" s="14" t="str">
        <f>"GR0019184"</f>
        <v>GR0019184</v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48</v>
      </c>
      <c r="L1550" s="14" t="s">
        <v>97</v>
      </c>
      <c r="M1550" s="14" t="s">
        <v>98</v>
      </c>
      <c r="O1550" s="14" t="s">
        <v>757</v>
      </c>
      <c r="P1550" s="14" t="s">
        <v>39</v>
      </c>
      <c r="Q1550" s="14" t="s">
        <v>39</v>
      </c>
      <c r="R1550" s="14" t="s">
        <v>49</v>
      </c>
    </row>
    <row r="1551" spans="1:18" s="14" customFormat="1" x14ac:dyDescent="0.25">
      <c r="A1551" s="14" t="str">
        <f>"19295"</f>
        <v>19295</v>
      </c>
      <c r="B1551" s="14" t="str">
        <f>"01320"</f>
        <v>01320</v>
      </c>
      <c r="C1551" s="14" t="str">
        <f>"1200"</f>
        <v>1200</v>
      </c>
      <c r="D1551" s="14" t="str">
        <f>"19295"</f>
        <v>19295</v>
      </c>
      <c r="E1551" s="14" t="s">
        <v>819</v>
      </c>
      <c r="F1551" s="14" t="s">
        <v>103</v>
      </c>
      <c r="G1551" s="14" t="str">
        <f>"GR0019295"</f>
        <v>GR0019295</v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48</v>
      </c>
      <c r="L1551" s="14" t="s">
        <v>97</v>
      </c>
      <c r="M1551" s="14" t="s">
        <v>98</v>
      </c>
      <c r="O1551" s="14" t="s">
        <v>820</v>
      </c>
      <c r="P1551" s="14" t="s">
        <v>39</v>
      </c>
      <c r="Q1551" s="14" t="s">
        <v>39</v>
      </c>
      <c r="R1551" s="14" t="s">
        <v>49</v>
      </c>
    </row>
    <row r="1552" spans="1:18" s="14" customFormat="1" x14ac:dyDescent="0.25">
      <c r="A1552" s="14" t="str">
        <f>"84007"</f>
        <v>84007</v>
      </c>
      <c r="B1552" s="14" t="str">
        <f>"07020"</f>
        <v>07020</v>
      </c>
      <c r="C1552" s="14" t="str">
        <f>"1700"</f>
        <v>1700</v>
      </c>
      <c r="D1552" s="14" t="str">
        <f>"84007"</f>
        <v>84007</v>
      </c>
      <c r="E1552" s="14" t="s">
        <v>1538</v>
      </c>
      <c r="F1552" s="14" t="s">
        <v>1532</v>
      </c>
      <c r="G1552" s="14" t="str">
        <f>""</f>
        <v/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48</v>
      </c>
      <c r="L1552" s="14" t="s">
        <v>97</v>
      </c>
      <c r="M1552" s="14" t="s">
        <v>98</v>
      </c>
      <c r="P1552" s="14" t="s">
        <v>31</v>
      </c>
      <c r="Q1552" s="14" t="s">
        <v>31</v>
      </c>
      <c r="R1552" s="14" t="s">
        <v>49</v>
      </c>
    </row>
    <row r="1553" spans="1:18" s="14" customFormat="1" x14ac:dyDescent="0.25">
      <c r="A1553" s="14" t="str">
        <f>"84023"</f>
        <v>84023</v>
      </c>
      <c r="B1553" s="14" t="str">
        <f>"07020"</f>
        <v>07020</v>
      </c>
      <c r="C1553" s="14" t="str">
        <f>"1700"</f>
        <v>1700</v>
      </c>
      <c r="D1553" s="14" t="str">
        <f>"84023"</f>
        <v>84023</v>
      </c>
      <c r="E1553" s="14" t="s">
        <v>1561</v>
      </c>
      <c r="F1553" s="14" t="s">
        <v>1532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48</v>
      </c>
      <c r="L1553" s="14" t="s">
        <v>97</v>
      </c>
      <c r="M1553" s="14" t="s">
        <v>1562</v>
      </c>
      <c r="P1553" s="14" t="s">
        <v>31</v>
      </c>
      <c r="Q1553" s="14" t="s">
        <v>31</v>
      </c>
      <c r="R1553" s="14" t="s">
        <v>49</v>
      </c>
    </row>
    <row r="1554" spans="1:18" s="14" customFormat="1" x14ac:dyDescent="0.25">
      <c r="A1554" s="14" t="str">
        <f>"84052"</f>
        <v>84052</v>
      </c>
      <c r="B1554" s="14" t="str">
        <f>"07020"</f>
        <v>07020</v>
      </c>
      <c r="C1554" s="14" t="str">
        <f>"1700"</f>
        <v>1700</v>
      </c>
      <c r="D1554" s="14" t="str">
        <f>"84052"</f>
        <v>84052</v>
      </c>
      <c r="E1554" s="14" t="s">
        <v>1592</v>
      </c>
      <c r="F1554" s="14" t="s">
        <v>1532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48</v>
      </c>
      <c r="L1554" s="14" t="s">
        <v>97</v>
      </c>
      <c r="M1554" s="14" t="s">
        <v>98</v>
      </c>
      <c r="P1554" s="14" t="s">
        <v>31</v>
      </c>
      <c r="Q1554" s="14" t="s">
        <v>31</v>
      </c>
      <c r="R1554" s="14" t="s">
        <v>49</v>
      </c>
    </row>
    <row r="1555" spans="1:18" s="14" customFormat="1" x14ac:dyDescent="0.25">
      <c r="A1555" s="14" t="str">
        <f>"84093"</f>
        <v>84093</v>
      </c>
      <c r="B1555" s="14" t="str">
        <f>"07020"</f>
        <v>07020</v>
      </c>
      <c r="C1555" s="14" t="str">
        <f>"1700"</f>
        <v>1700</v>
      </c>
      <c r="D1555" s="14" t="str">
        <f>"84093"</f>
        <v>84093</v>
      </c>
      <c r="E1555" s="14" t="s">
        <v>1631</v>
      </c>
      <c r="F1555" s="14" t="s">
        <v>1532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48</v>
      </c>
      <c r="L1555" s="14" t="s">
        <v>97</v>
      </c>
      <c r="M1555" s="14" t="s">
        <v>98</v>
      </c>
      <c r="P1555" s="14" t="s">
        <v>31</v>
      </c>
      <c r="Q1555" s="14" t="s">
        <v>31</v>
      </c>
      <c r="R1555" s="14" t="s">
        <v>49</v>
      </c>
    </row>
    <row r="1556" spans="1:18" s="14" customFormat="1" x14ac:dyDescent="0.25">
      <c r="A1556" s="14" t="str">
        <f>"84101"</f>
        <v>84101</v>
      </c>
      <c r="B1556" s="14" t="str">
        <f>"07020"</f>
        <v>07020</v>
      </c>
      <c r="C1556" s="14" t="str">
        <f>"1700"</f>
        <v>1700</v>
      </c>
      <c r="D1556" s="14" t="str">
        <f>"84101"</f>
        <v>84101</v>
      </c>
      <c r="E1556" s="14" t="s">
        <v>1642</v>
      </c>
      <c r="F1556" s="14" t="s">
        <v>1532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48</v>
      </c>
      <c r="L1556" s="14" t="s">
        <v>97</v>
      </c>
      <c r="M1556" s="14" t="s">
        <v>102</v>
      </c>
      <c r="P1556" s="14" t="s">
        <v>31</v>
      </c>
      <c r="Q1556" s="14" t="s">
        <v>31</v>
      </c>
      <c r="R1556" s="14" t="s">
        <v>49</v>
      </c>
    </row>
    <row r="1557" spans="1:18" s="14" customFormat="1" x14ac:dyDescent="0.25">
      <c r="A1557" s="14" t="str">
        <f>"84225"</f>
        <v>84225</v>
      </c>
      <c r="B1557" s="14" t="str">
        <f>"07020"</f>
        <v>07020</v>
      </c>
      <c r="C1557" s="14" t="str">
        <f>"1700"</f>
        <v>1700</v>
      </c>
      <c r="D1557" s="14" t="str">
        <f>"84225"</f>
        <v>84225</v>
      </c>
      <c r="E1557" s="14" t="s">
        <v>1732</v>
      </c>
      <c r="F1557" s="14" t="s">
        <v>1532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48</v>
      </c>
      <c r="L1557" s="14" t="s">
        <v>97</v>
      </c>
      <c r="M1557" s="14" t="s">
        <v>98</v>
      </c>
      <c r="P1557" s="14" t="s">
        <v>31</v>
      </c>
      <c r="Q1557" s="14" t="s">
        <v>31</v>
      </c>
      <c r="R1557" s="14" t="s">
        <v>49</v>
      </c>
    </row>
    <row r="1558" spans="1:18" s="14" customFormat="1" x14ac:dyDescent="0.25">
      <c r="A1558" s="14" t="str">
        <f>"85121"</f>
        <v>85121</v>
      </c>
      <c r="B1558" s="14" t="str">
        <f>"07030"</f>
        <v>07030</v>
      </c>
      <c r="C1558" s="14" t="str">
        <f>"8000"</f>
        <v>8000</v>
      </c>
      <c r="D1558" s="14" t="str">
        <f>"85121"</f>
        <v>85121</v>
      </c>
      <c r="E1558" s="14" t="s">
        <v>1790</v>
      </c>
      <c r="F1558" s="14" t="s">
        <v>1776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48</v>
      </c>
      <c r="L1558" s="14" t="s">
        <v>97</v>
      </c>
      <c r="M1558" s="14" t="s">
        <v>98</v>
      </c>
      <c r="P1558" s="14" t="s">
        <v>39</v>
      </c>
      <c r="Q1558" s="14" t="s">
        <v>39</v>
      </c>
      <c r="R1558" s="14" t="s">
        <v>98</v>
      </c>
    </row>
    <row r="1559" spans="1:18" s="14" customFormat="1" x14ac:dyDescent="0.25">
      <c r="A1559" s="14" t="str">
        <f>"31065"</f>
        <v>31065</v>
      </c>
      <c r="B1559" s="14" t="str">
        <f>"05170"</f>
        <v>05170</v>
      </c>
      <c r="C1559" s="14" t="str">
        <f>"1921"</f>
        <v>1921</v>
      </c>
      <c r="D1559" s="14" t="str">
        <f>"31065"</f>
        <v>31065</v>
      </c>
      <c r="E1559" s="14" t="s">
        <v>966</v>
      </c>
      <c r="F1559" s="14" t="s">
        <v>954</v>
      </c>
      <c r="G1559" s="14" t="str">
        <f>"GN0031065"</f>
        <v>GN0031065</v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957</v>
      </c>
      <c r="L1559" s="14" t="s">
        <v>956</v>
      </c>
      <c r="M1559" s="14" t="s">
        <v>47</v>
      </c>
      <c r="P1559" s="14" t="s">
        <v>31</v>
      </c>
      <c r="Q1559" s="14" t="s">
        <v>25</v>
      </c>
      <c r="R1559" s="14" t="s">
        <v>955</v>
      </c>
    </row>
    <row r="1560" spans="1:18" s="14" customFormat="1" x14ac:dyDescent="0.25">
      <c r="A1560" s="14" t="str">
        <f>"21174"</f>
        <v>21174</v>
      </c>
      <c r="B1560" s="14" t="str">
        <f>"01260"</f>
        <v>01260</v>
      </c>
      <c r="C1560" s="14" t="str">
        <f>"1300"</f>
        <v>1300</v>
      </c>
      <c r="D1560" s="14" t="str">
        <f>"21174"</f>
        <v>21174</v>
      </c>
      <c r="E1560" s="14" t="s">
        <v>848</v>
      </c>
      <c r="F1560" s="14" t="s">
        <v>87</v>
      </c>
      <c r="G1560" s="14" t="str">
        <f>"GR0021174"</f>
        <v>GR0021174</v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849</v>
      </c>
      <c r="L1560" s="14" t="s">
        <v>90</v>
      </c>
      <c r="O1560" s="14" t="s">
        <v>849</v>
      </c>
      <c r="P1560" s="14" t="s">
        <v>701</v>
      </c>
      <c r="Q1560" s="14" t="s">
        <v>701</v>
      </c>
      <c r="R1560" s="14" t="s">
        <v>89</v>
      </c>
    </row>
    <row r="1561" spans="1:18" s="14" customFormat="1" x14ac:dyDescent="0.25">
      <c r="A1561" s="14" t="str">
        <f>"21175"</f>
        <v>21175</v>
      </c>
      <c r="B1561" s="14" t="str">
        <f>"01260"</f>
        <v>01260</v>
      </c>
      <c r="C1561" s="14" t="str">
        <f>"1300"</f>
        <v>1300</v>
      </c>
      <c r="D1561" s="14" t="str">
        <f>"21175"</f>
        <v>21175</v>
      </c>
      <c r="E1561" s="14" t="s">
        <v>850</v>
      </c>
      <c r="F1561" s="14" t="s">
        <v>87</v>
      </c>
      <c r="G1561" s="14" t="str">
        <f>"GR0021174"</f>
        <v>GR0021174</v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849</v>
      </c>
      <c r="L1561" s="14" t="s">
        <v>90</v>
      </c>
      <c r="O1561" s="14" t="s">
        <v>849</v>
      </c>
      <c r="P1561" s="14" t="s">
        <v>701</v>
      </c>
      <c r="Q1561" s="14" t="s">
        <v>701</v>
      </c>
      <c r="R1561" s="14" t="s">
        <v>89</v>
      </c>
    </row>
    <row r="1562" spans="1:18" s="14" customFormat="1" x14ac:dyDescent="0.25">
      <c r="A1562" s="14" t="str">
        <f>"10001"</f>
        <v>10001</v>
      </c>
      <c r="B1562" s="14" t="str">
        <f>"00110"</f>
        <v>00110</v>
      </c>
      <c r="C1562" s="14" t="str">
        <f>"1400"</f>
        <v>1400</v>
      </c>
      <c r="D1562" s="14" t="str">
        <f>"00110"</f>
        <v>00110</v>
      </c>
      <c r="E1562" s="14" t="s">
        <v>20</v>
      </c>
      <c r="F1562" s="14" t="s">
        <v>26</v>
      </c>
      <c r="G1562" s="14" t="str">
        <f>""</f>
        <v/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23</v>
      </c>
      <c r="L1562" s="14" t="s">
        <v>22</v>
      </c>
      <c r="P1562" s="14" t="s">
        <v>24</v>
      </c>
      <c r="Q1562" s="14" t="s">
        <v>25</v>
      </c>
      <c r="R1562" s="14" t="s">
        <v>23</v>
      </c>
    </row>
    <row r="1563" spans="1:18" s="14" customFormat="1" x14ac:dyDescent="0.25">
      <c r="A1563" s="14" t="str">
        <f>"84232"</f>
        <v>84232</v>
      </c>
      <c r="B1563" s="14" t="str">
        <f>"07020"</f>
        <v>07020</v>
      </c>
      <c r="C1563" s="14" t="str">
        <f>"1700"</f>
        <v>1700</v>
      </c>
      <c r="D1563" s="14" t="str">
        <f>"84232"</f>
        <v>84232</v>
      </c>
      <c r="E1563" s="14" t="s">
        <v>1744</v>
      </c>
      <c r="F1563" s="14" t="s">
        <v>1532</v>
      </c>
      <c r="G1563" s="14" t="str">
        <f>""</f>
        <v/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1745</v>
      </c>
      <c r="P1563" s="14" t="s">
        <v>31</v>
      </c>
      <c r="Q1563" s="14" t="s">
        <v>31</v>
      </c>
      <c r="R1563" s="14" t="s">
        <v>1746</v>
      </c>
    </row>
    <row r="1564" spans="1:18" s="14" customFormat="1" x14ac:dyDescent="0.25">
      <c r="A1564" s="14" t="str">
        <f>"10001"</f>
        <v>10001</v>
      </c>
      <c r="B1564" s="14" t="str">
        <f>"01310"</f>
        <v>01310</v>
      </c>
      <c r="C1564" s="14" t="str">
        <f>"1100"</f>
        <v>1100</v>
      </c>
      <c r="D1564" s="14" t="str">
        <f>"01310"</f>
        <v>01310</v>
      </c>
      <c r="E1564" s="14" t="s">
        <v>20</v>
      </c>
      <c r="F1564" s="14" t="s">
        <v>101</v>
      </c>
      <c r="G1564" s="14" t="str">
        <f>""</f>
        <v/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102</v>
      </c>
      <c r="L1564" s="14" t="s">
        <v>48</v>
      </c>
      <c r="M1564" s="14" t="s">
        <v>97</v>
      </c>
      <c r="N1564" s="14" t="s">
        <v>98</v>
      </c>
      <c r="P1564" s="14" t="s">
        <v>39</v>
      </c>
      <c r="Q1564" s="14" t="s">
        <v>25</v>
      </c>
      <c r="R1564" s="14" t="s">
        <v>49</v>
      </c>
    </row>
    <row r="1565" spans="1:18" s="14" customFormat="1" x14ac:dyDescent="0.25">
      <c r="A1565" s="14" t="str">
        <f>"84146"</f>
        <v>84146</v>
      </c>
      <c r="B1565" s="14" t="str">
        <f>"07020"</f>
        <v>07020</v>
      </c>
      <c r="C1565" s="14" t="str">
        <f>"1700"</f>
        <v>1700</v>
      </c>
      <c r="D1565" s="14" t="str">
        <f>"84146"</f>
        <v>84146</v>
      </c>
      <c r="E1565" s="14" t="s">
        <v>1671</v>
      </c>
      <c r="F1565" s="14" t="s">
        <v>1532</v>
      </c>
      <c r="G1565" s="14" t="str">
        <f>""</f>
        <v/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1636</v>
      </c>
      <c r="L1565" s="14" t="s">
        <v>390</v>
      </c>
      <c r="P1565" s="14" t="s">
        <v>31</v>
      </c>
      <c r="Q1565" s="14" t="s">
        <v>31</v>
      </c>
      <c r="R1565" s="14" t="s">
        <v>1636</v>
      </c>
    </row>
    <row r="1566" spans="1:18" s="14" customFormat="1" x14ac:dyDescent="0.25">
      <c r="A1566" s="14" t="str">
        <f>"84207"</f>
        <v>84207</v>
      </c>
      <c r="B1566" s="14" t="str">
        <f>"07020"</f>
        <v>07020</v>
      </c>
      <c r="C1566" s="14" t="str">
        <f>"1700"</f>
        <v>1700</v>
      </c>
      <c r="D1566" s="14" t="str">
        <f>"84207"</f>
        <v>84207</v>
      </c>
      <c r="E1566" s="14" t="s">
        <v>1711</v>
      </c>
      <c r="F1566" s="14" t="s">
        <v>1532</v>
      </c>
      <c r="G1566" s="14" t="str">
        <f>""</f>
        <v/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1636</v>
      </c>
      <c r="P1566" s="14" t="s">
        <v>31</v>
      </c>
      <c r="Q1566" s="14" t="s">
        <v>31</v>
      </c>
      <c r="R1566" s="14" t="s">
        <v>1712</v>
      </c>
    </row>
    <row r="1567" spans="1:18" s="14" customFormat="1" x14ac:dyDescent="0.25">
      <c r="A1567" s="14" t="str">
        <f>"84248"</f>
        <v>84248</v>
      </c>
      <c r="B1567" s="14" t="str">
        <f>"07020"</f>
        <v>07020</v>
      </c>
      <c r="C1567" s="14" t="str">
        <f>"1700"</f>
        <v>1700</v>
      </c>
      <c r="D1567" s="14" t="str">
        <f>"84248"</f>
        <v>84248</v>
      </c>
      <c r="E1567" s="14" t="s">
        <v>1766</v>
      </c>
      <c r="F1567" s="14" t="s">
        <v>1532</v>
      </c>
      <c r="G1567" s="14" t="str">
        <f>""</f>
        <v/>
      </c>
      <c r="H1567" s="14" t="str">
        <f>" 00"</f>
        <v xml:space="preserve"> 00</v>
      </c>
      <c r="I1567" s="14">
        <v>0.01</v>
      </c>
      <c r="J1567" s="14">
        <v>9999999.9900000002</v>
      </c>
      <c r="K1567" s="14" t="s">
        <v>1636</v>
      </c>
      <c r="L1567" s="14" t="s">
        <v>1562</v>
      </c>
      <c r="P1567" s="14" t="s">
        <v>31</v>
      </c>
      <c r="Q1567" s="14" t="s">
        <v>31</v>
      </c>
      <c r="R1567" s="14" t="s">
        <v>390</v>
      </c>
    </row>
    <row r="1568" spans="1:18" s="14" customFormat="1" x14ac:dyDescent="0.25">
      <c r="A1568" s="14" t="str">
        <f>"84202"</f>
        <v>84202</v>
      </c>
      <c r="B1568" s="14" t="str">
        <f>"07020"</f>
        <v>07020</v>
      </c>
      <c r="C1568" s="14" t="str">
        <f>"1700"</f>
        <v>1700</v>
      </c>
      <c r="D1568" s="14" t="str">
        <f>"84202"</f>
        <v>84202</v>
      </c>
      <c r="E1568" s="14" t="s">
        <v>1707</v>
      </c>
      <c r="F1568" s="14" t="s">
        <v>1532</v>
      </c>
      <c r="G1568" s="14" t="str">
        <f>""</f>
        <v/>
      </c>
      <c r="H1568" s="14" t="str">
        <f>" 00"</f>
        <v xml:space="preserve"> 00</v>
      </c>
      <c r="I1568" s="14">
        <v>0.01</v>
      </c>
      <c r="J1568" s="14">
        <v>9999999.9900000002</v>
      </c>
      <c r="K1568" s="14" t="s">
        <v>1708</v>
      </c>
      <c r="P1568" s="14" t="s">
        <v>31</v>
      </c>
      <c r="Q1568" s="14" t="s">
        <v>31</v>
      </c>
      <c r="R1568" s="14" t="s">
        <v>1708</v>
      </c>
    </row>
    <row r="1569" spans="1:18" s="14" customFormat="1" x14ac:dyDescent="0.25">
      <c r="A1569" s="14" t="str">
        <f>"11048"</f>
        <v>11048</v>
      </c>
      <c r="B1569" s="14" t="str">
        <f>"01370"</f>
        <v>01370</v>
      </c>
      <c r="C1569" s="14" t="str">
        <f>"1300"</f>
        <v>1300</v>
      </c>
      <c r="D1569" s="14" t="str">
        <f>""</f>
        <v/>
      </c>
      <c r="E1569" s="14" t="s">
        <v>482</v>
      </c>
      <c r="F1569" s="14" t="s">
        <v>108</v>
      </c>
      <c r="G1569" s="14" t="str">
        <f>""</f>
        <v/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109</v>
      </c>
      <c r="L1569" s="14" t="s">
        <v>69</v>
      </c>
      <c r="M1569" s="14" t="s">
        <v>70</v>
      </c>
      <c r="N1569" s="14" t="s">
        <v>71</v>
      </c>
      <c r="P1569" s="14" t="s">
        <v>31</v>
      </c>
      <c r="Q1569" s="14" t="s">
        <v>25</v>
      </c>
      <c r="R1569" s="14" t="s">
        <v>72</v>
      </c>
    </row>
    <row r="1570" spans="1:18" s="14" customFormat="1" x14ac:dyDescent="0.25">
      <c r="A1570" s="14" t="str">
        <f>"84017"</f>
        <v>84017</v>
      </c>
      <c r="B1570" s="14" t="str">
        <f>"07020"</f>
        <v>07020</v>
      </c>
      <c r="C1570" s="14" t="str">
        <f>"1700"</f>
        <v>1700</v>
      </c>
      <c r="D1570" s="14" t="str">
        <f>"84017"</f>
        <v>84017</v>
      </c>
      <c r="E1570" s="14" t="s">
        <v>1554</v>
      </c>
      <c r="F1570" s="14" t="s">
        <v>1532</v>
      </c>
      <c r="G1570" s="14" t="str">
        <f>""</f>
        <v/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109</v>
      </c>
      <c r="L1570" s="14" t="s">
        <v>1555</v>
      </c>
      <c r="M1570" s="14" t="s">
        <v>72</v>
      </c>
      <c r="P1570" s="14" t="s">
        <v>31</v>
      </c>
      <c r="Q1570" s="14" t="s">
        <v>31</v>
      </c>
      <c r="R1570" s="14" t="s">
        <v>109</v>
      </c>
    </row>
    <row r="1571" spans="1:18" s="14" customFormat="1" x14ac:dyDescent="0.25">
      <c r="A1571" s="14" t="str">
        <f>"84045"</f>
        <v>84045</v>
      </c>
      <c r="B1571" s="14" t="str">
        <f>"07020"</f>
        <v>07020</v>
      </c>
      <c r="C1571" s="14" t="str">
        <f>"1700"</f>
        <v>1700</v>
      </c>
      <c r="D1571" s="14" t="str">
        <f>"84045"</f>
        <v>84045</v>
      </c>
      <c r="E1571" s="14" t="s">
        <v>1587</v>
      </c>
      <c r="F1571" s="14" t="s">
        <v>1532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109</v>
      </c>
      <c r="L1571" s="14" t="s">
        <v>72</v>
      </c>
      <c r="P1571" s="14" t="s">
        <v>31</v>
      </c>
      <c r="Q1571" s="14" t="s">
        <v>31</v>
      </c>
      <c r="R1571" s="14" t="s">
        <v>72</v>
      </c>
    </row>
    <row r="1572" spans="1:18" s="14" customFormat="1" x14ac:dyDescent="0.25">
      <c r="A1572" s="14" t="str">
        <f>"13007"</f>
        <v>13007</v>
      </c>
      <c r="B1572" s="14" t="str">
        <f>"03050"</f>
        <v>03050</v>
      </c>
      <c r="C1572" s="14" t="str">
        <f>"1400"</f>
        <v>1400</v>
      </c>
      <c r="D1572" s="14" t="str">
        <f>"13007"</f>
        <v>13007</v>
      </c>
      <c r="E1572" s="14" t="s">
        <v>491</v>
      </c>
      <c r="F1572" s="14" t="s">
        <v>225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227</v>
      </c>
      <c r="P1572" s="14" t="s">
        <v>260</v>
      </c>
      <c r="Q1572" s="14" t="s">
        <v>260</v>
      </c>
      <c r="R1572" s="14" t="s">
        <v>229</v>
      </c>
    </row>
    <row r="1573" spans="1:18" s="14" customFormat="1" x14ac:dyDescent="0.25">
      <c r="A1573" s="14" t="str">
        <f>"84058"</f>
        <v>84058</v>
      </c>
      <c r="B1573" s="14" t="str">
        <f>"07020"</f>
        <v>07020</v>
      </c>
      <c r="C1573" s="14" t="str">
        <f>"1700"</f>
        <v>1700</v>
      </c>
      <c r="D1573" s="14" t="str">
        <f>"84058"</f>
        <v>84058</v>
      </c>
      <c r="E1573" s="14" t="s">
        <v>1596</v>
      </c>
      <c r="F1573" s="14" t="s">
        <v>1532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1597</v>
      </c>
      <c r="L1573" s="14" t="s">
        <v>1598</v>
      </c>
      <c r="M1573" s="14" t="s">
        <v>72</v>
      </c>
      <c r="P1573" s="14" t="s">
        <v>31</v>
      </c>
      <c r="Q1573" s="14" t="s">
        <v>31</v>
      </c>
      <c r="R1573" s="14" t="s">
        <v>72</v>
      </c>
    </row>
    <row r="1574" spans="1:18" s="14" customFormat="1" x14ac:dyDescent="0.25">
      <c r="A1574" s="14" t="str">
        <f>"84158"</f>
        <v>84158</v>
      </c>
      <c r="B1574" s="14" t="str">
        <f>"07020"</f>
        <v>07020</v>
      </c>
      <c r="C1574" s="14" t="str">
        <f>"1700"</f>
        <v>1700</v>
      </c>
      <c r="D1574" s="14" t="str">
        <f>"84158"</f>
        <v>84158</v>
      </c>
      <c r="E1574" s="14" t="s">
        <v>1676</v>
      </c>
      <c r="F1574" s="14" t="s">
        <v>1532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1597</v>
      </c>
      <c r="L1574" s="14" t="s">
        <v>1677</v>
      </c>
      <c r="M1574" s="14" t="s">
        <v>72</v>
      </c>
      <c r="P1574" s="14" t="s">
        <v>31</v>
      </c>
      <c r="Q1574" s="14" t="s">
        <v>31</v>
      </c>
      <c r="R1574" s="14" t="s">
        <v>1597</v>
      </c>
    </row>
    <row r="1575" spans="1:18" s="14" customFormat="1" x14ac:dyDescent="0.25">
      <c r="A1575" s="14" t="str">
        <f>"10001"</f>
        <v>10001</v>
      </c>
      <c r="B1575" s="14" t="str">
        <f>"03120"</f>
        <v>03120</v>
      </c>
      <c r="C1575" s="14" t="str">
        <f>"1500"</f>
        <v>1500</v>
      </c>
      <c r="D1575" s="14" t="str">
        <f>"03120"</f>
        <v>03120</v>
      </c>
      <c r="E1575" s="14" t="s">
        <v>20</v>
      </c>
      <c r="F1575" s="14" t="s">
        <v>243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244</v>
      </c>
      <c r="P1575" s="14" t="s">
        <v>31</v>
      </c>
      <c r="Q1575" s="14" t="s">
        <v>25</v>
      </c>
      <c r="R1575" s="14" t="s">
        <v>245</v>
      </c>
    </row>
    <row r="1576" spans="1:18" s="14" customFormat="1" x14ac:dyDescent="0.25">
      <c r="A1576" s="14" t="str">
        <f>"10001"</f>
        <v>10001</v>
      </c>
      <c r="B1576" s="14" t="str">
        <f>"03130"</f>
        <v>03130</v>
      </c>
      <c r="C1576" s="14" t="str">
        <f>"1500"</f>
        <v>1500</v>
      </c>
      <c r="D1576" s="14" t="str">
        <f>"03130"</f>
        <v>03130</v>
      </c>
      <c r="E1576" s="14" t="s">
        <v>20</v>
      </c>
      <c r="F1576" s="14" t="s">
        <v>246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244</v>
      </c>
      <c r="P1576" s="14" t="s">
        <v>31</v>
      </c>
      <c r="Q1576" s="14" t="s">
        <v>25</v>
      </c>
      <c r="R1576" s="14" t="s">
        <v>245</v>
      </c>
    </row>
    <row r="1577" spans="1:18" s="14" customFormat="1" x14ac:dyDescent="0.25">
      <c r="A1577" s="14" t="str">
        <f>"11047"</f>
        <v>11047</v>
      </c>
      <c r="B1577" s="14" t="str">
        <f>"03120"</f>
        <v>03120</v>
      </c>
      <c r="C1577" s="14" t="str">
        <f>"1500"</f>
        <v>1500</v>
      </c>
      <c r="D1577" s="14" t="str">
        <f>""</f>
        <v/>
      </c>
      <c r="E1577" s="14" t="s">
        <v>481</v>
      </c>
      <c r="F1577" s="14" t="s">
        <v>243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244</v>
      </c>
      <c r="P1577" s="14" t="s">
        <v>25</v>
      </c>
      <c r="Q1577" s="14" t="s">
        <v>25</v>
      </c>
      <c r="R1577" s="14" t="s">
        <v>245</v>
      </c>
    </row>
    <row r="1578" spans="1:18" s="14" customFormat="1" x14ac:dyDescent="0.25">
      <c r="A1578" s="14" t="str">
        <f>"18003"</f>
        <v>18003</v>
      </c>
      <c r="B1578" s="14" t="str">
        <f>"03130"</f>
        <v>03130</v>
      </c>
      <c r="C1578" s="14" t="str">
        <f>"1400"</f>
        <v>1400</v>
      </c>
      <c r="D1578" s="14" t="str">
        <f>"18003"</f>
        <v>18003</v>
      </c>
      <c r="E1578" s="14" t="s">
        <v>586</v>
      </c>
      <c r="F1578" s="14" t="s">
        <v>246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244</v>
      </c>
      <c r="P1578" s="14" t="s">
        <v>31</v>
      </c>
      <c r="Q1578" s="14" t="s">
        <v>25</v>
      </c>
      <c r="R1578" s="14" t="s">
        <v>245</v>
      </c>
    </row>
    <row r="1579" spans="1:18" s="14" customFormat="1" x14ac:dyDescent="0.25">
      <c r="A1579" s="14" t="str">
        <f>"84094"</f>
        <v>84094</v>
      </c>
      <c r="B1579" s="14" t="str">
        <f>"07020"</f>
        <v>07020</v>
      </c>
      <c r="C1579" s="14" t="str">
        <f>"1700"</f>
        <v>1700</v>
      </c>
      <c r="D1579" s="14" t="str">
        <f>"84094"</f>
        <v>84094</v>
      </c>
      <c r="E1579" s="14" t="s">
        <v>1632</v>
      </c>
      <c r="F1579" s="14" t="s">
        <v>1532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1633</v>
      </c>
      <c r="P1579" s="14" t="s">
        <v>31</v>
      </c>
      <c r="Q1579" s="14" t="s">
        <v>31</v>
      </c>
      <c r="R1579" s="14" t="s">
        <v>1633</v>
      </c>
    </row>
    <row r="1580" spans="1:18" s="14" customFormat="1" x14ac:dyDescent="0.25">
      <c r="A1580" s="14" t="str">
        <f>"10001"</f>
        <v>10001</v>
      </c>
      <c r="B1580" s="14" t="str">
        <f>"02070"</f>
        <v>02070</v>
      </c>
      <c r="C1580" s="14" t="str">
        <f>"1400"</f>
        <v>1400</v>
      </c>
      <c r="D1580" s="14" t="str">
        <f>"02070"</f>
        <v>02070</v>
      </c>
      <c r="E1580" s="14" t="s">
        <v>20</v>
      </c>
      <c r="F1580" s="14" t="s">
        <v>201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199</v>
      </c>
      <c r="L1580" s="14" t="s">
        <v>198</v>
      </c>
      <c r="P1580" s="14" t="s">
        <v>31</v>
      </c>
      <c r="Q1580" s="14" t="s">
        <v>25</v>
      </c>
      <c r="R1580" s="14" t="s">
        <v>202</v>
      </c>
    </row>
    <row r="1581" spans="1:18" s="14" customFormat="1" x14ac:dyDescent="0.25">
      <c r="A1581" s="14" t="str">
        <f>"84099"</f>
        <v>84099</v>
      </c>
      <c r="B1581" s="14" t="str">
        <f>"07020"</f>
        <v>07020</v>
      </c>
      <c r="C1581" s="14" t="str">
        <f>"1700"</f>
        <v>1700</v>
      </c>
      <c r="D1581" s="14" t="str">
        <f>"84099"</f>
        <v>84099</v>
      </c>
      <c r="E1581" s="14" t="s">
        <v>1640</v>
      </c>
      <c r="F1581" s="14" t="s">
        <v>1532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1641</v>
      </c>
      <c r="L1581" s="14" t="s">
        <v>392</v>
      </c>
      <c r="M1581" s="14" t="s">
        <v>72</v>
      </c>
      <c r="P1581" s="14" t="s">
        <v>31</v>
      </c>
      <c r="Q1581" s="14" t="s">
        <v>31</v>
      </c>
      <c r="R1581" s="14" t="s">
        <v>1641</v>
      </c>
    </row>
    <row r="1582" spans="1:18" s="14" customFormat="1" x14ac:dyDescent="0.25">
      <c r="A1582" s="14" t="str">
        <f>"10001"</f>
        <v>10001</v>
      </c>
      <c r="B1582" s="14" t="str">
        <f>"01690"</f>
        <v>01690</v>
      </c>
      <c r="C1582" s="14" t="str">
        <f>"1100"</f>
        <v>1100</v>
      </c>
      <c r="D1582" s="14" t="str">
        <f>"01690"</f>
        <v>01690</v>
      </c>
      <c r="E1582" s="14" t="s">
        <v>20</v>
      </c>
      <c r="F1582" s="14" t="s">
        <v>152</v>
      </c>
      <c r="G1582" s="14" t="str">
        <f>""</f>
        <v/>
      </c>
      <c r="H1582" s="14" t="str">
        <f>" 20"</f>
        <v xml:space="preserve"> 20</v>
      </c>
      <c r="I1582" s="14">
        <v>500.01</v>
      </c>
      <c r="J1582" s="14">
        <v>9999999.9900000002</v>
      </c>
      <c r="K1582" s="14" t="s">
        <v>153</v>
      </c>
      <c r="L1582" s="14" t="s">
        <v>147</v>
      </c>
      <c r="M1582" s="14" t="s">
        <v>154</v>
      </c>
      <c r="P1582" s="14" t="s">
        <v>39</v>
      </c>
      <c r="Q1582" s="14" t="s">
        <v>25</v>
      </c>
      <c r="R1582" s="14" t="s">
        <v>146</v>
      </c>
    </row>
    <row r="1583" spans="1:18" s="14" customFormat="1" x14ac:dyDescent="0.25">
      <c r="A1583" s="14" t="str">
        <f>"10001"</f>
        <v>10001</v>
      </c>
      <c r="B1583" s="14" t="str">
        <f>"03901"</f>
        <v>03901</v>
      </c>
      <c r="C1583" s="14" t="str">
        <f>"1800"</f>
        <v>1800</v>
      </c>
      <c r="D1583" s="14" t="str">
        <f>""</f>
        <v/>
      </c>
      <c r="E1583" s="14" t="s">
        <v>20</v>
      </c>
      <c r="F1583" s="14" t="s">
        <v>317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318</v>
      </c>
      <c r="L1583" s="14" t="s">
        <v>319</v>
      </c>
      <c r="P1583" s="14" t="s">
        <v>260</v>
      </c>
      <c r="Q1583" s="14" t="s">
        <v>25</v>
      </c>
      <c r="R1583" s="14" t="s">
        <v>318</v>
      </c>
    </row>
    <row r="1584" spans="1:18" s="14" customFormat="1" x14ac:dyDescent="0.25">
      <c r="A1584" s="14" t="str">
        <f>"10001"</f>
        <v>10001</v>
      </c>
      <c r="B1584" s="14" t="str">
        <f>"03902"</f>
        <v>03902</v>
      </c>
      <c r="C1584" s="14" t="str">
        <f>"1400"</f>
        <v>1400</v>
      </c>
      <c r="D1584" s="14" t="str">
        <f>""</f>
        <v/>
      </c>
      <c r="E1584" s="14" t="s">
        <v>20</v>
      </c>
      <c r="F1584" s="14" t="s">
        <v>320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318</v>
      </c>
      <c r="L1584" s="14" t="s">
        <v>319</v>
      </c>
      <c r="P1584" s="14" t="s">
        <v>260</v>
      </c>
      <c r="Q1584" s="14" t="s">
        <v>25</v>
      </c>
      <c r="R1584" s="14" t="s">
        <v>318</v>
      </c>
    </row>
    <row r="1585" spans="1:18" s="14" customFormat="1" x14ac:dyDescent="0.25">
      <c r="A1585" s="14" t="str">
        <f>"10001"</f>
        <v>10001</v>
      </c>
      <c r="B1585" s="14" t="str">
        <f>"03903"</f>
        <v>03903</v>
      </c>
      <c r="C1585" s="14" t="str">
        <f>"1400"</f>
        <v>1400</v>
      </c>
      <c r="D1585" s="14" t="str">
        <f>""</f>
        <v/>
      </c>
      <c r="E1585" s="14" t="s">
        <v>20</v>
      </c>
      <c r="F1585" s="14" t="s">
        <v>321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318</v>
      </c>
      <c r="L1585" s="14" t="s">
        <v>319</v>
      </c>
      <c r="P1585" s="14" t="s">
        <v>260</v>
      </c>
      <c r="Q1585" s="14" t="s">
        <v>25</v>
      </c>
      <c r="R1585" s="14" t="s">
        <v>318</v>
      </c>
    </row>
    <row r="1586" spans="1:18" s="14" customFormat="1" x14ac:dyDescent="0.25">
      <c r="A1586" s="14" t="str">
        <f>"10001"</f>
        <v>10001</v>
      </c>
      <c r="B1586" s="14" t="str">
        <f>"03904"</f>
        <v>03904</v>
      </c>
      <c r="C1586" s="14" t="str">
        <f>"1800"</f>
        <v>1800</v>
      </c>
      <c r="D1586" s="14" t="str">
        <f>""</f>
        <v/>
      </c>
      <c r="E1586" s="14" t="s">
        <v>20</v>
      </c>
      <c r="F1586" s="14" t="s">
        <v>322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318</v>
      </c>
      <c r="L1586" s="14" t="s">
        <v>319</v>
      </c>
      <c r="P1586" s="14" t="s">
        <v>260</v>
      </c>
      <c r="Q1586" s="14" t="s">
        <v>25</v>
      </c>
      <c r="R1586" s="14" t="s">
        <v>318</v>
      </c>
    </row>
    <row r="1587" spans="1:18" s="14" customFormat="1" x14ac:dyDescent="0.25">
      <c r="A1587" s="14" t="str">
        <f>"10001"</f>
        <v>10001</v>
      </c>
      <c r="B1587" s="14" t="str">
        <f>"03906"</f>
        <v>03906</v>
      </c>
      <c r="C1587" s="14" t="str">
        <f>"1400"</f>
        <v>1400</v>
      </c>
      <c r="D1587" s="14" t="str">
        <f>""</f>
        <v/>
      </c>
      <c r="E1587" s="14" t="s">
        <v>20</v>
      </c>
      <c r="F1587" s="14" t="s">
        <v>323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318</v>
      </c>
      <c r="L1587" s="14" t="s">
        <v>319</v>
      </c>
      <c r="P1587" s="14" t="s">
        <v>260</v>
      </c>
      <c r="Q1587" s="14" t="s">
        <v>25</v>
      </c>
      <c r="R1587" s="14" t="s">
        <v>318</v>
      </c>
    </row>
    <row r="1588" spans="1:18" s="14" customFormat="1" x14ac:dyDescent="0.25">
      <c r="A1588" s="14" t="str">
        <f>"10001"</f>
        <v>10001</v>
      </c>
      <c r="B1588" s="14" t="str">
        <f>"03912"</f>
        <v>03912</v>
      </c>
      <c r="C1588" s="14" t="str">
        <f>"1800"</f>
        <v>1800</v>
      </c>
      <c r="D1588" s="14" t="str">
        <f>""</f>
        <v/>
      </c>
      <c r="E1588" s="14" t="s">
        <v>20</v>
      </c>
      <c r="F1588" s="14" t="s">
        <v>325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318</v>
      </c>
      <c r="L1588" s="14" t="s">
        <v>319</v>
      </c>
      <c r="P1588" s="14" t="s">
        <v>260</v>
      </c>
      <c r="Q1588" s="14" t="s">
        <v>25</v>
      </c>
      <c r="R1588" s="14" t="s">
        <v>318</v>
      </c>
    </row>
    <row r="1589" spans="1:18" s="14" customFormat="1" x14ac:dyDescent="0.25">
      <c r="A1589" s="14" t="str">
        <f>"10001"</f>
        <v>10001</v>
      </c>
      <c r="B1589" s="14" t="str">
        <f>"03916"</f>
        <v>03916</v>
      </c>
      <c r="C1589" s="14" t="str">
        <f>"1800"</f>
        <v>1800</v>
      </c>
      <c r="D1589" s="14" t="str">
        <f>""</f>
        <v/>
      </c>
      <c r="E1589" s="14" t="s">
        <v>20</v>
      </c>
      <c r="F1589" s="14" t="s">
        <v>326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318</v>
      </c>
      <c r="L1589" s="14" t="s">
        <v>319</v>
      </c>
      <c r="P1589" s="14" t="s">
        <v>260</v>
      </c>
      <c r="Q1589" s="14" t="s">
        <v>25</v>
      </c>
      <c r="R1589" s="14" t="s">
        <v>318</v>
      </c>
    </row>
    <row r="1590" spans="1:18" s="14" customFormat="1" x14ac:dyDescent="0.25">
      <c r="A1590" s="14" t="str">
        <f>"10001"</f>
        <v>10001</v>
      </c>
      <c r="B1590" s="14" t="str">
        <f>"03918"</f>
        <v>03918</v>
      </c>
      <c r="C1590" s="14" t="str">
        <f>"1800"</f>
        <v>1800</v>
      </c>
      <c r="D1590" s="14" t="str">
        <f>""</f>
        <v/>
      </c>
      <c r="E1590" s="14" t="s">
        <v>20</v>
      </c>
      <c r="F1590" s="14" t="s">
        <v>327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318</v>
      </c>
      <c r="L1590" s="14" t="s">
        <v>319</v>
      </c>
      <c r="P1590" s="14" t="s">
        <v>260</v>
      </c>
      <c r="Q1590" s="14" t="s">
        <v>25</v>
      </c>
      <c r="R1590" s="14" t="s">
        <v>318</v>
      </c>
    </row>
    <row r="1591" spans="1:18" s="14" customFormat="1" x14ac:dyDescent="0.25">
      <c r="A1591" s="14" t="str">
        <f>"10001"</f>
        <v>10001</v>
      </c>
      <c r="B1591" s="14" t="str">
        <f>"03933"</f>
        <v>03933</v>
      </c>
      <c r="C1591" s="14" t="str">
        <f>"1400"</f>
        <v>1400</v>
      </c>
      <c r="D1591" s="14" t="str">
        <f>""</f>
        <v/>
      </c>
      <c r="E1591" s="14" t="s">
        <v>20</v>
      </c>
      <c r="F1591" s="14" t="s">
        <v>328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318</v>
      </c>
      <c r="L1591" s="14" t="s">
        <v>319</v>
      </c>
      <c r="P1591" s="14" t="s">
        <v>260</v>
      </c>
      <c r="Q1591" s="14" t="s">
        <v>25</v>
      </c>
      <c r="R1591" s="14" t="s">
        <v>318</v>
      </c>
    </row>
    <row r="1592" spans="1:18" s="14" customFormat="1" x14ac:dyDescent="0.25">
      <c r="A1592" s="14" t="str">
        <f>"10001"</f>
        <v>10001</v>
      </c>
      <c r="B1592" s="14" t="str">
        <f>"03934"</f>
        <v>03934</v>
      </c>
      <c r="C1592" s="14" t="str">
        <f>"1400"</f>
        <v>1400</v>
      </c>
      <c r="D1592" s="14" t="str">
        <f>""</f>
        <v/>
      </c>
      <c r="E1592" s="14" t="s">
        <v>20</v>
      </c>
      <c r="F1592" s="14" t="s">
        <v>329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318</v>
      </c>
      <c r="L1592" s="14" t="s">
        <v>319</v>
      </c>
      <c r="P1592" s="14" t="s">
        <v>260</v>
      </c>
      <c r="Q1592" s="14" t="s">
        <v>25</v>
      </c>
      <c r="R1592" s="14" t="s">
        <v>318</v>
      </c>
    </row>
    <row r="1593" spans="1:18" s="14" customFormat="1" x14ac:dyDescent="0.25">
      <c r="A1593" s="14" t="str">
        <f>"10001"</f>
        <v>10001</v>
      </c>
      <c r="B1593" s="14" t="str">
        <f>"03935"</f>
        <v>03935</v>
      </c>
      <c r="C1593" s="14" t="str">
        <f>"1400"</f>
        <v>1400</v>
      </c>
      <c r="D1593" s="14" t="str">
        <f>""</f>
        <v/>
      </c>
      <c r="E1593" s="14" t="s">
        <v>20</v>
      </c>
      <c r="F1593" s="14" t="s">
        <v>330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318</v>
      </c>
      <c r="L1593" s="14" t="s">
        <v>319</v>
      </c>
      <c r="P1593" s="14" t="s">
        <v>260</v>
      </c>
      <c r="Q1593" s="14" t="s">
        <v>25</v>
      </c>
      <c r="R1593" s="14" t="s">
        <v>318</v>
      </c>
    </row>
    <row r="1594" spans="1:18" s="14" customFormat="1" x14ac:dyDescent="0.25">
      <c r="A1594" s="14" t="str">
        <f>"10001"</f>
        <v>10001</v>
      </c>
      <c r="B1594" s="14" t="str">
        <f>"03936"</f>
        <v>03936</v>
      </c>
      <c r="C1594" s="14" t="str">
        <f>"1400"</f>
        <v>1400</v>
      </c>
      <c r="D1594" s="14" t="str">
        <f>""</f>
        <v/>
      </c>
      <c r="E1594" s="14" t="s">
        <v>20</v>
      </c>
      <c r="F1594" s="14" t="s">
        <v>331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318</v>
      </c>
      <c r="L1594" s="14" t="s">
        <v>319</v>
      </c>
      <c r="P1594" s="14" t="s">
        <v>260</v>
      </c>
      <c r="Q1594" s="14" t="s">
        <v>25</v>
      </c>
      <c r="R1594" s="14" t="s">
        <v>318</v>
      </c>
    </row>
    <row r="1595" spans="1:18" s="14" customFormat="1" x14ac:dyDescent="0.25">
      <c r="A1595" s="14" t="str">
        <f>"10001"</f>
        <v>10001</v>
      </c>
      <c r="B1595" s="14" t="str">
        <f>"03937"</f>
        <v>03937</v>
      </c>
      <c r="C1595" s="14" t="str">
        <f>"1400"</f>
        <v>1400</v>
      </c>
      <c r="D1595" s="14" t="str">
        <f>""</f>
        <v/>
      </c>
      <c r="E1595" s="14" t="s">
        <v>20</v>
      </c>
      <c r="F1595" s="14" t="s">
        <v>332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318</v>
      </c>
      <c r="L1595" s="14" t="s">
        <v>319</v>
      </c>
      <c r="P1595" s="14" t="s">
        <v>260</v>
      </c>
      <c r="Q1595" s="14" t="s">
        <v>25</v>
      </c>
      <c r="R1595" s="14" t="s">
        <v>318</v>
      </c>
    </row>
    <row r="1596" spans="1:18" s="14" customFormat="1" x14ac:dyDescent="0.25">
      <c r="A1596" s="14" t="str">
        <f>"10001"</f>
        <v>10001</v>
      </c>
      <c r="B1596" s="14" t="str">
        <f>"03938"</f>
        <v>03938</v>
      </c>
      <c r="C1596" s="14" t="str">
        <f>"1400"</f>
        <v>1400</v>
      </c>
      <c r="D1596" s="14" t="str">
        <f>""</f>
        <v/>
      </c>
      <c r="E1596" s="14" t="s">
        <v>20</v>
      </c>
      <c r="F1596" s="14" t="s">
        <v>333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318</v>
      </c>
      <c r="L1596" s="14" t="s">
        <v>319</v>
      </c>
      <c r="P1596" s="14" t="s">
        <v>260</v>
      </c>
      <c r="Q1596" s="14" t="s">
        <v>25</v>
      </c>
      <c r="R1596" s="14" t="s">
        <v>318</v>
      </c>
    </row>
    <row r="1597" spans="1:18" s="14" customFormat="1" x14ac:dyDescent="0.25">
      <c r="A1597" s="14" t="str">
        <f>"10001"</f>
        <v>10001</v>
      </c>
      <c r="B1597" s="14" t="str">
        <f>"03939"</f>
        <v>03939</v>
      </c>
      <c r="C1597" s="14" t="str">
        <f>"1400"</f>
        <v>1400</v>
      </c>
      <c r="D1597" s="14" t="str">
        <f>""</f>
        <v/>
      </c>
      <c r="E1597" s="14" t="s">
        <v>20</v>
      </c>
      <c r="F1597" s="14" t="s">
        <v>334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318</v>
      </c>
      <c r="L1597" s="14" t="s">
        <v>319</v>
      </c>
      <c r="P1597" s="14" t="s">
        <v>260</v>
      </c>
      <c r="Q1597" s="14" t="s">
        <v>25</v>
      </c>
      <c r="R1597" s="14" t="s">
        <v>318</v>
      </c>
    </row>
    <row r="1598" spans="1:18" s="14" customFormat="1" x14ac:dyDescent="0.25">
      <c r="A1598" s="14" t="str">
        <f>"10001"</f>
        <v>10001</v>
      </c>
      <c r="B1598" s="14" t="str">
        <f>"03940"</f>
        <v>03940</v>
      </c>
      <c r="C1598" s="14" t="str">
        <f>"1400"</f>
        <v>1400</v>
      </c>
      <c r="D1598" s="14" t="str">
        <f>""</f>
        <v/>
      </c>
      <c r="E1598" s="14" t="s">
        <v>20</v>
      </c>
      <c r="F1598" s="14" t="s">
        <v>335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318</v>
      </c>
      <c r="L1598" s="14" t="s">
        <v>319</v>
      </c>
      <c r="P1598" s="14" t="s">
        <v>260</v>
      </c>
      <c r="Q1598" s="14" t="s">
        <v>25</v>
      </c>
      <c r="R1598" s="14" t="s">
        <v>318</v>
      </c>
    </row>
    <row r="1599" spans="1:18" s="14" customFormat="1" x14ac:dyDescent="0.25">
      <c r="A1599" s="14" t="str">
        <f>"10001"</f>
        <v>10001</v>
      </c>
      <c r="B1599" s="14" t="str">
        <f>"03941"</f>
        <v>03941</v>
      </c>
      <c r="C1599" s="14" t="str">
        <f>"1400"</f>
        <v>1400</v>
      </c>
      <c r="D1599" s="14" t="str">
        <f>""</f>
        <v/>
      </c>
      <c r="E1599" s="14" t="s">
        <v>20</v>
      </c>
      <c r="F1599" s="14" t="s">
        <v>336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318</v>
      </c>
      <c r="L1599" s="14" t="s">
        <v>319</v>
      </c>
      <c r="P1599" s="14" t="s">
        <v>260</v>
      </c>
      <c r="Q1599" s="14" t="s">
        <v>25</v>
      </c>
      <c r="R1599" s="14" t="s">
        <v>318</v>
      </c>
    </row>
    <row r="1600" spans="1:18" s="14" customFormat="1" x14ac:dyDescent="0.25">
      <c r="A1600" s="14" t="str">
        <f>"10001"</f>
        <v>10001</v>
      </c>
      <c r="B1600" s="14" t="str">
        <f>"03943"</f>
        <v>03943</v>
      </c>
      <c r="C1600" s="14" t="str">
        <f>"1800"</f>
        <v>1800</v>
      </c>
      <c r="D1600" s="14" t="str">
        <f>""</f>
        <v/>
      </c>
      <c r="E1600" s="14" t="s">
        <v>20</v>
      </c>
      <c r="F1600" s="14" t="s">
        <v>337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318</v>
      </c>
      <c r="L1600" s="14" t="s">
        <v>319</v>
      </c>
      <c r="P1600" s="14" t="s">
        <v>260</v>
      </c>
      <c r="Q1600" s="14" t="s">
        <v>25</v>
      </c>
      <c r="R1600" s="14" t="s">
        <v>318</v>
      </c>
    </row>
    <row r="1601" spans="1:18" s="14" customFormat="1" x14ac:dyDescent="0.25">
      <c r="A1601" s="14" t="str">
        <f>"10001"</f>
        <v>10001</v>
      </c>
      <c r="B1601" s="14" t="str">
        <f>"03946"</f>
        <v>03946</v>
      </c>
      <c r="C1601" s="14" t="str">
        <f>"1800"</f>
        <v>1800</v>
      </c>
      <c r="D1601" s="14" t="str">
        <f>""</f>
        <v/>
      </c>
      <c r="E1601" s="14" t="s">
        <v>20</v>
      </c>
      <c r="F1601" s="14" t="s">
        <v>338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318</v>
      </c>
      <c r="L1601" s="14" t="s">
        <v>319</v>
      </c>
      <c r="P1601" s="14" t="s">
        <v>260</v>
      </c>
      <c r="Q1601" s="14" t="s">
        <v>25</v>
      </c>
      <c r="R1601" s="14" t="s">
        <v>318</v>
      </c>
    </row>
    <row r="1602" spans="1:18" s="14" customFormat="1" x14ac:dyDescent="0.25">
      <c r="A1602" s="14" t="str">
        <f>"10001"</f>
        <v>10001</v>
      </c>
      <c r="B1602" s="14" t="str">
        <f>"03952"</f>
        <v>03952</v>
      </c>
      <c r="C1602" s="14" t="str">
        <f>"1800"</f>
        <v>1800</v>
      </c>
      <c r="D1602" s="14" t="str">
        <f>""</f>
        <v/>
      </c>
      <c r="E1602" s="14" t="s">
        <v>20</v>
      </c>
      <c r="F1602" s="14" t="s">
        <v>339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318</v>
      </c>
      <c r="L1602" s="14" t="s">
        <v>319</v>
      </c>
      <c r="P1602" s="14" t="s">
        <v>260</v>
      </c>
      <c r="Q1602" s="14" t="s">
        <v>25</v>
      </c>
      <c r="R1602" s="14" t="s">
        <v>318</v>
      </c>
    </row>
    <row r="1603" spans="1:18" s="14" customFormat="1" x14ac:dyDescent="0.25">
      <c r="A1603" s="14" t="str">
        <f>"10001"</f>
        <v>10001</v>
      </c>
      <c r="B1603" s="14" t="str">
        <f>"03953"</f>
        <v>03953</v>
      </c>
      <c r="C1603" s="14" t="str">
        <f>"1800"</f>
        <v>1800</v>
      </c>
      <c r="D1603" s="14" t="str">
        <f>""</f>
        <v/>
      </c>
      <c r="E1603" s="14" t="s">
        <v>20</v>
      </c>
      <c r="F1603" s="14" t="s">
        <v>340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318</v>
      </c>
      <c r="L1603" s="14" t="s">
        <v>319</v>
      </c>
      <c r="P1603" s="14" t="s">
        <v>260</v>
      </c>
      <c r="Q1603" s="14" t="s">
        <v>25</v>
      </c>
      <c r="R1603" s="14" t="s">
        <v>318</v>
      </c>
    </row>
    <row r="1604" spans="1:18" s="14" customFormat="1" x14ac:dyDescent="0.25">
      <c r="A1604" s="14" t="str">
        <f>"10001"</f>
        <v>10001</v>
      </c>
      <c r="B1604" s="14" t="str">
        <f>"03955"</f>
        <v>03955</v>
      </c>
      <c r="C1604" s="14" t="str">
        <f>"1800"</f>
        <v>1800</v>
      </c>
      <c r="D1604" s="14" t="str">
        <f>""</f>
        <v/>
      </c>
      <c r="E1604" s="14" t="s">
        <v>20</v>
      </c>
      <c r="F1604" s="14" t="s">
        <v>341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318</v>
      </c>
      <c r="L1604" s="14" t="s">
        <v>319</v>
      </c>
      <c r="P1604" s="14" t="s">
        <v>260</v>
      </c>
      <c r="Q1604" s="14" t="s">
        <v>25</v>
      </c>
      <c r="R1604" s="14" t="s">
        <v>318</v>
      </c>
    </row>
    <row r="1605" spans="1:18" s="14" customFormat="1" x14ac:dyDescent="0.25">
      <c r="A1605" s="14" t="str">
        <f>"10001"</f>
        <v>10001</v>
      </c>
      <c r="B1605" s="14" t="str">
        <f>"03956"</f>
        <v>03956</v>
      </c>
      <c r="C1605" s="14" t="str">
        <f>"1800"</f>
        <v>1800</v>
      </c>
      <c r="D1605" s="14" t="str">
        <f>""</f>
        <v/>
      </c>
      <c r="E1605" s="14" t="s">
        <v>20</v>
      </c>
      <c r="F1605" s="14" t="s">
        <v>342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318</v>
      </c>
      <c r="L1605" s="14" t="s">
        <v>319</v>
      </c>
      <c r="P1605" s="14" t="s">
        <v>260</v>
      </c>
      <c r="Q1605" s="14" t="s">
        <v>25</v>
      </c>
      <c r="R1605" s="14" t="s">
        <v>318</v>
      </c>
    </row>
    <row r="1606" spans="1:18" s="14" customFormat="1" x14ac:dyDescent="0.25">
      <c r="A1606" s="14" t="str">
        <f>"10001"</f>
        <v>10001</v>
      </c>
      <c r="B1606" s="14" t="str">
        <f>"03957"</f>
        <v>03957</v>
      </c>
      <c r="C1606" s="14" t="str">
        <f>"1400"</f>
        <v>1400</v>
      </c>
      <c r="D1606" s="14" t="str">
        <f>""</f>
        <v/>
      </c>
      <c r="E1606" s="14" t="s">
        <v>20</v>
      </c>
      <c r="F1606" s="14" t="s">
        <v>343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318</v>
      </c>
      <c r="L1606" s="14" t="s">
        <v>319</v>
      </c>
      <c r="P1606" s="14" t="s">
        <v>260</v>
      </c>
      <c r="Q1606" s="14" t="s">
        <v>25</v>
      </c>
      <c r="R1606" s="14" t="s">
        <v>318</v>
      </c>
    </row>
    <row r="1607" spans="1:18" s="14" customFormat="1" x14ac:dyDescent="0.25">
      <c r="A1607" s="14" t="str">
        <f>"10001"</f>
        <v>10001</v>
      </c>
      <c r="B1607" s="14" t="str">
        <f>"03958"</f>
        <v>03958</v>
      </c>
      <c r="C1607" s="14" t="str">
        <f>"1800"</f>
        <v>1800</v>
      </c>
      <c r="D1607" s="14" t="str">
        <f>""</f>
        <v/>
      </c>
      <c r="E1607" s="14" t="s">
        <v>20</v>
      </c>
      <c r="F1607" s="14" t="s">
        <v>344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318</v>
      </c>
      <c r="L1607" s="14" t="s">
        <v>319</v>
      </c>
      <c r="P1607" s="14" t="s">
        <v>260</v>
      </c>
      <c r="Q1607" s="14" t="s">
        <v>25</v>
      </c>
      <c r="R1607" s="14" t="s">
        <v>318</v>
      </c>
    </row>
    <row r="1608" spans="1:18" s="14" customFormat="1" x14ac:dyDescent="0.25">
      <c r="A1608" s="14" t="str">
        <f>"10001"</f>
        <v>10001</v>
      </c>
      <c r="B1608" s="14" t="str">
        <f>"03959"</f>
        <v>03959</v>
      </c>
      <c r="C1608" s="14" t="str">
        <f>"1800"</f>
        <v>1800</v>
      </c>
      <c r="D1608" s="14" t="str">
        <f>""</f>
        <v/>
      </c>
      <c r="E1608" s="14" t="s">
        <v>20</v>
      </c>
      <c r="F1608" s="14" t="s">
        <v>345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318</v>
      </c>
      <c r="L1608" s="14" t="s">
        <v>319</v>
      </c>
      <c r="P1608" s="14" t="s">
        <v>260</v>
      </c>
      <c r="Q1608" s="14" t="s">
        <v>25</v>
      </c>
      <c r="R1608" s="14" t="s">
        <v>318</v>
      </c>
    </row>
    <row r="1609" spans="1:18" s="14" customFormat="1" x14ac:dyDescent="0.25">
      <c r="A1609" s="14" t="str">
        <f>"10001"</f>
        <v>10001</v>
      </c>
      <c r="B1609" s="14" t="str">
        <f>"03960"</f>
        <v>03960</v>
      </c>
      <c r="C1609" s="14" t="str">
        <f>"1800"</f>
        <v>1800</v>
      </c>
      <c r="D1609" s="14" t="str">
        <f>""</f>
        <v/>
      </c>
      <c r="E1609" s="14" t="s">
        <v>20</v>
      </c>
      <c r="F1609" s="14" t="s">
        <v>346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318</v>
      </c>
      <c r="L1609" s="14" t="s">
        <v>319</v>
      </c>
      <c r="P1609" s="14" t="s">
        <v>260</v>
      </c>
      <c r="Q1609" s="14" t="s">
        <v>25</v>
      </c>
      <c r="R1609" s="14" t="s">
        <v>318</v>
      </c>
    </row>
    <row r="1610" spans="1:18" s="14" customFormat="1" x14ac:dyDescent="0.25">
      <c r="A1610" s="14" t="str">
        <f>"10001"</f>
        <v>10001</v>
      </c>
      <c r="B1610" s="14" t="str">
        <f>"03961"</f>
        <v>03961</v>
      </c>
      <c r="C1610" s="14" t="str">
        <f>"1800"</f>
        <v>1800</v>
      </c>
      <c r="D1610" s="14" t="str">
        <f>""</f>
        <v/>
      </c>
      <c r="E1610" s="14" t="s">
        <v>20</v>
      </c>
      <c r="F1610" s="14" t="s">
        <v>347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318</v>
      </c>
      <c r="L1610" s="14" t="s">
        <v>319</v>
      </c>
      <c r="P1610" s="14" t="s">
        <v>260</v>
      </c>
      <c r="Q1610" s="14" t="s">
        <v>25</v>
      </c>
      <c r="R1610" s="14" t="s">
        <v>318</v>
      </c>
    </row>
    <row r="1611" spans="1:18" s="14" customFormat="1" x14ac:dyDescent="0.25">
      <c r="A1611" s="14" t="str">
        <f>"10001"</f>
        <v>10001</v>
      </c>
      <c r="B1611" s="14" t="str">
        <f>"03962"</f>
        <v>03962</v>
      </c>
      <c r="C1611" s="14" t="str">
        <f>"1800"</f>
        <v>1800</v>
      </c>
      <c r="D1611" s="14" t="str">
        <f>""</f>
        <v/>
      </c>
      <c r="E1611" s="14" t="s">
        <v>20</v>
      </c>
      <c r="F1611" s="14" t="s">
        <v>348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318</v>
      </c>
      <c r="L1611" s="14" t="s">
        <v>319</v>
      </c>
      <c r="P1611" s="14" t="s">
        <v>260</v>
      </c>
      <c r="Q1611" s="14" t="s">
        <v>25</v>
      </c>
      <c r="R1611" s="14" t="s">
        <v>318</v>
      </c>
    </row>
    <row r="1612" spans="1:18" s="14" customFormat="1" x14ac:dyDescent="0.25">
      <c r="A1612" s="14" t="str">
        <f>"10001"</f>
        <v>10001</v>
      </c>
      <c r="B1612" s="14" t="str">
        <f>"03963"</f>
        <v>03963</v>
      </c>
      <c r="C1612" s="14" t="str">
        <f>"1800"</f>
        <v>1800</v>
      </c>
      <c r="D1612" s="14" t="str">
        <f>""</f>
        <v/>
      </c>
      <c r="E1612" s="14" t="s">
        <v>20</v>
      </c>
      <c r="F1612" s="14" t="s">
        <v>349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318</v>
      </c>
      <c r="L1612" s="14" t="s">
        <v>319</v>
      </c>
      <c r="P1612" s="14" t="s">
        <v>260</v>
      </c>
      <c r="Q1612" s="14" t="s">
        <v>25</v>
      </c>
      <c r="R1612" s="14" t="s">
        <v>318</v>
      </c>
    </row>
    <row r="1613" spans="1:18" s="14" customFormat="1" x14ac:dyDescent="0.25">
      <c r="A1613" s="14" t="str">
        <f>"10001"</f>
        <v>10001</v>
      </c>
      <c r="B1613" s="14" t="str">
        <f>"03964"</f>
        <v>03964</v>
      </c>
      <c r="C1613" s="14" t="str">
        <f>"1800"</f>
        <v>1800</v>
      </c>
      <c r="D1613" s="14" t="str">
        <f>""</f>
        <v/>
      </c>
      <c r="E1613" s="14" t="s">
        <v>20</v>
      </c>
      <c r="F1613" s="14" t="s">
        <v>350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318</v>
      </c>
      <c r="L1613" s="14" t="s">
        <v>319</v>
      </c>
      <c r="P1613" s="14" t="s">
        <v>260</v>
      </c>
      <c r="Q1613" s="14" t="s">
        <v>25</v>
      </c>
      <c r="R1613" s="14" t="s">
        <v>318</v>
      </c>
    </row>
    <row r="1614" spans="1:18" s="14" customFormat="1" x14ac:dyDescent="0.25">
      <c r="A1614" s="14" t="str">
        <f>"10001"</f>
        <v>10001</v>
      </c>
      <c r="B1614" s="14" t="str">
        <f>"03965"</f>
        <v>03965</v>
      </c>
      <c r="C1614" s="14" t="str">
        <f>"1800"</f>
        <v>1800</v>
      </c>
      <c r="D1614" s="14" t="str">
        <f>""</f>
        <v/>
      </c>
      <c r="E1614" s="14" t="s">
        <v>20</v>
      </c>
      <c r="F1614" s="14" t="s">
        <v>351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318</v>
      </c>
      <c r="L1614" s="14" t="s">
        <v>319</v>
      </c>
      <c r="P1614" s="14" t="s">
        <v>260</v>
      </c>
      <c r="Q1614" s="14" t="s">
        <v>25</v>
      </c>
      <c r="R1614" s="14" t="s">
        <v>318</v>
      </c>
    </row>
    <row r="1615" spans="1:18" s="14" customFormat="1" x14ac:dyDescent="0.25">
      <c r="A1615" s="14" t="str">
        <f>"10001"</f>
        <v>10001</v>
      </c>
      <c r="B1615" s="14" t="str">
        <f>"03966"</f>
        <v>03966</v>
      </c>
      <c r="C1615" s="14" t="str">
        <f>"1800"</f>
        <v>1800</v>
      </c>
      <c r="D1615" s="14" t="str">
        <f>""</f>
        <v/>
      </c>
      <c r="E1615" s="14" t="s">
        <v>20</v>
      </c>
      <c r="F1615" s="14" t="s">
        <v>352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318</v>
      </c>
      <c r="L1615" s="14" t="s">
        <v>319</v>
      </c>
      <c r="P1615" s="14" t="s">
        <v>260</v>
      </c>
      <c r="Q1615" s="14" t="s">
        <v>25</v>
      </c>
      <c r="R1615" s="14" t="s">
        <v>318</v>
      </c>
    </row>
    <row r="1616" spans="1:18" s="14" customFormat="1" x14ac:dyDescent="0.25">
      <c r="A1616" s="14" t="str">
        <f>"10001"</f>
        <v>10001</v>
      </c>
      <c r="B1616" s="14" t="str">
        <f>"03967"</f>
        <v>03967</v>
      </c>
      <c r="C1616" s="14" t="str">
        <f>"1800"</f>
        <v>1800</v>
      </c>
      <c r="D1616" s="14" t="str">
        <f>""</f>
        <v/>
      </c>
      <c r="E1616" s="14" t="s">
        <v>20</v>
      </c>
      <c r="F1616" s="14" t="s">
        <v>353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318</v>
      </c>
      <c r="L1616" s="14" t="s">
        <v>319</v>
      </c>
      <c r="P1616" s="14" t="s">
        <v>260</v>
      </c>
      <c r="Q1616" s="14" t="s">
        <v>25</v>
      </c>
      <c r="R1616" s="14" t="s">
        <v>318</v>
      </c>
    </row>
    <row r="1617" spans="1:18" s="14" customFormat="1" x14ac:dyDescent="0.25">
      <c r="A1617" s="14" t="str">
        <f>"10001"</f>
        <v>10001</v>
      </c>
      <c r="B1617" s="14" t="str">
        <f>"03968"</f>
        <v>03968</v>
      </c>
      <c r="C1617" s="14" t="str">
        <f>"1800"</f>
        <v>1800</v>
      </c>
      <c r="D1617" s="14" t="str">
        <f>""</f>
        <v/>
      </c>
      <c r="E1617" s="14" t="s">
        <v>20</v>
      </c>
      <c r="F1617" s="14" t="s">
        <v>354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318</v>
      </c>
      <c r="L1617" s="14" t="s">
        <v>319</v>
      </c>
      <c r="P1617" s="14" t="s">
        <v>260</v>
      </c>
      <c r="Q1617" s="14" t="s">
        <v>25</v>
      </c>
      <c r="R1617" s="14" t="s">
        <v>318</v>
      </c>
    </row>
    <row r="1618" spans="1:18" s="14" customFormat="1" x14ac:dyDescent="0.25">
      <c r="A1618" s="14" t="str">
        <f>"10001"</f>
        <v>10001</v>
      </c>
      <c r="B1618" s="14" t="str">
        <f>"03969"</f>
        <v>03969</v>
      </c>
      <c r="C1618" s="14" t="str">
        <f>"1800"</f>
        <v>1800</v>
      </c>
      <c r="D1618" s="14" t="str">
        <f>""</f>
        <v/>
      </c>
      <c r="E1618" s="14" t="s">
        <v>20</v>
      </c>
      <c r="F1618" s="14" t="s">
        <v>355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318</v>
      </c>
      <c r="L1618" s="14" t="s">
        <v>319</v>
      </c>
      <c r="P1618" s="14" t="s">
        <v>260</v>
      </c>
      <c r="Q1618" s="14" t="s">
        <v>25</v>
      </c>
      <c r="R1618" s="14" t="s">
        <v>318</v>
      </c>
    </row>
    <row r="1619" spans="1:18" s="14" customFormat="1" x14ac:dyDescent="0.25">
      <c r="A1619" s="14" t="str">
        <f>"10001"</f>
        <v>10001</v>
      </c>
      <c r="B1619" s="14" t="str">
        <f>"03970"</f>
        <v>03970</v>
      </c>
      <c r="C1619" s="14" t="str">
        <f>"1800"</f>
        <v>1800</v>
      </c>
      <c r="D1619" s="14" t="str">
        <f>""</f>
        <v/>
      </c>
      <c r="E1619" s="14" t="s">
        <v>20</v>
      </c>
      <c r="F1619" s="14" t="s">
        <v>356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318</v>
      </c>
      <c r="L1619" s="14" t="s">
        <v>319</v>
      </c>
      <c r="P1619" s="14" t="s">
        <v>260</v>
      </c>
      <c r="Q1619" s="14" t="s">
        <v>25</v>
      </c>
      <c r="R1619" s="14" t="s">
        <v>318</v>
      </c>
    </row>
    <row r="1620" spans="1:18" s="14" customFormat="1" x14ac:dyDescent="0.25">
      <c r="A1620" s="14" t="str">
        <f>"10001"</f>
        <v>10001</v>
      </c>
      <c r="B1620" s="14" t="str">
        <f>"03971"</f>
        <v>03971</v>
      </c>
      <c r="C1620" s="14" t="str">
        <f>"1800"</f>
        <v>1800</v>
      </c>
      <c r="D1620" s="14" t="str">
        <f>""</f>
        <v/>
      </c>
      <c r="E1620" s="14" t="s">
        <v>20</v>
      </c>
      <c r="F1620" s="14" t="s">
        <v>357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318</v>
      </c>
      <c r="L1620" s="14" t="s">
        <v>319</v>
      </c>
      <c r="P1620" s="14" t="s">
        <v>260</v>
      </c>
      <c r="Q1620" s="14" t="s">
        <v>25</v>
      </c>
      <c r="R1620" s="14" t="s">
        <v>318</v>
      </c>
    </row>
    <row r="1621" spans="1:18" s="14" customFormat="1" x14ac:dyDescent="0.25">
      <c r="A1621" s="14" t="str">
        <f>"10001"</f>
        <v>10001</v>
      </c>
      <c r="B1621" s="14" t="str">
        <f>"03972"</f>
        <v>03972</v>
      </c>
      <c r="C1621" s="14" t="str">
        <f>"1800"</f>
        <v>1800</v>
      </c>
      <c r="D1621" s="14" t="str">
        <f>""</f>
        <v/>
      </c>
      <c r="E1621" s="14" t="s">
        <v>20</v>
      </c>
      <c r="F1621" s="14" t="s">
        <v>358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318</v>
      </c>
      <c r="L1621" s="14" t="s">
        <v>319</v>
      </c>
      <c r="P1621" s="14" t="s">
        <v>260</v>
      </c>
      <c r="Q1621" s="14" t="s">
        <v>25</v>
      </c>
      <c r="R1621" s="14" t="s">
        <v>318</v>
      </c>
    </row>
    <row r="1622" spans="1:18" s="14" customFormat="1" x14ac:dyDescent="0.25">
      <c r="A1622" s="14" t="str">
        <f>"10001"</f>
        <v>10001</v>
      </c>
      <c r="B1622" s="14" t="str">
        <f>"05160"</f>
        <v>05160</v>
      </c>
      <c r="C1622" s="14" t="str">
        <f>"1700"</f>
        <v>1700</v>
      </c>
      <c r="D1622" s="14" t="str">
        <f>"05160"</f>
        <v>05160</v>
      </c>
      <c r="E1622" s="14" t="s">
        <v>20</v>
      </c>
      <c r="F1622" s="14" t="s">
        <v>406</v>
      </c>
      <c r="G1622" s="14" t="str">
        <f>""</f>
        <v/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318</v>
      </c>
      <c r="L1622" s="14" t="s">
        <v>319</v>
      </c>
      <c r="M1622" s="14" t="s">
        <v>90</v>
      </c>
      <c r="P1622" s="14" t="s">
        <v>31</v>
      </c>
      <c r="Q1622" s="14" t="s">
        <v>25</v>
      </c>
      <c r="R1622" s="14" t="s">
        <v>318</v>
      </c>
    </row>
    <row r="1623" spans="1:18" s="14" customFormat="1" x14ac:dyDescent="0.25">
      <c r="A1623" s="14" t="str">
        <f>"15001"</f>
        <v>15001</v>
      </c>
      <c r="B1623" s="14" t="str">
        <f>"03954"</f>
        <v>03954</v>
      </c>
      <c r="C1623" s="14" t="str">
        <f>"1400"</f>
        <v>1400</v>
      </c>
      <c r="D1623" s="14" t="str">
        <f>""</f>
        <v/>
      </c>
      <c r="E1623" s="14" t="s">
        <v>508</v>
      </c>
      <c r="F1623" s="14" t="s">
        <v>510</v>
      </c>
      <c r="G1623" s="14" t="str">
        <f>""</f>
        <v/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318</v>
      </c>
      <c r="L1623" s="14" t="s">
        <v>319</v>
      </c>
      <c r="P1623" s="14" t="s">
        <v>260</v>
      </c>
      <c r="Q1623" s="14" t="s">
        <v>25</v>
      </c>
      <c r="R1623" s="14" t="s">
        <v>318</v>
      </c>
    </row>
    <row r="1624" spans="1:18" s="14" customFormat="1" x14ac:dyDescent="0.25">
      <c r="A1624" s="14" t="str">
        <f>"15001"</f>
        <v>15001</v>
      </c>
      <c r="B1624" s="14" t="str">
        <f>"03954"</f>
        <v>03954</v>
      </c>
      <c r="C1624" s="14" t="str">
        <f>"1800"</f>
        <v>1800</v>
      </c>
      <c r="D1624" s="14" t="str">
        <f>""</f>
        <v/>
      </c>
      <c r="E1624" s="14" t="s">
        <v>508</v>
      </c>
      <c r="F1624" s="14" t="s">
        <v>510</v>
      </c>
      <c r="G1624" s="14" t="str">
        <f>""</f>
        <v/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318</v>
      </c>
      <c r="L1624" s="14" t="s">
        <v>319</v>
      </c>
      <c r="P1624" s="14" t="s">
        <v>260</v>
      </c>
      <c r="Q1624" s="14" t="s">
        <v>25</v>
      </c>
      <c r="R1624" s="14" t="s">
        <v>318</v>
      </c>
    </row>
    <row r="1625" spans="1:18" s="14" customFormat="1" x14ac:dyDescent="0.25">
      <c r="A1625" s="14" t="str">
        <f>"15002"</f>
        <v>15002</v>
      </c>
      <c r="B1625" s="14" t="str">
        <f>"03942"</f>
        <v>03942</v>
      </c>
      <c r="C1625" s="14" t="str">
        <f>"1400"</f>
        <v>1400</v>
      </c>
      <c r="D1625" s="14" t="str">
        <f>""</f>
        <v/>
      </c>
      <c r="E1625" s="14" t="s">
        <v>511</v>
      </c>
      <c r="F1625" s="14" t="s">
        <v>512</v>
      </c>
      <c r="G1625" s="14" t="str">
        <f>""</f>
        <v/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318</v>
      </c>
      <c r="L1625" s="14" t="s">
        <v>319</v>
      </c>
      <c r="P1625" s="14" t="s">
        <v>260</v>
      </c>
      <c r="Q1625" s="14" t="s">
        <v>25</v>
      </c>
      <c r="R1625" s="14" t="s">
        <v>318</v>
      </c>
    </row>
    <row r="1626" spans="1:18" s="14" customFormat="1" x14ac:dyDescent="0.25">
      <c r="A1626" s="14" t="str">
        <f>"15002"</f>
        <v>15002</v>
      </c>
      <c r="B1626" s="14" t="str">
        <f>"03942"</f>
        <v>03942</v>
      </c>
      <c r="C1626" s="14" t="str">
        <f>"1800"</f>
        <v>1800</v>
      </c>
      <c r="D1626" s="14" t="str">
        <f>""</f>
        <v/>
      </c>
      <c r="E1626" s="14" t="s">
        <v>511</v>
      </c>
      <c r="F1626" s="14" t="s">
        <v>512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318</v>
      </c>
      <c r="L1626" s="14" t="s">
        <v>319</v>
      </c>
      <c r="P1626" s="14" t="s">
        <v>260</v>
      </c>
      <c r="Q1626" s="14" t="s">
        <v>25</v>
      </c>
      <c r="R1626" s="14" t="s">
        <v>318</v>
      </c>
    </row>
    <row r="1627" spans="1:18" s="14" customFormat="1" x14ac:dyDescent="0.25">
      <c r="A1627" s="14" t="str">
        <f>"15003"</f>
        <v>15003</v>
      </c>
      <c r="B1627" s="14" t="str">
        <f>"03930"</f>
        <v>03930</v>
      </c>
      <c r="C1627" s="14" t="str">
        <f>"1400"</f>
        <v>1400</v>
      </c>
      <c r="D1627" s="14" t="str">
        <f>""</f>
        <v/>
      </c>
      <c r="E1627" s="14" t="s">
        <v>513</v>
      </c>
      <c r="F1627" s="14" t="s">
        <v>514</v>
      </c>
      <c r="G1627" s="14" t="str">
        <f>""</f>
        <v/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318</v>
      </c>
      <c r="L1627" s="14" t="s">
        <v>319</v>
      </c>
      <c r="P1627" s="14" t="s">
        <v>260</v>
      </c>
      <c r="Q1627" s="14" t="s">
        <v>25</v>
      </c>
      <c r="R1627" s="14" t="s">
        <v>318</v>
      </c>
    </row>
    <row r="1628" spans="1:18" s="14" customFormat="1" x14ac:dyDescent="0.25">
      <c r="A1628" s="14" t="str">
        <f>"15003"</f>
        <v>15003</v>
      </c>
      <c r="B1628" s="14" t="str">
        <f>"03930"</f>
        <v>03930</v>
      </c>
      <c r="C1628" s="14" t="str">
        <f>"1800"</f>
        <v>1800</v>
      </c>
      <c r="D1628" s="14" t="str">
        <f>""</f>
        <v/>
      </c>
      <c r="E1628" s="14" t="s">
        <v>513</v>
      </c>
      <c r="F1628" s="14" t="s">
        <v>514</v>
      </c>
      <c r="G1628" s="14" t="str">
        <f>""</f>
        <v/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318</v>
      </c>
      <c r="L1628" s="14" t="s">
        <v>319</v>
      </c>
      <c r="P1628" s="14" t="s">
        <v>260</v>
      </c>
      <c r="Q1628" s="14" t="s">
        <v>25</v>
      </c>
      <c r="R1628" s="14" t="s">
        <v>318</v>
      </c>
    </row>
    <row r="1629" spans="1:18" s="14" customFormat="1" x14ac:dyDescent="0.25">
      <c r="A1629" s="14" t="str">
        <f>"15004"</f>
        <v>15004</v>
      </c>
      <c r="B1629" s="14" t="str">
        <f>"03931"</f>
        <v>03931</v>
      </c>
      <c r="C1629" s="14" t="str">
        <f>"1400"</f>
        <v>1400</v>
      </c>
      <c r="D1629" s="14" t="str">
        <f>""</f>
        <v/>
      </c>
      <c r="E1629" s="14" t="s">
        <v>515</v>
      </c>
      <c r="F1629" s="14" t="s">
        <v>516</v>
      </c>
      <c r="G1629" s="14" t="str">
        <f>""</f>
        <v/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318</v>
      </c>
      <c r="L1629" s="14" t="s">
        <v>319</v>
      </c>
      <c r="P1629" s="14" t="s">
        <v>260</v>
      </c>
      <c r="Q1629" s="14" t="s">
        <v>25</v>
      </c>
      <c r="R1629" s="14" t="s">
        <v>318</v>
      </c>
    </row>
    <row r="1630" spans="1:18" s="14" customFormat="1" x14ac:dyDescent="0.25">
      <c r="A1630" s="14" t="str">
        <f>"15005"</f>
        <v>15005</v>
      </c>
      <c r="B1630" s="14" t="str">
        <f>"03926"</f>
        <v>03926</v>
      </c>
      <c r="C1630" s="14" t="str">
        <f>"1400"</f>
        <v>1400</v>
      </c>
      <c r="D1630" s="14" t="str">
        <f>""</f>
        <v/>
      </c>
      <c r="E1630" s="14" t="s">
        <v>517</v>
      </c>
      <c r="F1630" s="14" t="s">
        <v>518</v>
      </c>
      <c r="G1630" s="14" t="str">
        <f>""</f>
        <v/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318</v>
      </c>
      <c r="L1630" s="14" t="s">
        <v>319</v>
      </c>
      <c r="P1630" s="14" t="s">
        <v>260</v>
      </c>
      <c r="Q1630" s="14" t="s">
        <v>25</v>
      </c>
      <c r="R1630" s="14" t="s">
        <v>318</v>
      </c>
    </row>
    <row r="1631" spans="1:18" s="14" customFormat="1" x14ac:dyDescent="0.25">
      <c r="A1631" s="14" t="str">
        <f>"15005"</f>
        <v>15005</v>
      </c>
      <c r="B1631" s="14" t="str">
        <f>"03926"</f>
        <v>03926</v>
      </c>
      <c r="C1631" s="14" t="str">
        <f>"1800"</f>
        <v>1800</v>
      </c>
      <c r="D1631" s="14" t="str">
        <f>""</f>
        <v/>
      </c>
      <c r="E1631" s="14" t="s">
        <v>517</v>
      </c>
      <c r="F1631" s="14" t="s">
        <v>518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318</v>
      </c>
      <c r="L1631" s="14" t="s">
        <v>319</v>
      </c>
      <c r="P1631" s="14" t="s">
        <v>260</v>
      </c>
      <c r="Q1631" s="14" t="s">
        <v>25</v>
      </c>
      <c r="R1631" s="14" t="s">
        <v>318</v>
      </c>
    </row>
    <row r="1632" spans="1:18" s="14" customFormat="1" x14ac:dyDescent="0.25">
      <c r="A1632" s="14" t="str">
        <f>"18605"</f>
        <v>18605</v>
      </c>
      <c r="B1632" s="14" t="str">
        <f>"05160"</f>
        <v>05160</v>
      </c>
      <c r="C1632" s="14" t="str">
        <f>"1800"</f>
        <v>1800</v>
      </c>
      <c r="D1632" s="14" t="str">
        <f>""</f>
        <v/>
      </c>
      <c r="E1632" s="14" t="s">
        <v>739</v>
      </c>
      <c r="F1632" s="14" t="s">
        <v>406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318</v>
      </c>
      <c r="L1632" s="14" t="s">
        <v>319</v>
      </c>
      <c r="M1632" s="14" t="s">
        <v>90</v>
      </c>
      <c r="P1632" s="14" t="s">
        <v>260</v>
      </c>
      <c r="Q1632" s="14" t="s">
        <v>25</v>
      </c>
      <c r="R1632" s="14" t="s">
        <v>318</v>
      </c>
    </row>
    <row r="1633" spans="1:18" s="14" customFormat="1" x14ac:dyDescent="0.25">
      <c r="A1633" s="14" t="str">
        <f>"18606"</f>
        <v>18606</v>
      </c>
      <c r="B1633" s="14" t="str">
        <f>"05160"</f>
        <v>05160</v>
      </c>
      <c r="C1633" s="14" t="str">
        <f>"1800"</f>
        <v>1800</v>
      </c>
      <c r="D1633" s="14" t="str">
        <f>""</f>
        <v/>
      </c>
      <c r="E1633" s="14" t="s">
        <v>740</v>
      </c>
      <c r="F1633" s="14" t="s">
        <v>406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318</v>
      </c>
      <c r="L1633" s="14" t="s">
        <v>319</v>
      </c>
      <c r="M1633" s="14" t="s">
        <v>90</v>
      </c>
      <c r="P1633" s="14" t="s">
        <v>260</v>
      </c>
      <c r="Q1633" s="14" t="s">
        <v>25</v>
      </c>
      <c r="R1633" s="14" t="s">
        <v>318</v>
      </c>
    </row>
    <row r="1634" spans="1:18" s="14" customFormat="1" x14ac:dyDescent="0.25">
      <c r="A1634" s="14" t="str">
        <f>"18612"</f>
        <v>18612</v>
      </c>
      <c r="B1634" s="14" t="str">
        <f>"05160"</f>
        <v>05160</v>
      </c>
      <c r="C1634" s="14" t="str">
        <f>"1800"</f>
        <v>1800</v>
      </c>
      <c r="D1634" s="14" t="str">
        <f>""</f>
        <v/>
      </c>
      <c r="E1634" s="14" t="s">
        <v>745</v>
      </c>
      <c r="F1634" s="14" t="s">
        <v>406</v>
      </c>
      <c r="G1634" s="14" t="str">
        <f>""</f>
        <v/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318</v>
      </c>
      <c r="L1634" s="14" t="s">
        <v>319</v>
      </c>
      <c r="M1634" s="14" t="s">
        <v>90</v>
      </c>
      <c r="P1634" s="14" t="s">
        <v>260</v>
      </c>
      <c r="Q1634" s="14" t="s">
        <v>25</v>
      </c>
      <c r="R1634" s="14" t="s">
        <v>318</v>
      </c>
    </row>
    <row r="1635" spans="1:18" s="14" customFormat="1" x14ac:dyDescent="0.25">
      <c r="A1635" s="14" t="str">
        <f>"20001"</f>
        <v>20001</v>
      </c>
      <c r="B1635" s="14" t="str">
        <f>"05160"</f>
        <v>05160</v>
      </c>
      <c r="C1635" s="14" t="str">
        <f>"1800"</f>
        <v>1800</v>
      </c>
      <c r="D1635" s="14" t="str">
        <f>""</f>
        <v/>
      </c>
      <c r="E1635" s="14" t="s">
        <v>837</v>
      </c>
      <c r="F1635" s="14" t="s">
        <v>406</v>
      </c>
      <c r="G1635" s="14" t="str">
        <f>""</f>
        <v/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318</v>
      </c>
      <c r="L1635" s="14" t="s">
        <v>319</v>
      </c>
      <c r="M1635" s="14" t="s">
        <v>90</v>
      </c>
      <c r="P1635" s="14" t="s">
        <v>260</v>
      </c>
      <c r="Q1635" s="14" t="s">
        <v>25</v>
      </c>
      <c r="R1635" s="14" t="s">
        <v>318</v>
      </c>
    </row>
    <row r="1636" spans="1:18" s="14" customFormat="1" x14ac:dyDescent="0.25">
      <c r="A1636" s="14" t="str">
        <f>"20123"</f>
        <v>20123</v>
      </c>
      <c r="B1636" s="14" t="str">
        <f>"05160"</f>
        <v>05160</v>
      </c>
      <c r="C1636" s="14" t="str">
        <f>"1800"</f>
        <v>1800</v>
      </c>
      <c r="D1636" s="14" t="str">
        <f>""</f>
        <v/>
      </c>
      <c r="E1636" s="14" t="s">
        <v>838</v>
      </c>
      <c r="F1636" s="14" t="s">
        <v>406</v>
      </c>
      <c r="G1636" s="14" t="str">
        <f>""</f>
        <v/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318</v>
      </c>
      <c r="L1636" s="14" t="s">
        <v>319</v>
      </c>
      <c r="M1636" s="14" t="s">
        <v>90</v>
      </c>
      <c r="P1636" s="14" t="s">
        <v>260</v>
      </c>
      <c r="Q1636" s="14" t="s">
        <v>25</v>
      </c>
      <c r="R1636" s="14" t="s">
        <v>318</v>
      </c>
    </row>
    <row r="1637" spans="1:18" s="14" customFormat="1" x14ac:dyDescent="0.25">
      <c r="A1637" s="14" t="str">
        <f>"20124"</f>
        <v>20124</v>
      </c>
      <c r="B1637" s="14" t="str">
        <f>"05160"</f>
        <v>05160</v>
      </c>
      <c r="C1637" s="14" t="str">
        <f>"1800"</f>
        <v>1800</v>
      </c>
      <c r="D1637" s="14" t="str">
        <f>""</f>
        <v/>
      </c>
      <c r="E1637" s="14" t="s">
        <v>839</v>
      </c>
      <c r="F1637" s="14" t="s">
        <v>406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318</v>
      </c>
      <c r="L1637" s="14" t="s">
        <v>319</v>
      </c>
      <c r="M1637" s="14" t="s">
        <v>90</v>
      </c>
      <c r="P1637" s="14" t="s">
        <v>260</v>
      </c>
      <c r="Q1637" s="14" t="s">
        <v>25</v>
      </c>
      <c r="R1637" s="14" t="s">
        <v>318</v>
      </c>
    </row>
    <row r="1638" spans="1:18" s="14" customFormat="1" x14ac:dyDescent="0.25">
      <c r="A1638" s="14" t="str">
        <f>"20201"</f>
        <v>20201</v>
      </c>
      <c r="B1638" s="14" t="str">
        <f>"05160"</f>
        <v>05160</v>
      </c>
      <c r="C1638" s="14" t="str">
        <f>"1800"</f>
        <v>1800</v>
      </c>
      <c r="D1638" s="14" t="str">
        <f>""</f>
        <v/>
      </c>
      <c r="E1638" s="14" t="s">
        <v>840</v>
      </c>
      <c r="F1638" s="14" t="s">
        <v>406</v>
      </c>
      <c r="G1638" s="14" t="str">
        <f>""</f>
        <v/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318</v>
      </c>
      <c r="L1638" s="14" t="s">
        <v>319</v>
      </c>
      <c r="M1638" s="14" t="s">
        <v>90</v>
      </c>
      <c r="P1638" s="14" t="s">
        <v>260</v>
      </c>
      <c r="Q1638" s="14" t="s">
        <v>25</v>
      </c>
      <c r="R1638" s="14" t="s">
        <v>318</v>
      </c>
    </row>
    <row r="1639" spans="1:18" s="14" customFormat="1" x14ac:dyDescent="0.25">
      <c r="A1639" s="14" t="str">
        <f>"20301"</f>
        <v>20301</v>
      </c>
      <c r="B1639" s="14" t="str">
        <f>"05160"</f>
        <v>05160</v>
      </c>
      <c r="C1639" s="14" t="str">
        <f>"1400"</f>
        <v>1400</v>
      </c>
      <c r="D1639" s="14" t="str">
        <f>""</f>
        <v/>
      </c>
      <c r="E1639" s="14" t="s">
        <v>841</v>
      </c>
      <c r="F1639" s="14" t="s">
        <v>406</v>
      </c>
      <c r="G1639" s="14" t="str">
        <f>""</f>
        <v/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318</v>
      </c>
      <c r="L1639" s="14" t="s">
        <v>319</v>
      </c>
      <c r="M1639" s="14" t="s">
        <v>90</v>
      </c>
      <c r="P1639" s="14" t="s">
        <v>260</v>
      </c>
      <c r="Q1639" s="14" t="s">
        <v>25</v>
      </c>
      <c r="R1639" s="14" t="s">
        <v>318</v>
      </c>
    </row>
    <row r="1640" spans="1:18" s="14" customFormat="1" x14ac:dyDescent="0.25">
      <c r="A1640" s="14" t="str">
        <f>"20303"</f>
        <v>20303</v>
      </c>
      <c r="B1640" s="14" t="str">
        <f>"05160"</f>
        <v>05160</v>
      </c>
      <c r="C1640" s="14" t="str">
        <f>"1600"</f>
        <v>1600</v>
      </c>
      <c r="D1640" s="14" t="str">
        <f>""</f>
        <v/>
      </c>
      <c r="E1640" s="14" t="s">
        <v>843</v>
      </c>
      <c r="F1640" s="14" t="s">
        <v>406</v>
      </c>
      <c r="G1640" s="14" t="str">
        <f>""</f>
        <v/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318</v>
      </c>
      <c r="L1640" s="14" t="s">
        <v>319</v>
      </c>
      <c r="M1640" s="14" t="s">
        <v>90</v>
      </c>
      <c r="P1640" s="14" t="s">
        <v>260</v>
      </c>
      <c r="Q1640" s="14" t="s">
        <v>25</v>
      </c>
      <c r="R1640" s="14" t="s">
        <v>318</v>
      </c>
    </row>
    <row r="1641" spans="1:18" s="14" customFormat="1" x14ac:dyDescent="0.25">
      <c r="A1641" s="14" t="str">
        <f>"20304"</f>
        <v>20304</v>
      </c>
      <c r="B1641" s="14" t="str">
        <f>"05160"</f>
        <v>05160</v>
      </c>
      <c r="C1641" s="14" t="str">
        <f>"1600"</f>
        <v>1600</v>
      </c>
      <c r="D1641" s="14" t="str">
        <f>""</f>
        <v/>
      </c>
      <c r="E1641" s="14" t="s">
        <v>844</v>
      </c>
      <c r="F1641" s="14" t="s">
        <v>406</v>
      </c>
      <c r="G1641" s="14" t="str">
        <f>""</f>
        <v/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318</v>
      </c>
      <c r="L1641" s="14" t="s">
        <v>319</v>
      </c>
      <c r="M1641" s="14" t="s">
        <v>90</v>
      </c>
      <c r="P1641" s="14" t="s">
        <v>260</v>
      </c>
      <c r="Q1641" s="14" t="s">
        <v>25</v>
      </c>
      <c r="R1641" s="14" t="s">
        <v>318</v>
      </c>
    </row>
    <row r="1642" spans="1:18" s="14" customFormat="1" x14ac:dyDescent="0.25">
      <c r="A1642" s="14" t="str">
        <f>"20305"</f>
        <v>20305</v>
      </c>
      <c r="B1642" s="14" t="str">
        <f>"05160"</f>
        <v>05160</v>
      </c>
      <c r="C1642" s="14" t="str">
        <f>"1930"</f>
        <v>1930</v>
      </c>
      <c r="D1642" s="14" t="str">
        <f>""</f>
        <v/>
      </c>
      <c r="E1642" s="14" t="s">
        <v>845</v>
      </c>
      <c r="F1642" s="14" t="s">
        <v>406</v>
      </c>
      <c r="G1642" s="14" t="str">
        <f>""</f>
        <v/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318</v>
      </c>
      <c r="L1642" s="14" t="s">
        <v>319</v>
      </c>
      <c r="M1642" s="14" t="s">
        <v>90</v>
      </c>
      <c r="P1642" s="14" t="s">
        <v>260</v>
      </c>
      <c r="Q1642" s="14" t="s">
        <v>25</v>
      </c>
      <c r="R1642" s="14" t="s">
        <v>318</v>
      </c>
    </row>
    <row r="1643" spans="1:18" s="14" customFormat="1" x14ac:dyDescent="0.25">
      <c r="A1643" s="14" t="str">
        <f>"20308"</f>
        <v>20308</v>
      </c>
      <c r="B1643" s="14" t="str">
        <f>"05160"</f>
        <v>05160</v>
      </c>
      <c r="C1643" s="14" t="str">
        <f>"1600"</f>
        <v>1600</v>
      </c>
      <c r="D1643" s="14" t="str">
        <f>""</f>
        <v/>
      </c>
      <c r="E1643" s="14" t="s">
        <v>846</v>
      </c>
      <c r="F1643" s="14" t="s">
        <v>406</v>
      </c>
      <c r="G1643" s="14" t="str">
        <f>""</f>
        <v/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318</v>
      </c>
      <c r="L1643" s="14" t="s">
        <v>319</v>
      </c>
      <c r="M1643" s="14" t="s">
        <v>90</v>
      </c>
      <c r="P1643" s="14" t="s">
        <v>260</v>
      </c>
      <c r="Q1643" s="14" t="s">
        <v>25</v>
      </c>
      <c r="R1643" s="14" t="s">
        <v>318</v>
      </c>
    </row>
    <row r="1644" spans="1:18" s="14" customFormat="1" x14ac:dyDescent="0.25">
      <c r="A1644" s="14" t="str">
        <f>"23001"</f>
        <v>23001</v>
      </c>
      <c r="B1644" s="14" t="str">
        <f>"05160"</f>
        <v>05160</v>
      </c>
      <c r="C1644" s="14" t="str">
        <f>"1800"</f>
        <v>1800</v>
      </c>
      <c r="D1644" s="14" t="str">
        <f>""</f>
        <v/>
      </c>
      <c r="E1644" s="14" t="s">
        <v>878</v>
      </c>
      <c r="F1644" s="14" t="s">
        <v>406</v>
      </c>
      <c r="G1644" s="14" t="str">
        <f>""</f>
        <v/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318</v>
      </c>
      <c r="L1644" s="14" t="s">
        <v>319</v>
      </c>
      <c r="M1644" s="14" t="s">
        <v>90</v>
      </c>
      <c r="P1644" s="14" t="s">
        <v>260</v>
      </c>
      <c r="Q1644" s="14" t="s">
        <v>25</v>
      </c>
      <c r="R1644" s="14" t="s">
        <v>318</v>
      </c>
    </row>
    <row r="1645" spans="1:18" s="14" customFormat="1" x14ac:dyDescent="0.25">
      <c r="A1645" s="14" t="str">
        <f>"23006"</f>
        <v>23006</v>
      </c>
      <c r="B1645" s="14" t="str">
        <f>"05160"</f>
        <v>05160</v>
      </c>
      <c r="C1645" s="14" t="str">
        <f>"1800"</f>
        <v>1800</v>
      </c>
      <c r="D1645" s="14" t="str">
        <f>""</f>
        <v/>
      </c>
      <c r="E1645" s="14" t="s">
        <v>879</v>
      </c>
      <c r="F1645" s="14" t="s">
        <v>406</v>
      </c>
      <c r="G1645" s="14" t="str">
        <f>""</f>
        <v/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318</v>
      </c>
      <c r="L1645" s="14" t="s">
        <v>319</v>
      </c>
      <c r="M1645" s="14" t="s">
        <v>90</v>
      </c>
      <c r="P1645" s="14" t="s">
        <v>260</v>
      </c>
      <c r="Q1645" s="14" t="s">
        <v>25</v>
      </c>
      <c r="R1645" s="14" t="s">
        <v>318</v>
      </c>
    </row>
    <row r="1646" spans="1:18" s="14" customFormat="1" x14ac:dyDescent="0.25">
      <c r="A1646" s="14" t="str">
        <f>"23007"</f>
        <v>23007</v>
      </c>
      <c r="B1646" s="14" t="str">
        <f>"05160"</f>
        <v>05160</v>
      </c>
      <c r="C1646" s="14" t="str">
        <f>"1800"</f>
        <v>1800</v>
      </c>
      <c r="D1646" s="14" t="str">
        <f>""</f>
        <v/>
      </c>
      <c r="E1646" s="14" t="s">
        <v>880</v>
      </c>
      <c r="F1646" s="14" t="s">
        <v>406</v>
      </c>
      <c r="G1646" s="14" t="str">
        <f>""</f>
        <v/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318</v>
      </c>
      <c r="L1646" s="14" t="s">
        <v>319</v>
      </c>
      <c r="M1646" s="14" t="s">
        <v>90</v>
      </c>
      <c r="P1646" s="14" t="s">
        <v>260</v>
      </c>
      <c r="Q1646" s="14" t="s">
        <v>25</v>
      </c>
      <c r="R1646" s="14" t="s">
        <v>318</v>
      </c>
    </row>
    <row r="1647" spans="1:18" s="14" customFormat="1" x14ac:dyDescent="0.25">
      <c r="A1647" s="14" t="str">
        <f>"23008"</f>
        <v>23008</v>
      </c>
      <c r="B1647" s="14" t="str">
        <f>"05160"</f>
        <v>05160</v>
      </c>
      <c r="C1647" s="14" t="str">
        <f>"1800"</f>
        <v>1800</v>
      </c>
      <c r="D1647" s="14" t="str">
        <f>""</f>
        <v/>
      </c>
      <c r="E1647" s="14" t="s">
        <v>881</v>
      </c>
      <c r="F1647" s="14" t="s">
        <v>406</v>
      </c>
      <c r="G1647" s="14" t="str">
        <f>""</f>
        <v/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318</v>
      </c>
      <c r="L1647" s="14" t="s">
        <v>319</v>
      </c>
      <c r="M1647" s="14" t="s">
        <v>90</v>
      </c>
      <c r="P1647" s="14" t="s">
        <v>260</v>
      </c>
      <c r="Q1647" s="14" t="s">
        <v>25</v>
      </c>
      <c r="R1647" s="14" t="s">
        <v>318</v>
      </c>
    </row>
    <row r="1648" spans="1:18" s="14" customFormat="1" x14ac:dyDescent="0.25">
      <c r="A1648" s="14" t="str">
        <f>"23012"</f>
        <v>23012</v>
      </c>
      <c r="B1648" s="14" t="str">
        <f>"05160"</f>
        <v>05160</v>
      </c>
      <c r="C1648" s="14" t="str">
        <f>"1800"</f>
        <v>1800</v>
      </c>
      <c r="D1648" s="14" t="str">
        <f>""</f>
        <v/>
      </c>
      <c r="E1648" s="14" t="s">
        <v>882</v>
      </c>
      <c r="F1648" s="14" t="s">
        <v>406</v>
      </c>
      <c r="G1648" s="14" t="str">
        <f>""</f>
        <v/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318</v>
      </c>
      <c r="L1648" s="14" t="s">
        <v>319</v>
      </c>
      <c r="M1648" s="14" t="s">
        <v>90</v>
      </c>
      <c r="P1648" s="14" t="s">
        <v>260</v>
      </c>
      <c r="Q1648" s="14" t="s">
        <v>25</v>
      </c>
      <c r="R1648" s="14" t="s">
        <v>318</v>
      </c>
    </row>
    <row r="1649" spans="1:18" s="14" customFormat="1" x14ac:dyDescent="0.25">
      <c r="A1649" s="14" t="str">
        <f>"23017"</f>
        <v>23017</v>
      </c>
      <c r="B1649" s="14" t="str">
        <f>"05160"</f>
        <v>05160</v>
      </c>
      <c r="C1649" s="14" t="str">
        <f>"1800"</f>
        <v>1800</v>
      </c>
      <c r="D1649" s="14" t="str">
        <f>""</f>
        <v/>
      </c>
      <c r="E1649" s="14" t="s">
        <v>883</v>
      </c>
      <c r="F1649" s="14" t="s">
        <v>406</v>
      </c>
      <c r="G1649" s="14" t="str">
        <f>""</f>
        <v/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318</v>
      </c>
      <c r="L1649" s="14" t="s">
        <v>319</v>
      </c>
      <c r="M1649" s="14" t="s">
        <v>90</v>
      </c>
      <c r="P1649" s="14" t="s">
        <v>260</v>
      </c>
      <c r="Q1649" s="14" t="s">
        <v>25</v>
      </c>
      <c r="R1649" s="14" t="s">
        <v>318</v>
      </c>
    </row>
    <row r="1650" spans="1:18" s="14" customFormat="1" x14ac:dyDescent="0.25">
      <c r="A1650" s="14" t="str">
        <f>"23021"</f>
        <v>23021</v>
      </c>
      <c r="B1650" s="14" t="str">
        <f>"05160"</f>
        <v>05160</v>
      </c>
      <c r="C1650" s="14" t="str">
        <f>"1800"</f>
        <v>1800</v>
      </c>
      <c r="D1650" s="14" t="str">
        <f>""</f>
        <v/>
      </c>
      <c r="E1650" s="14" t="s">
        <v>884</v>
      </c>
      <c r="F1650" s="14" t="s">
        <v>406</v>
      </c>
      <c r="G1650" s="14" t="str">
        <f>""</f>
        <v/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318</v>
      </c>
      <c r="L1650" s="14" t="s">
        <v>319</v>
      </c>
      <c r="M1650" s="14" t="s">
        <v>90</v>
      </c>
      <c r="P1650" s="14" t="s">
        <v>260</v>
      </c>
      <c r="Q1650" s="14" t="s">
        <v>25</v>
      </c>
      <c r="R1650" s="14" t="s">
        <v>318</v>
      </c>
    </row>
    <row r="1651" spans="1:18" s="14" customFormat="1" x14ac:dyDescent="0.25">
      <c r="A1651" s="14" t="str">
        <f>"23022"</f>
        <v>23022</v>
      </c>
      <c r="B1651" s="14" t="str">
        <f>"05160"</f>
        <v>05160</v>
      </c>
      <c r="C1651" s="14" t="str">
        <f>"1800"</f>
        <v>1800</v>
      </c>
      <c r="D1651" s="14" t="str">
        <f>""</f>
        <v/>
      </c>
      <c r="E1651" s="14" t="s">
        <v>885</v>
      </c>
      <c r="F1651" s="14" t="s">
        <v>406</v>
      </c>
      <c r="G1651" s="14" t="str">
        <f>""</f>
        <v/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318</v>
      </c>
      <c r="L1651" s="14" t="s">
        <v>319</v>
      </c>
      <c r="M1651" s="14" t="s">
        <v>90</v>
      </c>
      <c r="P1651" s="14" t="s">
        <v>260</v>
      </c>
      <c r="Q1651" s="14" t="s">
        <v>25</v>
      </c>
      <c r="R1651" s="14" t="s">
        <v>318</v>
      </c>
    </row>
    <row r="1652" spans="1:18" s="14" customFormat="1" x14ac:dyDescent="0.25">
      <c r="A1652" s="14" t="str">
        <f>"23023"</f>
        <v>23023</v>
      </c>
      <c r="B1652" s="14" t="str">
        <f>"05160"</f>
        <v>05160</v>
      </c>
      <c r="C1652" s="14" t="str">
        <f>"1800"</f>
        <v>1800</v>
      </c>
      <c r="D1652" s="14" t="str">
        <f>""</f>
        <v/>
      </c>
      <c r="E1652" s="14" t="s">
        <v>886</v>
      </c>
      <c r="F1652" s="14" t="s">
        <v>406</v>
      </c>
      <c r="G1652" s="14" t="str">
        <f>""</f>
        <v/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318</v>
      </c>
      <c r="L1652" s="14" t="s">
        <v>319</v>
      </c>
      <c r="M1652" s="14" t="s">
        <v>90</v>
      </c>
      <c r="P1652" s="14" t="s">
        <v>260</v>
      </c>
      <c r="Q1652" s="14" t="s">
        <v>25</v>
      </c>
      <c r="R1652" s="14" t="s">
        <v>318</v>
      </c>
    </row>
    <row r="1653" spans="1:18" s="14" customFormat="1" x14ac:dyDescent="0.25">
      <c r="A1653" s="14" t="str">
        <f>"23024"</f>
        <v>23024</v>
      </c>
      <c r="B1653" s="14" t="str">
        <f>"05160"</f>
        <v>05160</v>
      </c>
      <c r="C1653" s="14" t="str">
        <f>"1800"</f>
        <v>1800</v>
      </c>
      <c r="D1653" s="14" t="str">
        <f>""</f>
        <v/>
      </c>
      <c r="E1653" s="14" t="s">
        <v>887</v>
      </c>
      <c r="F1653" s="14" t="s">
        <v>406</v>
      </c>
      <c r="G1653" s="14" t="str">
        <f>""</f>
        <v/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318</v>
      </c>
      <c r="L1653" s="14" t="s">
        <v>319</v>
      </c>
      <c r="M1653" s="14" t="s">
        <v>90</v>
      </c>
      <c r="P1653" s="14" t="s">
        <v>260</v>
      </c>
      <c r="Q1653" s="14" t="s">
        <v>25</v>
      </c>
      <c r="R1653" s="14" t="s">
        <v>318</v>
      </c>
    </row>
    <row r="1654" spans="1:18" s="14" customFormat="1" x14ac:dyDescent="0.25">
      <c r="A1654" s="14" t="str">
        <f>"23025"</f>
        <v>23025</v>
      </c>
      <c r="B1654" s="14" t="str">
        <f>"05160"</f>
        <v>05160</v>
      </c>
      <c r="C1654" s="14" t="str">
        <f>"1800"</f>
        <v>1800</v>
      </c>
      <c r="D1654" s="14" t="str">
        <f>""</f>
        <v/>
      </c>
      <c r="E1654" s="14" t="s">
        <v>888</v>
      </c>
      <c r="F1654" s="14" t="s">
        <v>406</v>
      </c>
      <c r="G1654" s="14" t="str">
        <f>""</f>
        <v/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318</v>
      </c>
      <c r="L1654" s="14" t="s">
        <v>319</v>
      </c>
      <c r="M1654" s="14" t="s">
        <v>90</v>
      </c>
      <c r="P1654" s="14" t="s">
        <v>260</v>
      </c>
      <c r="Q1654" s="14" t="s">
        <v>25</v>
      </c>
      <c r="R1654" s="14" t="s">
        <v>318</v>
      </c>
    </row>
    <row r="1655" spans="1:18" s="14" customFormat="1" x14ac:dyDescent="0.25">
      <c r="A1655" s="14" t="str">
        <f>"26047"</f>
        <v>26047</v>
      </c>
      <c r="B1655" s="14" t="str">
        <f>"05160"</f>
        <v>05160</v>
      </c>
      <c r="C1655" s="14" t="str">
        <f>"1800"</f>
        <v>1800</v>
      </c>
      <c r="D1655" s="14" t="str">
        <f>"26047"</f>
        <v>26047</v>
      </c>
      <c r="E1655" s="14" t="s">
        <v>945</v>
      </c>
      <c r="F1655" s="14" t="s">
        <v>406</v>
      </c>
      <c r="G1655" s="14" t="str">
        <f>"GR0026047"</f>
        <v>GR0026047</v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318</v>
      </c>
      <c r="L1655" s="14" t="s">
        <v>319</v>
      </c>
      <c r="M1655" s="14" t="s">
        <v>90</v>
      </c>
      <c r="O1655" s="14" t="s">
        <v>318</v>
      </c>
      <c r="P1655" s="14" t="s">
        <v>701</v>
      </c>
      <c r="Q1655" s="14" t="s">
        <v>701</v>
      </c>
      <c r="R1655" s="14" t="s">
        <v>318</v>
      </c>
    </row>
    <row r="1656" spans="1:18" s="14" customFormat="1" x14ac:dyDescent="0.25">
      <c r="A1656" s="14" t="str">
        <f>"31205"</f>
        <v>31205</v>
      </c>
      <c r="B1656" s="14" t="str">
        <f>"03929"</f>
        <v>03929</v>
      </c>
      <c r="C1656" s="14" t="str">
        <f>"1930"</f>
        <v>1930</v>
      </c>
      <c r="D1656" s="14" t="str">
        <f>""</f>
        <v/>
      </c>
      <c r="E1656" s="14" t="s">
        <v>969</v>
      </c>
      <c r="F1656" s="14" t="s">
        <v>970</v>
      </c>
      <c r="G1656" s="14" t="str">
        <f>""</f>
        <v/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318</v>
      </c>
      <c r="L1656" s="14" t="s">
        <v>319</v>
      </c>
      <c r="P1656" s="14" t="s">
        <v>260</v>
      </c>
      <c r="Q1656" s="14" t="s">
        <v>25</v>
      </c>
      <c r="R1656" s="14" t="s">
        <v>318</v>
      </c>
    </row>
    <row r="1657" spans="1:18" s="14" customFormat="1" x14ac:dyDescent="0.25">
      <c r="A1657" s="14" t="str">
        <f>"42001"</f>
        <v>42001</v>
      </c>
      <c r="B1657" s="14" t="str">
        <f>"05160"</f>
        <v>05160</v>
      </c>
      <c r="C1657" s="14" t="str">
        <f>"1400"</f>
        <v>1400</v>
      </c>
      <c r="D1657" s="14" t="str">
        <f>""</f>
        <v/>
      </c>
      <c r="E1657" s="14" t="s">
        <v>996</v>
      </c>
      <c r="F1657" s="14" t="s">
        <v>406</v>
      </c>
      <c r="G1657" s="14" t="str">
        <f>""</f>
        <v/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318</v>
      </c>
      <c r="L1657" s="14" t="s">
        <v>319</v>
      </c>
      <c r="M1657" s="14" t="s">
        <v>90</v>
      </c>
      <c r="P1657" s="14" t="s">
        <v>260</v>
      </c>
      <c r="Q1657" s="14" t="s">
        <v>260</v>
      </c>
      <c r="R1657" s="14" t="s">
        <v>318</v>
      </c>
    </row>
    <row r="1658" spans="1:18" s="14" customFormat="1" x14ac:dyDescent="0.25">
      <c r="A1658" s="14" t="str">
        <f>"42002"</f>
        <v>42002</v>
      </c>
      <c r="B1658" s="14" t="str">
        <f>"05160"</f>
        <v>05160</v>
      </c>
      <c r="C1658" s="14" t="str">
        <f>"1400"</f>
        <v>1400</v>
      </c>
      <c r="D1658" s="14" t="str">
        <f>""</f>
        <v/>
      </c>
      <c r="E1658" s="14" t="s">
        <v>997</v>
      </c>
      <c r="F1658" s="14" t="s">
        <v>406</v>
      </c>
      <c r="G1658" s="14" t="str">
        <f>""</f>
        <v/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318</v>
      </c>
      <c r="L1658" s="14" t="s">
        <v>319</v>
      </c>
      <c r="M1658" s="14" t="s">
        <v>90</v>
      </c>
      <c r="P1658" s="14" t="s">
        <v>260</v>
      </c>
      <c r="Q1658" s="14" t="s">
        <v>260</v>
      </c>
      <c r="R1658" s="14" t="s">
        <v>318</v>
      </c>
    </row>
    <row r="1659" spans="1:18" s="14" customFormat="1" x14ac:dyDescent="0.25">
      <c r="A1659" s="14" t="str">
        <f>"42101"</f>
        <v>42101</v>
      </c>
      <c r="B1659" s="14" t="str">
        <f>"05160"</f>
        <v>05160</v>
      </c>
      <c r="C1659" s="14" t="str">
        <f>"1400"</f>
        <v>1400</v>
      </c>
      <c r="D1659" s="14" t="str">
        <f>""</f>
        <v/>
      </c>
      <c r="E1659" s="14" t="s">
        <v>998</v>
      </c>
      <c r="F1659" s="14" t="s">
        <v>406</v>
      </c>
      <c r="G1659" s="14" t="str">
        <f>""</f>
        <v/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318</v>
      </c>
      <c r="L1659" s="14" t="s">
        <v>319</v>
      </c>
      <c r="M1659" s="14" t="s">
        <v>90</v>
      </c>
      <c r="P1659" s="14" t="s">
        <v>260</v>
      </c>
      <c r="Q1659" s="14" t="s">
        <v>260</v>
      </c>
      <c r="R1659" s="14" t="s">
        <v>318</v>
      </c>
    </row>
    <row r="1660" spans="1:18" s="14" customFormat="1" x14ac:dyDescent="0.25">
      <c r="A1660" s="14" t="str">
        <f>"42103"</f>
        <v>42103</v>
      </c>
      <c r="B1660" s="14" t="str">
        <f>"05160"</f>
        <v>05160</v>
      </c>
      <c r="C1660" s="14" t="str">
        <f>"1400"</f>
        <v>1400</v>
      </c>
      <c r="D1660" s="14" t="str">
        <f>""</f>
        <v/>
      </c>
      <c r="E1660" s="14" t="s">
        <v>999</v>
      </c>
      <c r="F1660" s="14" t="s">
        <v>406</v>
      </c>
      <c r="G1660" s="14" t="str">
        <f>""</f>
        <v/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318</v>
      </c>
      <c r="L1660" s="14" t="s">
        <v>319</v>
      </c>
      <c r="M1660" s="14" t="s">
        <v>90</v>
      </c>
      <c r="P1660" s="14" t="s">
        <v>260</v>
      </c>
      <c r="Q1660" s="14" t="s">
        <v>260</v>
      </c>
      <c r="R1660" s="14" t="s">
        <v>318</v>
      </c>
    </row>
    <row r="1661" spans="1:18" s="14" customFormat="1" x14ac:dyDescent="0.25">
      <c r="A1661" s="14" t="str">
        <f>"42901"</f>
        <v>42901</v>
      </c>
      <c r="B1661" s="14" t="str">
        <f>"05160"</f>
        <v>05160</v>
      </c>
      <c r="C1661" s="14" t="str">
        <f>"1400"</f>
        <v>1400</v>
      </c>
      <c r="D1661" s="14" t="str">
        <f>""</f>
        <v/>
      </c>
      <c r="E1661" s="14" t="s">
        <v>1000</v>
      </c>
      <c r="F1661" s="14" t="s">
        <v>406</v>
      </c>
      <c r="G1661" s="14" t="str">
        <f>""</f>
        <v/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318</v>
      </c>
      <c r="L1661" s="14" t="s">
        <v>319</v>
      </c>
      <c r="M1661" s="14" t="s">
        <v>90</v>
      </c>
      <c r="P1661" s="14" t="s">
        <v>260</v>
      </c>
      <c r="Q1661" s="14" t="s">
        <v>260</v>
      </c>
      <c r="R1661" s="14" t="s">
        <v>318</v>
      </c>
    </row>
    <row r="1662" spans="1:18" s="14" customFormat="1" x14ac:dyDescent="0.25">
      <c r="A1662" s="14" t="str">
        <f>"84041"</f>
        <v>84041</v>
      </c>
      <c r="B1662" s="14" t="str">
        <f>"07020"</f>
        <v>07020</v>
      </c>
      <c r="C1662" s="14" t="str">
        <f>"1700"</f>
        <v>1700</v>
      </c>
      <c r="D1662" s="14" t="str">
        <f>"84041"</f>
        <v>84041</v>
      </c>
      <c r="E1662" s="14" t="s">
        <v>1582</v>
      </c>
      <c r="F1662" s="14" t="s">
        <v>1532</v>
      </c>
      <c r="G1662" s="14" t="str">
        <f>""</f>
        <v/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1583</v>
      </c>
      <c r="M1662" s="14" t="s">
        <v>72</v>
      </c>
      <c r="P1662" s="14" t="s">
        <v>31</v>
      </c>
      <c r="Q1662" s="14" t="s">
        <v>31</v>
      </c>
      <c r="R1662" s="14" t="s">
        <v>72</v>
      </c>
    </row>
    <row r="1663" spans="1:18" s="14" customFormat="1" x14ac:dyDescent="0.25">
      <c r="A1663" s="14" t="str">
        <f>"84008"</f>
        <v>84008</v>
      </c>
      <c r="B1663" s="14" t="str">
        <f>"07020"</f>
        <v>07020</v>
      </c>
      <c r="C1663" s="14" t="str">
        <f>"1700"</f>
        <v>1700</v>
      </c>
      <c r="D1663" s="14" t="str">
        <f>"84008"</f>
        <v>84008</v>
      </c>
      <c r="E1663" s="14" t="s">
        <v>1539</v>
      </c>
      <c r="F1663" s="14" t="s">
        <v>1532</v>
      </c>
      <c r="G1663" s="14" t="str">
        <f>""</f>
        <v/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70</v>
      </c>
      <c r="L1663" s="14" t="s">
        <v>1540</v>
      </c>
      <c r="M1663" s="14" t="s">
        <v>72</v>
      </c>
      <c r="P1663" s="14" t="s">
        <v>31</v>
      </c>
      <c r="Q1663" s="14" t="s">
        <v>31</v>
      </c>
      <c r="R1663" s="14" t="s">
        <v>70</v>
      </c>
    </row>
    <row r="1664" spans="1:18" s="14" customFormat="1" x14ac:dyDescent="0.25">
      <c r="A1664" s="14" t="str">
        <f>"84056"</f>
        <v>84056</v>
      </c>
      <c r="B1664" s="14" t="str">
        <f>"07020"</f>
        <v>07020</v>
      </c>
      <c r="C1664" s="14" t="str">
        <f>"1700"</f>
        <v>1700</v>
      </c>
      <c r="D1664" s="14" t="str">
        <f>"84056"</f>
        <v>84056</v>
      </c>
      <c r="E1664" s="14" t="s">
        <v>1595</v>
      </c>
      <c r="F1664" s="14" t="s">
        <v>1532</v>
      </c>
      <c r="G1664" s="14" t="str">
        <f>""</f>
        <v/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70</v>
      </c>
      <c r="L1664" s="14" t="s">
        <v>72</v>
      </c>
      <c r="P1664" s="14" t="s">
        <v>31</v>
      </c>
      <c r="Q1664" s="14" t="s">
        <v>31</v>
      </c>
      <c r="R1664" s="14" t="s">
        <v>70</v>
      </c>
    </row>
    <row r="1665" spans="1:18" s="14" customFormat="1" x14ac:dyDescent="0.25">
      <c r="A1665" s="14" t="str">
        <f>"84103"</f>
        <v>84103</v>
      </c>
      <c r="B1665" s="14" t="str">
        <f>"07020"</f>
        <v>07020</v>
      </c>
      <c r="C1665" s="14" t="str">
        <f>"1700"</f>
        <v>1700</v>
      </c>
      <c r="D1665" s="14" t="str">
        <f>"84103"</f>
        <v>84103</v>
      </c>
      <c r="E1665" s="14" t="s">
        <v>1644</v>
      </c>
      <c r="F1665" s="14" t="s">
        <v>1532</v>
      </c>
      <c r="G1665" s="14" t="str">
        <f>""</f>
        <v/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70</v>
      </c>
      <c r="L1665" s="14" t="s">
        <v>1645</v>
      </c>
      <c r="M1665" s="14" t="s">
        <v>72</v>
      </c>
      <c r="P1665" s="14" t="s">
        <v>31</v>
      </c>
      <c r="Q1665" s="14" t="s">
        <v>31</v>
      </c>
      <c r="R1665" s="14" t="s">
        <v>1645</v>
      </c>
    </row>
    <row r="1666" spans="1:18" s="14" customFormat="1" x14ac:dyDescent="0.25">
      <c r="A1666" s="14" t="str">
        <f>"10001"</f>
        <v>10001</v>
      </c>
      <c r="B1666" s="14" t="str">
        <f>"01405"</f>
        <v>01405</v>
      </c>
      <c r="C1666" s="14" t="str">
        <f>"1300"</f>
        <v>1300</v>
      </c>
      <c r="D1666" s="14" t="str">
        <f>"01405"</f>
        <v>01405</v>
      </c>
      <c r="E1666" s="14" t="s">
        <v>20</v>
      </c>
      <c r="F1666" s="14" t="s">
        <v>118</v>
      </c>
      <c r="G1666" s="14" t="str">
        <f>""</f>
        <v/>
      </c>
      <c r="H1666" s="14" t="str">
        <f>" 10"</f>
        <v xml:space="preserve"> 10</v>
      </c>
      <c r="I1666" s="14">
        <v>0.01</v>
      </c>
      <c r="J1666" s="14">
        <v>500</v>
      </c>
      <c r="K1666" s="14" t="s">
        <v>119</v>
      </c>
      <c r="P1666" s="14" t="s">
        <v>31</v>
      </c>
      <c r="Q1666" s="14" t="s">
        <v>25</v>
      </c>
      <c r="R1666" s="14" t="s">
        <v>119</v>
      </c>
    </row>
    <row r="1667" spans="1:18" s="14" customFormat="1" x14ac:dyDescent="0.25">
      <c r="A1667" s="14" t="str">
        <f>"10001"</f>
        <v>10001</v>
      </c>
      <c r="B1667" s="14" t="str">
        <f>"05020"</f>
        <v>05020</v>
      </c>
      <c r="C1667" s="14" t="str">
        <f>"1700"</f>
        <v>1700</v>
      </c>
      <c r="D1667" s="14" t="str">
        <f>"05020"</f>
        <v>05020</v>
      </c>
      <c r="E1667" s="14" t="s">
        <v>20</v>
      </c>
      <c r="F1667" s="14" t="s">
        <v>374</v>
      </c>
      <c r="G1667" s="14" t="str">
        <f>""</f>
        <v/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375</v>
      </c>
      <c r="L1667" s="14" t="s">
        <v>376</v>
      </c>
      <c r="M1667" s="14" t="s">
        <v>377</v>
      </c>
      <c r="N1667" s="14" t="s">
        <v>47</v>
      </c>
      <c r="P1667" s="14" t="s">
        <v>31</v>
      </c>
      <c r="Q1667" s="14" t="s">
        <v>25</v>
      </c>
      <c r="R1667" s="14" t="s">
        <v>377</v>
      </c>
    </row>
    <row r="1668" spans="1:18" s="14" customFormat="1" x14ac:dyDescent="0.25">
      <c r="A1668" s="14" t="str">
        <f>"11039"</f>
        <v>11039</v>
      </c>
      <c r="B1668" s="14" t="str">
        <f>"05020"</f>
        <v>05020</v>
      </c>
      <c r="C1668" s="14" t="str">
        <f>"1700"</f>
        <v>1700</v>
      </c>
      <c r="D1668" s="14" t="str">
        <f>""</f>
        <v/>
      </c>
      <c r="E1668" s="14" t="s">
        <v>473</v>
      </c>
      <c r="F1668" s="14" t="s">
        <v>374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375</v>
      </c>
      <c r="L1668" s="14" t="s">
        <v>376</v>
      </c>
      <c r="M1668" s="14" t="s">
        <v>47</v>
      </c>
      <c r="N1668" s="14" t="s">
        <v>377</v>
      </c>
      <c r="P1668" s="14" t="s">
        <v>25</v>
      </c>
      <c r="Q1668" s="14" t="s">
        <v>25</v>
      </c>
      <c r="R1668" s="14" t="s">
        <v>47</v>
      </c>
    </row>
    <row r="1669" spans="1:18" s="14" customFormat="1" x14ac:dyDescent="0.25">
      <c r="A1669" s="14" t="str">
        <f>"84136"</f>
        <v>84136</v>
      </c>
      <c r="B1669" s="14" t="str">
        <f>"07020"</f>
        <v>07020</v>
      </c>
      <c r="C1669" s="14" t="str">
        <f>"1700"</f>
        <v>1700</v>
      </c>
      <c r="D1669" s="14" t="str">
        <f>"84136"</f>
        <v>84136</v>
      </c>
      <c r="E1669" s="14" t="s">
        <v>1664</v>
      </c>
      <c r="F1669" s="14" t="s">
        <v>1532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1665</v>
      </c>
      <c r="L1669" s="14" t="s">
        <v>401</v>
      </c>
      <c r="P1669" s="14" t="s">
        <v>31</v>
      </c>
      <c r="Q1669" s="14" t="s">
        <v>31</v>
      </c>
      <c r="R1669" s="14" t="s">
        <v>1665</v>
      </c>
    </row>
    <row r="1670" spans="1:18" s="14" customFormat="1" x14ac:dyDescent="0.25">
      <c r="A1670" s="14" t="str">
        <f>"84160"</f>
        <v>84160</v>
      </c>
      <c r="B1670" s="14" t="str">
        <f>"07020"</f>
        <v>07020</v>
      </c>
      <c r="C1670" s="14" t="str">
        <f>"1700"</f>
        <v>1700</v>
      </c>
      <c r="D1670" s="14" t="str">
        <f>"84160"</f>
        <v>84160</v>
      </c>
      <c r="E1670" s="14" t="s">
        <v>1678</v>
      </c>
      <c r="F1670" s="14" t="s">
        <v>1532</v>
      </c>
      <c r="G1670" s="14" t="str">
        <f>""</f>
        <v/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1679</v>
      </c>
      <c r="L1670" s="14" t="s">
        <v>146</v>
      </c>
      <c r="M1670" s="14" t="s">
        <v>1680</v>
      </c>
      <c r="P1670" s="14" t="s">
        <v>31</v>
      </c>
      <c r="Q1670" s="14" t="s">
        <v>31</v>
      </c>
      <c r="R1670" s="14" t="s">
        <v>1679</v>
      </c>
    </row>
    <row r="1671" spans="1:18" s="14" customFormat="1" x14ac:dyDescent="0.25">
      <c r="A1671" s="14" t="str">
        <f>"84162"</f>
        <v>84162</v>
      </c>
      <c r="B1671" s="14" t="str">
        <f>"07020"</f>
        <v>07020</v>
      </c>
      <c r="C1671" s="14" t="str">
        <f>"1700"</f>
        <v>1700</v>
      </c>
      <c r="D1671" s="14" t="str">
        <f>"84162"</f>
        <v>84162</v>
      </c>
      <c r="E1671" s="14" t="s">
        <v>1681</v>
      </c>
      <c r="F1671" s="14" t="s">
        <v>1532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1679</v>
      </c>
      <c r="L1671" s="14" t="s">
        <v>146</v>
      </c>
      <c r="P1671" s="14" t="s">
        <v>31</v>
      </c>
      <c r="Q1671" s="14" t="s">
        <v>31</v>
      </c>
      <c r="R1671" s="14" t="s">
        <v>1679</v>
      </c>
    </row>
    <row r="1672" spans="1:18" s="14" customFormat="1" x14ac:dyDescent="0.25">
      <c r="A1672" s="14" t="str">
        <f>"10001"</f>
        <v>10001</v>
      </c>
      <c r="B1672" s="14" t="str">
        <f>"05090"</f>
        <v>05090</v>
      </c>
      <c r="C1672" s="14" t="str">
        <f>"1700"</f>
        <v>1700</v>
      </c>
      <c r="D1672" s="14" t="str">
        <f>"05090"</f>
        <v>05090</v>
      </c>
      <c r="E1672" s="14" t="s">
        <v>20</v>
      </c>
      <c r="F1672" s="14" t="s">
        <v>389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390</v>
      </c>
      <c r="L1672" s="14" t="s">
        <v>47</v>
      </c>
      <c r="P1672" s="14" t="s">
        <v>31</v>
      </c>
      <c r="Q1672" s="14" t="s">
        <v>25</v>
      </c>
      <c r="R1672" s="14" t="s">
        <v>390</v>
      </c>
    </row>
    <row r="1673" spans="1:18" s="14" customFormat="1" x14ac:dyDescent="0.25">
      <c r="A1673" s="14" t="str">
        <f>"85029"</f>
        <v>85029</v>
      </c>
      <c r="B1673" s="14" t="str">
        <f>"07030"</f>
        <v>07030</v>
      </c>
      <c r="C1673" s="14" t="str">
        <f>"8000"</f>
        <v>8000</v>
      </c>
      <c r="D1673" s="14" t="str">
        <f>"85029"</f>
        <v>85029</v>
      </c>
      <c r="E1673" s="14" t="s">
        <v>1781</v>
      </c>
      <c r="F1673" s="14" t="s">
        <v>1776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390</v>
      </c>
      <c r="P1673" s="14" t="s">
        <v>31</v>
      </c>
      <c r="Q1673" s="14" t="s">
        <v>31</v>
      </c>
      <c r="R1673" s="14" t="s">
        <v>390</v>
      </c>
    </row>
    <row r="1674" spans="1:18" s="14" customFormat="1" x14ac:dyDescent="0.25">
      <c r="A1674" s="14" t="str">
        <f>"84227"</f>
        <v>84227</v>
      </c>
      <c r="B1674" s="14" t="str">
        <f>"07020"</f>
        <v>07020</v>
      </c>
      <c r="C1674" s="14" t="str">
        <f>"1700"</f>
        <v>1700</v>
      </c>
      <c r="D1674" s="14" t="str">
        <f>"84227"</f>
        <v>84227</v>
      </c>
      <c r="E1674" s="14" t="s">
        <v>1736</v>
      </c>
      <c r="F1674" s="14" t="s">
        <v>1532</v>
      </c>
      <c r="G1674" s="14" t="str">
        <f>""</f>
        <v/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1737</v>
      </c>
      <c r="P1674" s="14" t="s">
        <v>31</v>
      </c>
      <c r="Q1674" s="14" t="s">
        <v>31</v>
      </c>
      <c r="R1674" s="14" t="s">
        <v>98</v>
      </c>
    </row>
    <row r="1675" spans="1:18" s="14" customFormat="1" x14ac:dyDescent="0.25">
      <c r="A1675" s="14" t="str">
        <f>"84151"</f>
        <v>84151</v>
      </c>
      <c r="B1675" s="14" t="str">
        <f>"07020"</f>
        <v>07020</v>
      </c>
      <c r="C1675" s="14" t="str">
        <f>"1700"</f>
        <v>1700</v>
      </c>
      <c r="D1675" s="14" t="str">
        <f>"84151"</f>
        <v>84151</v>
      </c>
      <c r="E1675" s="14" t="s">
        <v>1673</v>
      </c>
      <c r="F1675" s="14" t="s">
        <v>1532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71</v>
      </c>
      <c r="L1675" s="14" t="s">
        <v>141</v>
      </c>
      <c r="M1675" s="14" t="s">
        <v>72</v>
      </c>
      <c r="P1675" s="14" t="s">
        <v>31</v>
      </c>
      <c r="Q1675" s="14" t="s">
        <v>31</v>
      </c>
      <c r="R1675" s="14" t="s">
        <v>71</v>
      </c>
    </row>
    <row r="1676" spans="1:18" s="14" customFormat="1" x14ac:dyDescent="0.25">
      <c r="A1676" s="14" t="str">
        <f>"84032"</f>
        <v>84032</v>
      </c>
      <c r="B1676" s="14" t="str">
        <f>"07020"</f>
        <v>07020</v>
      </c>
      <c r="C1676" s="14" t="str">
        <f>"1700"</f>
        <v>1700</v>
      </c>
      <c r="D1676" s="14" t="str">
        <f>"84032"</f>
        <v>84032</v>
      </c>
      <c r="E1676" s="14" t="s">
        <v>1573</v>
      </c>
      <c r="F1676" s="14" t="s">
        <v>1532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1574</v>
      </c>
      <c r="P1676" s="14" t="s">
        <v>31</v>
      </c>
      <c r="Q1676" s="14" t="s">
        <v>31</v>
      </c>
      <c r="R1676" s="14" t="s">
        <v>1575</v>
      </c>
    </row>
    <row r="1677" spans="1:18" s="14" customFormat="1" x14ac:dyDescent="0.25">
      <c r="A1677" s="14" t="str">
        <f>"10001"</f>
        <v>10001</v>
      </c>
      <c r="B1677" s="14" t="str">
        <f>"03050"</f>
        <v>03050</v>
      </c>
      <c r="C1677" s="14" t="str">
        <f>"1400"</f>
        <v>1400</v>
      </c>
      <c r="D1677" s="14" t="str">
        <f>"03050"</f>
        <v>03050</v>
      </c>
      <c r="E1677" s="14" t="s">
        <v>20</v>
      </c>
      <c r="F1677" s="14" t="s">
        <v>225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226</v>
      </c>
      <c r="L1677" s="14" t="s">
        <v>227</v>
      </c>
      <c r="M1677" s="14" t="s">
        <v>228</v>
      </c>
      <c r="P1677" s="14" t="s">
        <v>31</v>
      </c>
      <c r="Q1677" s="14" t="s">
        <v>25</v>
      </c>
      <c r="R1677" s="14" t="s">
        <v>229</v>
      </c>
    </row>
    <row r="1678" spans="1:18" s="14" customFormat="1" x14ac:dyDescent="0.25">
      <c r="A1678" s="14" t="str">
        <f>"10001"</f>
        <v>10001</v>
      </c>
      <c r="B1678" s="14" t="str">
        <f>"03532"</f>
        <v>03532</v>
      </c>
      <c r="C1678" s="14" t="str">
        <f>"1000"</f>
        <v>1000</v>
      </c>
      <c r="D1678" s="14" t="str">
        <f>""</f>
        <v/>
      </c>
      <c r="E1678" s="14" t="s">
        <v>20</v>
      </c>
      <c r="F1678" s="14" t="s">
        <v>264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226</v>
      </c>
      <c r="P1678" s="14" t="s">
        <v>260</v>
      </c>
      <c r="Q1678" s="14" t="s">
        <v>25</v>
      </c>
      <c r="R1678" s="14" t="s">
        <v>229</v>
      </c>
    </row>
    <row r="1679" spans="1:18" s="14" customFormat="1" x14ac:dyDescent="0.25">
      <c r="A1679" s="14" t="str">
        <f>"10001"</f>
        <v>10001</v>
      </c>
      <c r="B1679" s="14" t="str">
        <f>"03533"</f>
        <v>03533</v>
      </c>
      <c r="C1679" s="14" t="str">
        <f>"1000"</f>
        <v>1000</v>
      </c>
      <c r="D1679" s="14" t="str">
        <f>""</f>
        <v/>
      </c>
      <c r="E1679" s="14" t="s">
        <v>20</v>
      </c>
      <c r="F1679" s="14" t="s">
        <v>265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226</v>
      </c>
      <c r="P1679" s="14" t="s">
        <v>260</v>
      </c>
      <c r="Q1679" s="14" t="s">
        <v>25</v>
      </c>
      <c r="R1679" s="14" t="s">
        <v>229</v>
      </c>
    </row>
    <row r="1680" spans="1:18" s="14" customFormat="1" x14ac:dyDescent="0.25">
      <c r="A1680" s="14" t="str">
        <f>"10001"</f>
        <v>10001</v>
      </c>
      <c r="B1680" s="14" t="str">
        <f>"03534"</f>
        <v>03534</v>
      </c>
      <c r="C1680" s="14" t="str">
        <f>"1000"</f>
        <v>1000</v>
      </c>
      <c r="D1680" s="14" t="str">
        <f>""</f>
        <v/>
      </c>
      <c r="E1680" s="14" t="s">
        <v>20</v>
      </c>
      <c r="F1680" s="14" t="s">
        <v>266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226</v>
      </c>
      <c r="P1680" s="14" t="s">
        <v>260</v>
      </c>
      <c r="Q1680" s="14" t="s">
        <v>25</v>
      </c>
      <c r="R1680" s="14" t="s">
        <v>229</v>
      </c>
    </row>
    <row r="1681" spans="1:18" s="14" customFormat="1" x14ac:dyDescent="0.25">
      <c r="A1681" s="14" t="str">
        <f>"10001"</f>
        <v>10001</v>
      </c>
      <c r="B1681" s="14" t="str">
        <f>"03543"</f>
        <v>03543</v>
      </c>
      <c r="C1681" s="14" t="str">
        <f>"1000"</f>
        <v>1000</v>
      </c>
      <c r="D1681" s="14" t="str">
        <f>""</f>
        <v/>
      </c>
      <c r="E1681" s="14" t="s">
        <v>20</v>
      </c>
      <c r="F1681" s="14" t="s">
        <v>269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226</v>
      </c>
      <c r="P1681" s="14" t="s">
        <v>260</v>
      </c>
      <c r="Q1681" s="14" t="s">
        <v>25</v>
      </c>
      <c r="R1681" s="14" t="s">
        <v>229</v>
      </c>
    </row>
    <row r="1682" spans="1:18" s="14" customFormat="1" x14ac:dyDescent="0.25">
      <c r="A1682" s="14" t="str">
        <f>"10001"</f>
        <v>10001</v>
      </c>
      <c r="B1682" s="14" t="str">
        <f>"03908"</f>
        <v>03908</v>
      </c>
      <c r="C1682" s="14" t="str">
        <f>"1800"</f>
        <v>1800</v>
      </c>
      <c r="D1682" s="14" t="str">
        <f>""</f>
        <v/>
      </c>
      <c r="E1682" s="14" t="s">
        <v>20</v>
      </c>
      <c r="F1682" s="14" t="s">
        <v>324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226</v>
      </c>
      <c r="P1682" s="14" t="s">
        <v>260</v>
      </c>
      <c r="Q1682" s="14" t="s">
        <v>25</v>
      </c>
      <c r="R1682" s="14" t="s">
        <v>229</v>
      </c>
    </row>
    <row r="1683" spans="1:18" s="14" customFormat="1" x14ac:dyDescent="0.25">
      <c r="A1683" s="14" t="str">
        <f>"16062"</f>
        <v>16062</v>
      </c>
      <c r="B1683" s="14" t="str">
        <f>"03050"</f>
        <v>03050</v>
      </c>
      <c r="C1683" s="14" t="str">
        <f>"1700"</f>
        <v>1700</v>
      </c>
      <c r="D1683" s="14" t="str">
        <f>"16062"</f>
        <v>16062</v>
      </c>
      <c r="E1683" s="14" t="s">
        <v>576</v>
      </c>
      <c r="F1683" s="14" t="s">
        <v>225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226</v>
      </c>
      <c r="L1683" s="14" t="s">
        <v>228</v>
      </c>
      <c r="P1683" s="14" t="s">
        <v>31</v>
      </c>
      <c r="Q1683" s="14" t="s">
        <v>25</v>
      </c>
      <c r="R1683" s="14" t="s">
        <v>229</v>
      </c>
    </row>
    <row r="1684" spans="1:18" s="14" customFormat="1" x14ac:dyDescent="0.25">
      <c r="A1684" s="14" t="str">
        <f>"18601"</f>
        <v>18601</v>
      </c>
      <c r="B1684" s="14" t="str">
        <f>"03100"</f>
        <v>03100</v>
      </c>
      <c r="C1684" s="14" t="str">
        <f>"1800"</f>
        <v>1800</v>
      </c>
      <c r="D1684" s="14" t="str">
        <f>""</f>
        <v/>
      </c>
      <c r="E1684" s="14" t="s">
        <v>735</v>
      </c>
      <c r="F1684" s="14" t="s">
        <v>736</v>
      </c>
      <c r="G1684" s="14" t="str">
        <f>""</f>
        <v/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226</v>
      </c>
      <c r="L1684" s="14" t="s">
        <v>228</v>
      </c>
      <c r="P1684" s="14" t="s">
        <v>260</v>
      </c>
      <c r="Q1684" s="14" t="s">
        <v>25</v>
      </c>
      <c r="R1684" s="14" t="s">
        <v>229</v>
      </c>
    </row>
    <row r="1685" spans="1:18" s="14" customFormat="1" x14ac:dyDescent="0.25">
      <c r="A1685" s="14" t="str">
        <f>"32005"</f>
        <v>32005</v>
      </c>
      <c r="B1685" s="14" t="str">
        <f>"03100"</f>
        <v>03100</v>
      </c>
      <c r="C1685" s="14" t="str">
        <f>"1930"</f>
        <v>1930</v>
      </c>
      <c r="D1685" s="14" t="str">
        <f>"03100"</f>
        <v>03100</v>
      </c>
      <c r="E1685" s="14" t="s">
        <v>971</v>
      </c>
      <c r="F1685" s="14" t="s">
        <v>736</v>
      </c>
      <c r="G1685" s="14" t="str">
        <f>""</f>
        <v/>
      </c>
      <c r="H1685" s="14" t="str">
        <f>" 00"</f>
        <v xml:space="preserve"> 00</v>
      </c>
      <c r="I1685" s="14">
        <v>0.01</v>
      </c>
      <c r="J1685" s="14">
        <v>9999999.9900000002</v>
      </c>
      <c r="K1685" s="14" t="s">
        <v>226</v>
      </c>
      <c r="L1685" s="14" t="s">
        <v>228</v>
      </c>
      <c r="P1685" s="14" t="s">
        <v>260</v>
      </c>
      <c r="Q1685" s="14" t="s">
        <v>25</v>
      </c>
      <c r="R1685" s="14" t="s">
        <v>229</v>
      </c>
    </row>
    <row r="1686" spans="1:18" s="14" customFormat="1" x14ac:dyDescent="0.25">
      <c r="A1686" s="14" t="str">
        <f>"40002"</f>
        <v>40002</v>
      </c>
      <c r="B1686" s="14" t="str">
        <f>"03050"</f>
        <v>03050</v>
      </c>
      <c r="C1686" s="14" t="str">
        <f>"1400"</f>
        <v>1400</v>
      </c>
      <c r="D1686" s="14" t="str">
        <f>""</f>
        <v/>
      </c>
      <c r="E1686" s="14" t="s">
        <v>994</v>
      </c>
      <c r="F1686" s="14" t="s">
        <v>225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226</v>
      </c>
      <c r="P1686" s="14" t="s">
        <v>995</v>
      </c>
      <c r="Q1686" s="14" t="s">
        <v>995</v>
      </c>
      <c r="R1686" s="14" t="s">
        <v>995</v>
      </c>
    </row>
    <row r="1687" spans="1:18" s="14" customFormat="1" x14ac:dyDescent="0.25">
      <c r="A1687" s="14" t="str">
        <f>"91372"</f>
        <v>91372</v>
      </c>
      <c r="B1687" s="14" t="str">
        <f>"03050"</f>
        <v>03050</v>
      </c>
      <c r="C1687" s="14" t="str">
        <f>"1500"</f>
        <v>1500</v>
      </c>
      <c r="D1687" s="14" t="str">
        <f>"91372A"</f>
        <v>91372A</v>
      </c>
      <c r="E1687" s="14" t="s">
        <v>1813</v>
      </c>
      <c r="F1687" s="14" t="s">
        <v>225</v>
      </c>
      <c r="G1687" s="14" t="str">
        <f>"GN0091372"</f>
        <v>GN0091372</v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226</v>
      </c>
      <c r="L1687" s="14" t="s">
        <v>227</v>
      </c>
      <c r="P1687" s="14" t="s">
        <v>239</v>
      </c>
      <c r="Q1687" s="14" t="s">
        <v>239</v>
      </c>
      <c r="R1687" s="14" t="s">
        <v>229</v>
      </c>
    </row>
    <row r="1688" spans="1:18" s="14" customFormat="1" x14ac:dyDescent="0.25">
      <c r="A1688" s="14" t="str">
        <f>"92155"</f>
        <v>92155</v>
      </c>
      <c r="B1688" s="14" t="str">
        <f>"03050"</f>
        <v>03050</v>
      </c>
      <c r="C1688" s="14" t="str">
        <f>"1500"</f>
        <v>1500</v>
      </c>
      <c r="D1688" s="14" t="str">
        <f>"92155"</f>
        <v>92155</v>
      </c>
      <c r="E1688" s="14" t="s">
        <v>1825</v>
      </c>
      <c r="F1688" s="14" t="s">
        <v>225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226</v>
      </c>
      <c r="L1688" s="14" t="s">
        <v>227</v>
      </c>
      <c r="P1688" s="14" t="s">
        <v>239</v>
      </c>
      <c r="Q1688" s="14" t="s">
        <v>25</v>
      </c>
      <c r="R1688" s="14" t="s">
        <v>229</v>
      </c>
    </row>
    <row r="1689" spans="1:18" s="14" customFormat="1" x14ac:dyDescent="0.25">
      <c r="A1689" s="14" t="str">
        <f>"94035"</f>
        <v>94035</v>
      </c>
      <c r="B1689" s="14" t="str">
        <f>"03050"</f>
        <v>03050</v>
      </c>
      <c r="C1689" s="14" t="str">
        <f>"2100"</f>
        <v>2100</v>
      </c>
      <c r="D1689" s="14" t="str">
        <f>"94035"</f>
        <v>94035</v>
      </c>
      <c r="E1689" s="14" t="s">
        <v>1840</v>
      </c>
      <c r="F1689" s="14" t="s">
        <v>225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226</v>
      </c>
      <c r="L1689" s="14" t="s">
        <v>227</v>
      </c>
      <c r="P1689" s="14" t="s">
        <v>239</v>
      </c>
      <c r="Q1689" s="14" t="s">
        <v>25</v>
      </c>
      <c r="R1689" s="14" t="s">
        <v>229</v>
      </c>
    </row>
    <row r="1690" spans="1:18" s="14" customFormat="1" x14ac:dyDescent="0.25">
      <c r="A1690" s="14" t="str">
        <f>"94041"</f>
        <v>94041</v>
      </c>
      <c r="B1690" s="14" t="str">
        <f>"03050"</f>
        <v>03050</v>
      </c>
      <c r="C1690" s="14" t="str">
        <f>"2100"</f>
        <v>2100</v>
      </c>
      <c r="D1690" s="14" t="str">
        <f>"94041"</f>
        <v>94041</v>
      </c>
      <c r="E1690" s="14" t="s">
        <v>1841</v>
      </c>
      <c r="F1690" s="14" t="s">
        <v>225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226</v>
      </c>
      <c r="L1690" s="14" t="s">
        <v>227</v>
      </c>
      <c r="P1690" s="14" t="s">
        <v>239</v>
      </c>
      <c r="Q1690" s="14" t="s">
        <v>25</v>
      </c>
      <c r="R1690" s="14" t="s">
        <v>229</v>
      </c>
    </row>
    <row r="1691" spans="1:18" s="14" customFormat="1" x14ac:dyDescent="0.25">
      <c r="A1691" s="14" t="str">
        <f>"94042"</f>
        <v>94042</v>
      </c>
      <c r="B1691" s="14" t="str">
        <f>"03050"</f>
        <v>03050</v>
      </c>
      <c r="C1691" s="14" t="str">
        <f>"2100"</f>
        <v>2100</v>
      </c>
      <c r="D1691" s="14" t="str">
        <f>"94042"</f>
        <v>94042</v>
      </c>
      <c r="E1691" s="14" t="s">
        <v>1842</v>
      </c>
      <c r="F1691" s="14" t="s">
        <v>225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226</v>
      </c>
      <c r="L1691" s="14" t="s">
        <v>227</v>
      </c>
      <c r="P1691" s="14" t="s">
        <v>239</v>
      </c>
      <c r="Q1691" s="14" t="s">
        <v>25</v>
      </c>
      <c r="R1691" s="14" t="s">
        <v>229</v>
      </c>
    </row>
    <row r="1692" spans="1:18" s="14" customFormat="1" x14ac:dyDescent="0.25">
      <c r="A1692" s="14" t="str">
        <f>"94043"</f>
        <v>94043</v>
      </c>
      <c r="B1692" s="14" t="str">
        <f>"03050"</f>
        <v>03050</v>
      </c>
      <c r="C1692" s="14" t="str">
        <f>"2100"</f>
        <v>2100</v>
      </c>
      <c r="D1692" s="14" t="str">
        <f>"94043"</f>
        <v>94043</v>
      </c>
      <c r="E1692" s="14" t="s">
        <v>1843</v>
      </c>
      <c r="F1692" s="14" t="s">
        <v>225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226</v>
      </c>
      <c r="L1692" s="14" t="s">
        <v>227</v>
      </c>
      <c r="P1692" s="14" t="s">
        <v>239</v>
      </c>
      <c r="Q1692" s="14" t="s">
        <v>25</v>
      </c>
      <c r="R1692" s="14" t="s">
        <v>229</v>
      </c>
    </row>
    <row r="1693" spans="1:18" s="14" customFormat="1" x14ac:dyDescent="0.25">
      <c r="A1693" s="14" t="str">
        <f>"94045"</f>
        <v>94045</v>
      </c>
      <c r="B1693" s="14" t="str">
        <f>"03050"</f>
        <v>03050</v>
      </c>
      <c r="C1693" s="14" t="str">
        <f>"2100"</f>
        <v>2100</v>
      </c>
      <c r="D1693" s="14" t="str">
        <f>"94045"</f>
        <v>94045</v>
      </c>
      <c r="E1693" s="14" t="s">
        <v>1844</v>
      </c>
      <c r="F1693" s="14" t="s">
        <v>225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226</v>
      </c>
      <c r="L1693" s="14" t="s">
        <v>227</v>
      </c>
      <c r="P1693" s="14" t="s">
        <v>239</v>
      </c>
      <c r="Q1693" s="14" t="s">
        <v>25</v>
      </c>
      <c r="R1693" s="14" t="s">
        <v>229</v>
      </c>
    </row>
    <row r="1694" spans="1:18" s="14" customFormat="1" x14ac:dyDescent="0.25">
      <c r="A1694" s="14" t="str">
        <f>"94046"</f>
        <v>94046</v>
      </c>
      <c r="B1694" s="14" t="str">
        <f>"03050"</f>
        <v>03050</v>
      </c>
      <c r="C1694" s="14" t="str">
        <f>"2100"</f>
        <v>2100</v>
      </c>
      <c r="D1694" s="14" t="str">
        <f>"94046"</f>
        <v>94046</v>
      </c>
      <c r="E1694" s="14" t="s">
        <v>1845</v>
      </c>
      <c r="F1694" s="14" t="s">
        <v>225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226</v>
      </c>
      <c r="L1694" s="14" t="s">
        <v>227</v>
      </c>
      <c r="P1694" s="14" t="s">
        <v>239</v>
      </c>
      <c r="Q1694" s="14" t="s">
        <v>25</v>
      </c>
      <c r="R1694" s="14" t="s">
        <v>229</v>
      </c>
    </row>
    <row r="1695" spans="1:18" s="14" customFormat="1" x14ac:dyDescent="0.25">
      <c r="A1695" s="14" t="str">
        <f>"94115"</f>
        <v>94115</v>
      </c>
      <c r="B1695" s="14" t="str">
        <f>"03050"</f>
        <v>03050</v>
      </c>
      <c r="C1695" s="14" t="str">
        <f>"2100"</f>
        <v>2100</v>
      </c>
      <c r="D1695" s="14" t="str">
        <f>"94115"</f>
        <v>94115</v>
      </c>
      <c r="E1695" s="14" t="s">
        <v>1846</v>
      </c>
      <c r="F1695" s="14" t="s">
        <v>225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226</v>
      </c>
      <c r="L1695" s="14" t="s">
        <v>227</v>
      </c>
      <c r="P1695" s="14" t="s">
        <v>239</v>
      </c>
      <c r="Q1695" s="14" t="s">
        <v>25</v>
      </c>
      <c r="R1695" s="14" t="s">
        <v>229</v>
      </c>
    </row>
    <row r="1696" spans="1:18" s="14" customFormat="1" x14ac:dyDescent="0.25">
      <c r="A1696" s="14" t="str">
        <f>"94225"</f>
        <v>94225</v>
      </c>
      <c r="B1696" s="14" t="str">
        <f>"03050"</f>
        <v>03050</v>
      </c>
      <c r="C1696" s="14" t="str">
        <f>"2100"</f>
        <v>2100</v>
      </c>
      <c r="D1696" s="14" t="str">
        <f>"94225"</f>
        <v>94225</v>
      </c>
      <c r="E1696" s="14" t="s">
        <v>1847</v>
      </c>
      <c r="F1696" s="14" t="s">
        <v>225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226</v>
      </c>
      <c r="L1696" s="14" t="s">
        <v>227</v>
      </c>
      <c r="P1696" s="14" t="s">
        <v>239</v>
      </c>
      <c r="Q1696" s="14" t="s">
        <v>25</v>
      </c>
      <c r="R1696" s="14" t="s">
        <v>229</v>
      </c>
    </row>
    <row r="1697" spans="1:18" s="14" customFormat="1" x14ac:dyDescent="0.25">
      <c r="A1697" s="14" t="str">
        <f>"96035"</f>
        <v>96035</v>
      </c>
      <c r="B1697" s="14" t="str">
        <f>"03050"</f>
        <v>03050</v>
      </c>
      <c r="C1697" s="14" t="str">
        <f>"2100"</f>
        <v>2100</v>
      </c>
      <c r="D1697" s="14" t="str">
        <f>""</f>
        <v/>
      </c>
      <c r="E1697" s="14" t="s">
        <v>1840</v>
      </c>
      <c r="F1697" s="14" t="s">
        <v>225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226</v>
      </c>
      <c r="L1697" s="14" t="s">
        <v>227</v>
      </c>
      <c r="P1697" s="14" t="s">
        <v>239</v>
      </c>
      <c r="Q1697" s="14" t="s">
        <v>239</v>
      </c>
      <c r="R1697" s="14" t="s">
        <v>229</v>
      </c>
    </row>
    <row r="1698" spans="1:18" s="14" customFormat="1" x14ac:dyDescent="0.25">
      <c r="A1698" s="14" t="str">
        <f>"96041"</f>
        <v>96041</v>
      </c>
      <c r="B1698" s="14" t="str">
        <f>"03050"</f>
        <v>03050</v>
      </c>
      <c r="C1698" s="14" t="str">
        <f>"2100"</f>
        <v>2100</v>
      </c>
      <c r="D1698" s="14" t="str">
        <f>""</f>
        <v/>
      </c>
      <c r="E1698" s="14" t="s">
        <v>1841</v>
      </c>
      <c r="F1698" s="14" t="s">
        <v>225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226</v>
      </c>
      <c r="L1698" s="14" t="s">
        <v>227</v>
      </c>
      <c r="P1698" s="14" t="s">
        <v>239</v>
      </c>
      <c r="Q1698" s="14" t="s">
        <v>239</v>
      </c>
      <c r="R1698" s="14" t="s">
        <v>229</v>
      </c>
    </row>
    <row r="1699" spans="1:18" s="14" customFormat="1" x14ac:dyDescent="0.25">
      <c r="A1699" s="14" t="str">
        <f>"96042"</f>
        <v>96042</v>
      </c>
      <c r="B1699" s="14" t="str">
        <f>"03050"</f>
        <v>03050</v>
      </c>
      <c r="C1699" s="14" t="str">
        <f>"2100"</f>
        <v>2100</v>
      </c>
      <c r="D1699" s="14" t="str">
        <f>""</f>
        <v/>
      </c>
      <c r="E1699" s="14" t="s">
        <v>1842</v>
      </c>
      <c r="F1699" s="14" t="s">
        <v>225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226</v>
      </c>
      <c r="L1699" s="14" t="s">
        <v>227</v>
      </c>
      <c r="P1699" s="14" t="s">
        <v>239</v>
      </c>
      <c r="Q1699" s="14" t="s">
        <v>239</v>
      </c>
      <c r="R1699" s="14" t="s">
        <v>229</v>
      </c>
    </row>
    <row r="1700" spans="1:18" s="14" customFormat="1" x14ac:dyDescent="0.25">
      <c r="A1700" s="14" t="str">
        <f>"96043"</f>
        <v>96043</v>
      </c>
      <c r="B1700" s="14" t="str">
        <f>"03050"</f>
        <v>03050</v>
      </c>
      <c r="C1700" s="14" t="str">
        <f>"2100"</f>
        <v>2100</v>
      </c>
      <c r="D1700" s="14" t="str">
        <f>""</f>
        <v/>
      </c>
      <c r="E1700" s="14" t="s">
        <v>1843</v>
      </c>
      <c r="F1700" s="14" t="s">
        <v>225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226</v>
      </c>
      <c r="L1700" s="14" t="s">
        <v>227</v>
      </c>
      <c r="P1700" s="14" t="s">
        <v>239</v>
      </c>
      <c r="Q1700" s="14" t="s">
        <v>239</v>
      </c>
      <c r="R1700" s="14" t="s">
        <v>229</v>
      </c>
    </row>
    <row r="1701" spans="1:18" s="14" customFormat="1" x14ac:dyDescent="0.25">
      <c r="A1701" s="14" t="str">
        <f>"96045"</f>
        <v>96045</v>
      </c>
      <c r="B1701" s="14" t="str">
        <f>"03050"</f>
        <v>03050</v>
      </c>
      <c r="C1701" s="14" t="str">
        <f>"2100"</f>
        <v>2100</v>
      </c>
      <c r="D1701" s="14" t="str">
        <f>""</f>
        <v/>
      </c>
      <c r="E1701" s="14" t="s">
        <v>1844</v>
      </c>
      <c r="F1701" s="14" t="s">
        <v>225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226</v>
      </c>
      <c r="L1701" s="14" t="s">
        <v>227</v>
      </c>
      <c r="P1701" s="14" t="s">
        <v>239</v>
      </c>
      <c r="Q1701" s="14" t="s">
        <v>239</v>
      </c>
      <c r="R1701" s="14" t="s">
        <v>229</v>
      </c>
    </row>
    <row r="1702" spans="1:18" s="14" customFormat="1" x14ac:dyDescent="0.25">
      <c r="A1702" s="14" t="str">
        <f>"96046"</f>
        <v>96046</v>
      </c>
      <c r="B1702" s="14" t="str">
        <f>"03050"</f>
        <v>03050</v>
      </c>
      <c r="C1702" s="14" t="str">
        <f>"2100"</f>
        <v>2100</v>
      </c>
      <c r="D1702" s="14" t="str">
        <f>""</f>
        <v/>
      </c>
      <c r="E1702" s="14" t="s">
        <v>1845</v>
      </c>
      <c r="F1702" s="14" t="s">
        <v>225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226</v>
      </c>
      <c r="L1702" s="14" t="s">
        <v>227</v>
      </c>
      <c r="P1702" s="14" t="s">
        <v>239</v>
      </c>
      <c r="Q1702" s="14" t="s">
        <v>239</v>
      </c>
      <c r="R1702" s="14" t="s">
        <v>229</v>
      </c>
    </row>
    <row r="1703" spans="1:18" s="14" customFormat="1" x14ac:dyDescent="0.25">
      <c r="A1703" s="14" t="str">
        <f>"96115"</f>
        <v>96115</v>
      </c>
      <c r="B1703" s="14" t="str">
        <f>"03050"</f>
        <v>03050</v>
      </c>
      <c r="C1703" s="14" t="str">
        <f>"2100"</f>
        <v>2100</v>
      </c>
      <c r="D1703" s="14" t="str">
        <f>""</f>
        <v/>
      </c>
      <c r="E1703" s="14" t="s">
        <v>1846</v>
      </c>
      <c r="F1703" s="14" t="s">
        <v>225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226</v>
      </c>
      <c r="L1703" s="14" t="s">
        <v>227</v>
      </c>
      <c r="P1703" s="14" t="s">
        <v>239</v>
      </c>
      <c r="Q1703" s="14" t="s">
        <v>239</v>
      </c>
      <c r="R1703" s="14" t="s">
        <v>229</v>
      </c>
    </row>
    <row r="1704" spans="1:18" s="14" customFormat="1" x14ac:dyDescent="0.25">
      <c r="A1704" s="14" t="str">
        <f>"96225"</f>
        <v>96225</v>
      </c>
      <c r="B1704" s="14" t="str">
        <f>"03050"</f>
        <v>03050</v>
      </c>
      <c r="C1704" s="14" t="str">
        <f>"2100"</f>
        <v>2100</v>
      </c>
      <c r="D1704" s="14" t="str">
        <f>""</f>
        <v/>
      </c>
      <c r="E1704" s="14" t="s">
        <v>1847</v>
      </c>
      <c r="F1704" s="14" t="s">
        <v>225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226</v>
      </c>
      <c r="L1704" s="14" t="s">
        <v>227</v>
      </c>
      <c r="P1704" s="14" t="s">
        <v>239</v>
      </c>
      <c r="Q1704" s="14" t="s">
        <v>239</v>
      </c>
      <c r="R1704" s="14" t="s">
        <v>229</v>
      </c>
    </row>
    <row r="1705" spans="1:18" s="14" customFormat="1" x14ac:dyDescent="0.25">
      <c r="A1705" s="14" t="str">
        <f>"10001"</f>
        <v>10001</v>
      </c>
      <c r="B1705" s="14" t="str">
        <f>"03170"</f>
        <v>03170</v>
      </c>
      <c r="C1705" s="14" t="str">
        <f>"1400"</f>
        <v>1400</v>
      </c>
      <c r="D1705" s="14" t="str">
        <f>"03170"</f>
        <v>03170</v>
      </c>
      <c r="E1705" s="14" t="s">
        <v>20</v>
      </c>
      <c r="F1705" s="14" t="s">
        <v>251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252</v>
      </c>
      <c r="L1705" s="14" t="s">
        <v>253</v>
      </c>
      <c r="P1705" s="14" t="s">
        <v>31</v>
      </c>
      <c r="Q1705" s="14" t="s">
        <v>25</v>
      </c>
      <c r="R1705" s="14" t="s">
        <v>254</v>
      </c>
    </row>
    <row r="1706" spans="1:18" s="14" customFormat="1" x14ac:dyDescent="0.25">
      <c r="A1706" s="14" t="str">
        <f>"10001"</f>
        <v>10001</v>
      </c>
      <c r="B1706" s="14" t="str">
        <f>"03180"</f>
        <v>03180</v>
      </c>
      <c r="C1706" s="14" t="str">
        <f>"1300"</f>
        <v>1300</v>
      </c>
      <c r="D1706" s="14" t="str">
        <f>"03180"</f>
        <v>03180</v>
      </c>
      <c r="E1706" s="14" t="s">
        <v>20</v>
      </c>
      <c r="F1706" s="14" t="s">
        <v>255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252</v>
      </c>
      <c r="L1706" s="14" t="s">
        <v>253</v>
      </c>
      <c r="M1706" s="14" t="s">
        <v>256</v>
      </c>
      <c r="P1706" s="14" t="s">
        <v>31</v>
      </c>
      <c r="Q1706" s="14" t="s">
        <v>25</v>
      </c>
      <c r="R1706" s="14" t="s">
        <v>254</v>
      </c>
    </row>
    <row r="1707" spans="1:18" s="14" customFormat="1" x14ac:dyDescent="0.25">
      <c r="A1707" s="14" t="str">
        <f>"10001"</f>
        <v>10001</v>
      </c>
      <c r="B1707" s="14" t="str">
        <f>"03775"</f>
        <v>03775</v>
      </c>
      <c r="C1707" s="14" t="str">
        <f>"1300"</f>
        <v>1300</v>
      </c>
      <c r="D1707" s="14" t="str">
        <f>"03775"</f>
        <v>03775</v>
      </c>
      <c r="E1707" s="14" t="s">
        <v>20</v>
      </c>
      <c r="F1707" s="14" t="s">
        <v>307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252</v>
      </c>
      <c r="L1707" s="14" t="s">
        <v>253</v>
      </c>
      <c r="M1707" s="14" t="s">
        <v>256</v>
      </c>
      <c r="P1707" s="14" t="s">
        <v>260</v>
      </c>
      <c r="Q1707" s="14" t="s">
        <v>25</v>
      </c>
      <c r="R1707" s="14" t="s">
        <v>253</v>
      </c>
    </row>
    <row r="1708" spans="1:18" s="14" customFormat="1" x14ac:dyDescent="0.25">
      <c r="A1708" s="14" t="str">
        <f>"11004"</f>
        <v>11004</v>
      </c>
      <c r="B1708" s="14" t="str">
        <f>"03775"</f>
        <v>03775</v>
      </c>
      <c r="C1708" s="14" t="str">
        <f>"1300"</f>
        <v>1300</v>
      </c>
      <c r="D1708" s="14" t="str">
        <f>""</f>
        <v/>
      </c>
      <c r="E1708" s="14" t="s">
        <v>438</v>
      </c>
      <c r="F1708" s="14" t="s">
        <v>307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252</v>
      </c>
      <c r="L1708" s="14" t="s">
        <v>253</v>
      </c>
      <c r="P1708" s="14" t="s">
        <v>25</v>
      </c>
      <c r="Q1708" s="14" t="s">
        <v>25</v>
      </c>
      <c r="R1708" s="14" t="s">
        <v>253</v>
      </c>
    </row>
    <row r="1709" spans="1:18" s="14" customFormat="1" x14ac:dyDescent="0.25">
      <c r="A1709" s="14" t="str">
        <f>"18039"</f>
        <v>18039</v>
      </c>
      <c r="B1709" s="14" t="str">
        <f>"03170"</f>
        <v>03170</v>
      </c>
      <c r="C1709" s="14" t="str">
        <f>"1400"</f>
        <v>1400</v>
      </c>
      <c r="D1709" s="14" t="str">
        <f>"18039"</f>
        <v>18039</v>
      </c>
      <c r="E1709" s="14" t="s">
        <v>608</v>
      </c>
      <c r="F1709" s="14" t="s">
        <v>251</v>
      </c>
      <c r="G1709" s="14" t="str">
        <f>""</f>
        <v/>
      </c>
      <c r="H1709" s="14" t="str">
        <f>" 00"</f>
        <v xml:space="preserve"> 00</v>
      </c>
      <c r="I1709" s="14">
        <v>0.01</v>
      </c>
      <c r="J1709" s="14">
        <v>9999999.9900000002</v>
      </c>
      <c r="K1709" s="14" t="s">
        <v>252</v>
      </c>
      <c r="L1709" s="14" t="s">
        <v>253</v>
      </c>
      <c r="P1709" s="14" t="s">
        <v>31</v>
      </c>
      <c r="Q1709" s="14" t="s">
        <v>25</v>
      </c>
      <c r="R1709" s="14" t="s">
        <v>254</v>
      </c>
    </row>
    <row r="1710" spans="1:18" s="14" customFormat="1" x14ac:dyDescent="0.25">
      <c r="A1710" s="14" t="str">
        <f>"18042"</f>
        <v>18042</v>
      </c>
      <c r="B1710" s="14" t="str">
        <f>"03170"</f>
        <v>03170</v>
      </c>
      <c r="C1710" s="14" t="str">
        <f>"1400"</f>
        <v>1400</v>
      </c>
      <c r="D1710" s="14" t="str">
        <f>"18042"</f>
        <v>18042</v>
      </c>
      <c r="E1710" s="14" t="s">
        <v>610</v>
      </c>
      <c r="F1710" s="14" t="s">
        <v>251</v>
      </c>
      <c r="G1710" s="14" t="str">
        <f>""</f>
        <v/>
      </c>
      <c r="H1710" s="14" t="str">
        <f>" 00"</f>
        <v xml:space="preserve"> 00</v>
      </c>
      <c r="I1710" s="14">
        <v>0.01</v>
      </c>
      <c r="J1710" s="14">
        <v>9999999.9900000002</v>
      </c>
      <c r="K1710" s="14" t="s">
        <v>252</v>
      </c>
      <c r="L1710" s="14" t="s">
        <v>253</v>
      </c>
      <c r="P1710" s="14" t="s">
        <v>31</v>
      </c>
      <c r="Q1710" s="14" t="s">
        <v>25</v>
      </c>
      <c r="R1710" s="14" t="s">
        <v>254</v>
      </c>
    </row>
    <row r="1711" spans="1:18" s="14" customFormat="1" x14ac:dyDescent="0.25">
      <c r="A1711" s="14" t="str">
        <f>"31049"</f>
        <v>31049</v>
      </c>
      <c r="B1711" s="14" t="str">
        <f>"03170"</f>
        <v>03170</v>
      </c>
      <c r="C1711" s="14" t="str">
        <f>"1921"</f>
        <v>1921</v>
      </c>
      <c r="D1711" s="14" t="str">
        <f>"31049"</f>
        <v>31049</v>
      </c>
      <c r="E1711" s="14" t="s">
        <v>964</v>
      </c>
      <c r="F1711" s="14" t="s">
        <v>251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252</v>
      </c>
      <c r="L1711" s="14" t="s">
        <v>253</v>
      </c>
      <c r="P1711" s="14" t="s">
        <v>31</v>
      </c>
      <c r="Q1711" s="14" t="s">
        <v>25</v>
      </c>
      <c r="R1711" s="14" t="s">
        <v>254</v>
      </c>
    </row>
    <row r="1712" spans="1:18" s="14" customFormat="1" x14ac:dyDescent="0.25">
      <c r="A1712" s="14" t="str">
        <f>"91390"</f>
        <v>91390</v>
      </c>
      <c r="B1712" s="14" t="str">
        <f>"03170"</f>
        <v>03170</v>
      </c>
      <c r="C1712" s="14" t="str">
        <f>"1921"</f>
        <v>1921</v>
      </c>
      <c r="D1712" s="14" t="str">
        <f>"91390"</f>
        <v>91390</v>
      </c>
      <c r="E1712" s="14" t="s">
        <v>1816</v>
      </c>
      <c r="F1712" s="14" t="s">
        <v>251</v>
      </c>
      <c r="G1712" s="14" t="str">
        <f>"GN0091390"</f>
        <v>GN0091390</v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252</v>
      </c>
      <c r="L1712" s="14" t="s">
        <v>253</v>
      </c>
      <c r="O1712" s="14" t="s">
        <v>252</v>
      </c>
      <c r="P1712" s="14" t="s">
        <v>239</v>
      </c>
      <c r="Q1712" s="14" t="s">
        <v>239</v>
      </c>
      <c r="R1712" s="14" t="s">
        <v>254</v>
      </c>
    </row>
    <row r="1713" spans="1:18" s="14" customFormat="1" x14ac:dyDescent="0.25">
      <c r="A1713" s="14" t="str">
        <f>"10001"</f>
        <v>10001</v>
      </c>
      <c r="B1713" s="14" t="str">
        <f>"05120"</f>
        <v>05120</v>
      </c>
      <c r="C1713" s="14" t="str">
        <f>"1700"</f>
        <v>1700</v>
      </c>
      <c r="D1713" s="14" t="str">
        <f>"05120"</f>
        <v>05120</v>
      </c>
      <c r="E1713" s="14" t="s">
        <v>20</v>
      </c>
      <c r="F1713" s="14" t="s">
        <v>397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395</v>
      </c>
      <c r="L1713" s="14" t="s">
        <v>398</v>
      </c>
      <c r="M1713" s="14" t="s">
        <v>90</v>
      </c>
      <c r="P1713" s="14" t="s">
        <v>31</v>
      </c>
      <c r="Q1713" s="14" t="s">
        <v>25</v>
      </c>
      <c r="R1713" s="14" t="s">
        <v>399</v>
      </c>
    </row>
    <row r="1714" spans="1:18" s="14" customFormat="1" x14ac:dyDescent="0.25">
      <c r="A1714" s="14" t="str">
        <f>"85117"</f>
        <v>85117</v>
      </c>
      <c r="B1714" s="14" t="str">
        <f>"07030"</f>
        <v>07030</v>
      </c>
      <c r="C1714" s="14" t="str">
        <f>"8000"</f>
        <v>8000</v>
      </c>
      <c r="D1714" s="14" t="str">
        <f>"85117"</f>
        <v>85117</v>
      </c>
      <c r="E1714" s="14" t="s">
        <v>1789</v>
      </c>
      <c r="F1714" s="14" t="s">
        <v>1776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395</v>
      </c>
      <c r="P1714" s="14" t="s">
        <v>31</v>
      </c>
      <c r="Q1714" s="14" t="s">
        <v>260</v>
      </c>
      <c r="R1714" s="14" t="s">
        <v>399</v>
      </c>
    </row>
    <row r="1715" spans="1:18" s="14" customFormat="1" x14ac:dyDescent="0.25">
      <c r="A1715" s="14" t="str">
        <f>"84110"</f>
        <v>84110</v>
      </c>
      <c r="B1715" s="14" t="str">
        <f>"07020"</f>
        <v>07020</v>
      </c>
      <c r="C1715" s="14" t="str">
        <f>"1700"</f>
        <v>1700</v>
      </c>
      <c r="D1715" s="14" t="str">
        <f>"84110"</f>
        <v>84110</v>
      </c>
      <c r="E1715" s="14" t="s">
        <v>1648</v>
      </c>
      <c r="F1715" s="14" t="s">
        <v>1532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1649</v>
      </c>
      <c r="L1715" s="14" t="s">
        <v>1650</v>
      </c>
      <c r="P1715" s="14" t="s">
        <v>31</v>
      </c>
      <c r="Q1715" s="14" t="s">
        <v>31</v>
      </c>
      <c r="R1715" s="14" t="s">
        <v>1649</v>
      </c>
    </row>
    <row r="1716" spans="1:18" s="14" customFormat="1" x14ac:dyDescent="0.25">
      <c r="A1716" s="14" t="str">
        <f>"84145"</f>
        <v>84145</v>
      </c>
      <c r="B1716" s="14" t="str">
        <f>"07020"</f>
        <v>07020</v>
      </c>
      <c r="C1716" s="14" t="str">
        <f>"1700"</f>
        <v>1700</v>
      </c>
      <c r="D1716" s="14" t="str">
        <f>"84145"</f>
        <v>84145</v>
      </c>
      <c r="E1716" s="14" t="s">
        <v>1670</v>
      </c>
      <c r="F1716" s="14" t="s">
        <v>1532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1649</v>
      </c>
      <c r="L1716" s="14" t="s">
        <v>1650</v>
      </c>
      <c r="P1716" s="14" t="s">
        <v>31</v>
      </c>
      <c r="Q1716" s="14" t="s">
        <v>31</v>
      </c>
      <c r="R1716" s="14" t="s">
        <v>1649</v>
      </c>
    </row>
    <row r="1717" spans="1:18" s="14" customFormat="1" x14ac:dyDescent="0.25">
      <c r="A1717" s="14" t="str">
        <f>"10001"</f>
        <v>10001</v>
      </c>
      <c r="B1717" s="14" t="str">
        <f>"03090"</f>
        <v>03090</v>
      </c>
      <c r="C1717" s="14" t="str">
        <f>"1400"</f>
        <v>1400</v>
      </c>
      <c r="D1717" s="14" t="str">
        <f>"03090"</f>
        <v>03090</v>
      </c>
      <c r="E1717" s="14" t="s">
        <v>20</v>
      </c>
      <c r="F1717" s="14" t="s">
        <v>230</v>
      </c>
      <c r="G1717" s="14" t="str">
        <f>""</f>
        <v/>
      </c>
      <c r="H1717" s="14" t="str">
        <f>" 00"</f>
        <v xml:space="preserve"> 00</v>
      </c>
      <c r="I1717" s="14">
        <v>0.01</v>
      </c>
      <c r="J1717" s="14">
        <v>9999999.9900000002</v>
      </c>
      <c r="K1717" s="14" t="s">
        <v>231</v>
      </c>
      <c r="L1717" s="14" t="s">
        <v>232</v>
      </c>
      <c r="M1717" s="14" t="s">
        <v>233</v>
      </c>
      <c r="P1717" s="14" t="s">
        <v>31</v>
      </c>
      <c r="Q1717" s="14" t="s">
        <v>25</v>
      </c>
      <c r="R1717" s="14" t="s">
        <v>234</v>
      </c>
    </row>
    <row r="1718" spans="1:18" s="14" customFormat="1" x14ac:dyDescent="0.25">
      <c r="A1718" s="14" t="str">
        <f>"84196"</f>
        <v>84196</v>
      </c>
      <c r="B1718" s="14" t="str">
        <f>"07020"</f>
        <v>07020</v>
      </c>
      <c r="C1718" s="14" t="str">
        <f>"1700"</f>
        <v>1700</v>
      </c>
      <c r="D1718" s="14" t="str">
        <f>"84196"</f>
        <v>84196</v>
      </c>
      <c r="E1718" s="14" t="s">
        <v>1701</v>
      </c>
      <c r="F1718" s="14" t="s">
        <v>1532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1702</v>
      </c>
      <c r="L1718" s="14" t="s">
        <v>757</v>
      </c>
      <c r="P1718" s="14" t="s">
        <v>31</v>
      </c>
      <c r="Q1718" s="14" t="s">
        <v>31</v>
      </c>
      <c r="R1718" s="14" t="s">
        <v>1702</v>
      </c>
    </row>
    <row r="1719" spans="1:18" s="14" customFormat="1" x14ac:dyDescent="0.25">
      <c r="A1719" s="14" t="str">
        <f>"84254"</f>
        <v>84254</v>
      </c>
      <c r="B1719" s="14" t="str">
        <f>"07020"</f>
        <v>07020</v>
      </c>
      <c r="C1719" s="14" t="str">
        <f>"1700"</f>
        <v>1700</v>
      </c>
      <c r="D1719" s="14" t="str">
        <f>"84254"</f>
        <v>84254</v>
      </c>
      <c r="E1719" s="14" t="s">
        <v>1772</v>
      </c>
      <c r="F1719" s="14" t="s">
        <v>1532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1773</v>
      </c>
      <c r="L1719" s="14" t="s">
        <v>1553</v>
      </c>
      <c r="M1719" s="14" t="s">
        <v>72</v>
      </c>
      <c r="P1719" s="14" t="s">
        <v>31</v>
      </c>
      <c r="Q1719" s="14" t="s">
        <v>31</v>
      </c>
      <c r="R1719" s="14" t="s">
        <v>1773</v>
      </c>
    </row>
    <row r="1720" spans="1:18" s="14" customFormat="1" x14ac:dyDescent="0.25">
      <c r="A1720" s="14" t="str">
        <f>"10001"</f>
        <v>10001</v>
      </c>
      <c r="B1720" s="14" t="str">
        <f>"05115"</f>
        <v>05115</v>
      </c>
      <c r="C1720" s="14" t="str">
        <f>"1700"</f>
        <v>1700</v>
      </c>
      <c r="D1720" s="14" t="str">
        <f>"05115"</f>
        <v>05115</v>
      </c>
      <c r="E1720" s="14" t="s">
        <v>20</v>
      </c>
      <c r="F1720" s="14" t="s">
        <v>393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394</v>
      </c>
      <c r="L1720" s="14" t="s">
        <v>395</v>
      </c>
      <c r="M1720" s="14" t="s">
        <v>396</v>
      </c>
      <c r="N1720" s="14" t="s">
        <v>90</v>
      </c>
      <c r="P1720" s="14" t="s">
        <v>31</v>
      </c>
      <c r="Q1720" s="14" t="s">
        <v>25</v>
      </c>
      <c r="R1720" s="14" t="s">
        <v>394</v>
      </c>
    </row>
    <row r="1721" spans="1:18" s="14" customFormat="1" x14ac:dyDescent="0.25">
      <c r="A1721" s="14" t="str">
        <f>"16010"</f>
        <v>16010</v>
      </c>
      <c r="B1721" s="14" t="str">
        <f>"05115"</f>
        <v>05115</v>
      </c>
      <c r="C1721" s="14" t="str">
        <f>"1700"</f>
        <v>1700</v>
      </c>
      <c r="D1721" s="14" t="str">
        <f>"16010"</f>
        <v>16010</v>
      </c>
      <c r="E1721" s="14" t="s">
        <v>529</v>
      </c>
      <c r="F1721" s="14" t="s">
        <v>393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394</v>
      </c>
      <c r="L1721" s="14" t="s">
        <v>395</v>
      </c>
      <c r="M1721" s="14" t="s">
        <v>396</v>
      </c>
      <c r="N1721" s="14" t="s">
        <v>90</v>
      </c>
      <c r="P1721" s="14" t="s">
        <v>31</v>
      </c>
      <c r="Q1721" s="14" t="s">
        <v>25</v>
      </c>
      <c r="R1721" s="14" t="s">
        <v>394</v>
      </c>
    </row>
    <row r="1722" spans="1:18" s="14" customFormat="1" x14ac:dyDescent="0.25">
      <c r="A1722" s="14" t="str">
        <f>"16017"</f>
        <v>16017</v>
      </c>
      <c r="B1722" s="14" t="str">
        <f>"05115"</f>
        <v>05115</v>
      </c>
      <c r="C1722" s="14" t="str">
        <f>"1700"</f>
        <v>1700</v>
      </c>
      <c r="D1722" s="14" t="str">
        <f>"16017"</f>
        <v>16017</v>
      </c>
      <c r="E1722" s="14" t="s">
        <v>537</v>
      </c>
      <c r="F1722" s="14" t="s">
        <v>393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394</v>
      </c>
      <c r="L1722" s="14" t="s">
        <v>395</v>
      </c>
      <c r="M1722" s="14" t="s">
        <v>396</v>
      </c>
      <c r="N1722" s="14" t="s">
        <v>90</v>
      </c>
      <c r="P1722" s="14" t="s">
        <v>31</v>
      </c>
      <c r="Q1722" s="14" t="s">
        <v>25</v>
      </c>
      <c r="R1722" s="14" t="s">
        <v>394</v>
      </c>
    </row>
    <row r="1723" spans="1:18" s="14" customFormat="1" x14ac:dyDescent="0.25">
      <c r="A1723" s="14" t="str">
        <f>"18048"</f>
        <v>18048</v>
      </c>
      <c r="B1723" s="14" t="str">
        <f>"05115"</f>
        <v>05115</v>
      </c>
      <c r="C1723" s="14" t="str">
        <f>"1700"</f>
        <v>1700</v>
      </c>
      <c r="D1723" s="14" t="str">
        <f>"18048"</f>
        <v>18048</v>
      </c>
      <c r="E1723" s="14" t="s">
        <v>613</v>
      </c>
      <c r="F1723" s="14" t="s">
        <v>393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394</v>
      </c>
      <c r="L1723" s="14" t="s">
        <v>395</v>
      </c>
      <c r="M1723" s="14" t="s">
        <v>396</v>
      </c>
      <c r="N1723" s="14" t="s">
        <v>90</v>
      </c>
      <c r="P1723" s="14" t="s">
        <v>31</v>
      </c>
      <c r="Q1723" s="14" t="s">
        <v>25</v>
      </c>
      <c r="R1723" s="14" t="s">
        <v>394</v>
      </c>
    </row>
    <row r="1724" spans="1:18" s="14" customFormat="1" x14ac:dyDescent="0.25">
      <c r="A1724" s="14" t="str">
        <f>"84080"</f>
        <v>84080</v>
      </c>
      <c r="B1724" s="14" t="str">
        <f>"07020"</f>
        <v>07020</v>
      </c>
      <c r="C1724" s="14" t="str">
        <f>"1700"</f>
        <v>1700</v>
      </c>
      <c r="D1724" s="14" t="str">
        <f>"84080"</f>
        <v>84080</v>
      </c>
      <c r="E1724" s="14" t="s">
        <v>1618</v>
      </c>
      <c r="F1724" s="14" t="s">
        <v>1532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1619</v>
      </c>
      <c r="L1724" s="14" t="s">
        <v>862</v>
      </c>
      <c r="M1724" s="14" t="s">
        <v>72</v>
      </c>
      <c r="P1724" s="14" t="s">
        <v>31</v>
      </c>
      <c r="Q1724" s="14" t="s">
        <v>31</v>
      </c>
      <c r="R1724" s="14" t="s">
        <v>1619</v>
      </c>
    </row>
    <row r="1725" spans="1:18" s="14" customFormat="1" x14ac:dyDescent="0.25">
      <c r="A1725" s="14" t="str">
        <f>"84148"</f>
        <v>84148</v>
      </c>
      <c r="B1725" s="14" t="str">
        <f>"07020"</f>
        <v>07020</v>
      </c>
      <c r="C1725" s="14" t="str">
        <f>"1700"</f>
        <v>1700</v>
      </c>
      <c r="D1725" s="14" t="str">
        <f>"84148"</f>
        <v>84148</v>
      </c>
      <c r="E1725" s="14" t="s">
        <v>1672</v>
      </c>
      <c r="F1725" s="14" t="s">
        <v>1532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1619</v>
      </c>
      <c r="L1725" s="14" t="s">
        <v>862</v>
      </c>
      <c r="M1725" s="14" t="s">
        <v>72</v>
      </c>
      <c r="P1725" s="14" t="s">
        <v>31</v>
      </c>
      <c r="Q1725" s="14" t="s">
        <v>31</v>
      </c>
      <c r="R1725" s="14" t="s">
        <v>1619</v>
      </c>
    </row>
    <row r="1726" spans="1:18" s="14" customFormat="1" x14ac:dyDescent="0.25">
      <c r="A1726" s="14" t="str">
        <f>"84231"</f>
        <v>84231</v>
      </c>
      <c r="B1726" s="14" t="str">
        <f>"07020"</f>
        <v>07020</v>
      </c>
      <c r="C1726" s="14" t="str">
        <f>"1700"</f>
        <v>1700</v>
      </c>
      <c r="D1726" s="14" t="str">
        <f>"84231"</f>
        <v>84231</v>
      </c>
      <c r="E1726" s="14" t="s">
        <v>1743</v>
      </c>
      <c r="F1726" s="14" t="s">
        <v>1532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1619</v>
      </c>
      <c r="L1726" s="14" t="s">
        <v>72</v>
      </c>
      <c r="P1726" s="14" t="s">
        <v>31</v>
      </c>
      <c r="Q1726" s="14" t="s">
        <v>31</v>
      </c>
      <c r="R1726" s="14" t="s">
        <v>862</v>
      </c>
    </row>
    <row r="1727" spans="1:18" s="14" customFormat="1" x14ac:dyDescent="0.25">
      <c r="A1727" s="14" t="str">
        <f>"84238"</f>
        <v>84238</v>
      </c>
      <c r="B1727" s="14" t="str">
        <f>"07020"</f>
        <v>07020</v>
      </c>
      <c r="C1727" s="14" t="str">
        <f>"1700"</f>
        <v>1700</v>
      </c>
      <c r="D1727" s="14" t="str">
        <f>"84238"</f>
        <v>84238</v>
      </c>
      <c r="E1727" s="14" t="s">
        <v>1754</v>
      </c>
      <c r="F1727" s="14" t="s">
        <v>1532</v>
      </c>
      <c r="G1727" s="14" t="str">
        <f>""</f>
        <v/>
      </c>
      <c r="H1727" s="14" t="str">
        <f>" 00"</f>
        <v xml:space="preserve"> 00</v>
      </c>
      <c r="I1727" s="14">
        <v>0.01</v>
      </c>
      <c r="J1727" s="14">
        <v>9999999.9900000002</v>
      </c>
      <c r="K1727" s="14" t="s">
        <v>1619</v>
      </c>
      <c r="L1727" s="14" t="s">
        <v>392</v>
      </c>
      <c r="M1727" s="14" t="s">
        <v>72</v>
      </c>
      <c r="P1727" s="14" t="s">
        <v>31</v>
      </c>
      <c r="Q1727" s="14" t="s">
        <v>31</v>
      </c>
      <c r="R1727" s="14" t="s">
        <v>392</v>
      </c>
    </row>
    <row r="1728" spans="1:18" s="14" customFormat="1" x14ac:dyDescent="0.25">
      <c r="A1728" s="14" t="str">
        <f>"10001"</f>
        <v>10001</v>
      </c>
      <c r="B1728" s="14" t="str">
        <f>"01030"</f>
        <v>01030</v>
      </c>
      <c r="C1728" s="14" t="str">
        <f>"1600"</f>
        <v>1600</v>
      </c>
      <c r="D1728" s="14" t="str">
        <f>"01030"</f>
        <v>01030</v>
      </c>
      <c r="E1728" s="14" t="s">
        <v>20</v>
      </c>
      <c r="F1728" s="14" t="s">
        <v>52</v>
      </c>
      <c r="G1728" s="14" t="str">
        <f>""</f>
        <v/>
      </c>
      <c r="H1728" s="14" t="str">
        <f>" 00"</f>
        <v xml:space="preserve"> 00</v>
      </c>
      <c r="I1728" s="14">
        <v>0.01</v>
      </c>
      <c r="J1728" s="14">
        <v>9999999.9900000002</v>
      </c>
      <c r="K1728" s="14" t="s">
        <v>53</v>
      </c>
      <c r="L1728" s="14" t="s">
        <v>54</v>
      </c>
      <c r="M1728" s="14" t="s">
        <v>55</v>
      </c>
      <c r="P1728" s="14" t="s">
        <v>31</v>
      </c>
      <c r="Q1728" s="14" t="s">
        <v>25</v>
      </c>
      <c r="R1728" s="14" t="s">
        <v>54</v>
      </c>
    </row>
    <row r="1729" spans="1:18" s="14" customFormat="1" x14ac:dyDescent="0.25">
      <c r="A1729" s="14" t="str">
        <f>"10001"</f>
        <v>10001</v>
      </c>
      <c r="B1729" s="14" t="str">
        <f>"01035"</f>
        <v>01035</v>
      </c>
      <c r="C1729" s="14" t="str">
        <f>"1600"</f>
        <v>1600</v>
      </c>
      <c r="D1729" s="14" t="str">
        <f>"01035"</f>
        <v>01035</v>
      </c>
      <c r="E1729" s="14" t="s">
        <v>20</v>
      </c>
      <c r="F1729" s="14" t="s">
        <v>56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53</v>
      </c>
      <c r="L1729" s="14" t="s">
        <v>54</v>
      </c>
      <c r="M1729" s="14" t="s">
        <v>55</v>
      </c>
      <c r="P1729" s="14" t="s">
        <v>31</v>
      </c>
      <c r="Q1729" s="14" t="s">
        <v>25</v>
      </c>
      <c r="R1729" s="14" t="s">
        <v>54</v>
      </c>
    </row>
    <row r="1730" spans="1:18" s="14" customFormat="1" x14ac:dyDescent="0.25">
      <c r="A1730" s="14" t="str">
        <f>"10001"</f>
        <v>10001</v>
      </c>
      <c r="B1730" s="14" t="str">
        <f>"01040"</f>
        <v>01040</v>
      </c>
      <c r="C1730" s="14" t="str">
        <f>"1100"</f>
        <v>1100</v>
      </c>
      <c r="D1730" s="14" t="str">
        <f>"01040"</f>
        <v>01040</v>
      </c>
      <c r="E1730" s="14" t="s">
        <v>20</v>
      </c>
      <c r="F1730" s="14" t="s">
        <v>57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53</v>
      </c>
      <c r="L1730" s="14" t="s">
        <v>54</v>
      </c>
      <c r="M1730" s="14" t="s">
        <v>55</v>
      </c>
      <c r="N1730" s="14" t="s">
        <v>58</v>
      </c>
      <c r="P1730" s="14" t="s">
        <v>31</v>
      </c>
      <c r="Q1730" s="14" t="s">
        <v>25</v>
      </c>
      <c r="R1730" s="14" t="s">
        <v>58</v>
      </c>
    </row>
    <row r="1731" spans="1:18" s="14" customFormat="1" x14ac:dyDescent="0.25">
      <c r="A1731" s="14" t="str">
        <f>"10001"</f>
        <v>10001</v>
      </c>
      <c r="B1731" s="14" t="str">
        <f>"01047"</f>
        <v>01047</v>
      </c>
      <c r="C1731" s="14" t="str">
        <f>"1700"</f>
        <v>1700</v>
      </c>
      <c r="D1731" s="14" t="str">
        <f>"01047"</f>
        <v>01047</v>
      </c>
      <c r="E1731" s="14" t="s">
        <v>20</v>
      </c>
      <c r="F1731" s="14" t="s">
        <v>59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53</v>
      </c>
      <c r="L1731" s="14" t="s">
        <v>54</v>
      </c>
      <c r="M1731" s="14" t="s">
        <v>55</v>
      </c>
      <c r="P1731" s="14" t="s">
        <v>31</v>
      </c>
      <c r="Q1731" s="14" t="s">
        <v>25</v>
      </c>
      <c r="R1731" s="14" t="s">
        <v>60</v>
      </c>
    </row>
    <row r="1732" spans="1:18" s="14" customFormat="1" x14ac:dyDescent="0.25">
      <c r="A1732" s="14" t="str">
        <f>"10001"</f>
        <v>10001</v>
      </c>
      <c r="B1732" s="14" t="str">
        <f>"01090"</f>
        <v>01090</v>
      </c>
      <c r="C1732" s="14" t="str">
        <f>"1100"</f>
        <v>1100</v>
      </c>
      <c r="D1732" s="14" t="str">
        <f>"01090"</f>
        <v>01090</v>
      </c>
      <c r="E1732" s="14" t="s">
        <v>20</v>
      </c>
      <c r="F1732" s="14" t="s">
        <v>62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53</v>
      </c>
      <c r="L1732" s="14" t="s">
        <v>54</v>
      </c>
      <c r="M1732" s="14" t="s">
        <v>55</v>
      </c>
      <c r="P1732" s="14" t="s">
        <v>31</v>
      </c>
      <c r="Q1732" s="14" t="s">
        <v>25</v>
      </c>
      <c r="R1732" s="14" t="s">
        <v>54</v>
      </c>
    </row>
    <row r="1733" spans="1:18" s="14" customFormat="1" x14ac:dyDescent="0.25">
      <c r="A1733" s="14" t="str">
        <f>"10001"</f>
        <v>10001</v>
      </c>
      <c r="B1733" s="14" t="str">
        <f>"01190"</f>
        <v>01190</v>
      </c>
      <c r="C1733" s="14" t="str">
        <f>"1700"</f>
        <v>1700</v>
      </c>
      <c r="D1733" s="14" t="str">
        <f>"01190"</f>
        <v>01190</v>
      </c>
      <c r="E1733" s="14" t="s">
        <v>20</v>
      </c>
      <c r="F1733" s="14" t="s">
        <v>67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53</v>
      </c>
      <c r="L1733" s="14" t="s">
        <v>54</v>
      </c>
      <c r="M1733" s="14" t="s">
        <v>55</v>
      </c>
      <c r="P1733" s="14" t="s">
        <v>31</v>
      </c>
      <c r="Q1733" s="14" t="s">
        <v>25</v>
      </c>
      <c r="R1733" s="14" t="s">
        <v>54</v>
      </c>
    </row>
    <row r="1734" spans="1:18" s="14" customFormat="1" x14ac:dyDescent="0.25">
      <c r="A1734" s="14" t="str">
        <f>"11041"</f>
        <v>11041</v>
      </c>
      <c r="B1734" s="14" t="str">
        <f>"01040"</f>
        <v>01040</v>
      </c>
      <c r="C1734" s="14" t="str">
        <f>"1100"</f>
        <v>1100</v>
      </c>
      <c r="D1734" s="14" t="str">
        <f>""</f>
        <v/>
      </c>
      <c r="E1734" s="14" t="s">
        <v>475</v>
      </c>
      <c r="F1734" s="14" t="s">
        <v>57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53</v>
      </c>
      <c r="L1734" s="14" t="s">
        <v>58</v>
      </c>
      <c r="M1734" s="14" t="s">
        <v>55</v>
      </c>
      <c r="P1734" s="14" t="s">
        <v>25</v>
      </c>
      <c r="Q1734" s="14" t="s">
        <v>25</v>
      </c>
      <c r="R1734" s="14" t="s">
        <v>58</v>
      </c>
    </row>
    <row r="1735" spans="1:18" s="14" customFormat="1" x14ac:dyDescent="0.25">
      <c r="A1735" s="14" t="str">
        <f>"18004"</f>
        <v>18004</v>
      </c>
      <c r="B1735" s="14" t="str">
        <f>"01090"</f>
        <v>01090</v>
      </c>
      <c r="C1735" s="14" t="str">
        <f>"1600"</f>
        <v>1600</v>
      </c>
      <c r="D1735" s="14" t="str">
        <f>"18004"</f>
        <v>18004</v>
      </c>
      <c r="E1735" s="14" t="s">
        <v>587</v>
      </c>
      <c r="F1735" s="14" t="s">
        <v>62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53</v>
      </c>
      <c r="L1735" s="14" t="s">
        <v>54</v>
      </c>
      <c r="M1735" s="14" t="s">
        <v>55</v>
      </c>
      <c r="P1735" s="14" t="s">
        <v>31</v>
      </c>
      <c r="Q1735" s="14" t="s">
        <v>25</v>
      </c>
      <c r="R1735" s="14" t="s">
        <v>54</v>
      </c>
    </row>
    <row r="1736" spans="1:18" s="14" customFormat="1" x14ac:dyDescent="0.25">
      <c r="A1736" s="14" t="str">
        <f>"18007"</f>
        <v>18007</v>
      </c>
      <c r="B1736" s="14" t="str">
        <f>"01090"</f>
        <v>01090</v>
      </c>
      <c r="C1736" s="14" t="str">
        <f>"1100"</f>
        <v>1100</v>
      </c>
      <c r="D1736" s="14" t="str">
        <f>"18007"</f>
        <v>18007</v>
      </c>
      <c r="E1736" s="14" t="s">
        <v>592</v>
      </c>
      <c r="F1736" s="14" t="s">
        <v>62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53</v>
      </c>
      <c r="L1736" s="14" t="s">
        <v>54</v>
      </c>
      <c r="M1736" s="14" t="s">
        <v>55</v>
      </c>
      <c r="P1736" s="14" t="s">
        <v>31</v>
      </c>
      <c r="Q1736" s="14" t="s">
        <v>25</v>
      </c>
      <c r="R1736" s="14" t="s">
        <v>54</v>
      </c>
    </row>
    <row r="1737" spans="1:18" s="14" customFormat="1" x14ac:dyDescent="0.25">
      <c r="A1737" s="14" t="str">
        <f>"18008"</f>
        <v>18008</v>
      </c>
      <c r="B1737" s="14" t="str">
        <f>"01090"</f>
        <v>01090</v>
      </c>
      <c r="C1737" s="14" t="str">
        <f>"1600"</f>
        <v>1600</v>
      </c>
      <c r="D1737" s="14" t="str">
        <f>"18008"</f>
        <v>18008</v>
      </c>
      <c r="E1737" s="14" t="s">
        <v>593</v>
      </c>
      <c r="F1737" s="14" t="s">
        <v>62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53</v>
      </c>
      <c r="L1737" s="14" t="s">
        <v>54</v>
      </c>
      <c r="M1737" s="14" t="s">
        <v>55</v>
      </c>
      <c r="P1737" s="14" t="s">
        <v>31</v>
      </c>
      <c r="Q1737" s="14" t="s">
        <v>25</v>
      </c>
      <c r="R1737" s="14" t="s">
        <v>54</v>
      </c>
    </row>
    <row r="1738" spans="1:18" s="14" customFormat="1" x14ac:dyDescent="0.25">
      <c r="A1738" s="14" t="str">
        <f>"18009"</f>
        <v>18009</v>
      </c>
      <c r="B1738" s="14" t="str">
        <f>"01090"</f>
        <v>01090</v>
      </c>
      <c r="C1738" s="14" t="str">
        <f>"1100"</f>
        <v>1100</v>
      </c>
      <c r="D1738" s="14" t="str">
        <f>"18009"</f>
        <v>18009</v>
      </c>
      <c r="E1738" s="14" t="s">
        <v>594</v>
      </c>
      <c r="F1738" s="14" t="s">
        <v>62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53</v>
      </c>
      <c r="L1738" s="14" t="s">
        <v>54</v>
      </c>
      <c r="M1738" s="14" t="s">
        <v>55</v>
      </c>
      <c r="P1738" s="14" t="s">
        <v>31</v>
      </c>
      <c r="Q1738" s="14" t="s">
        <v>25</v>
      </c>
      <c r="R1738" s="14" t="s">
        <v>54</v>
      </c>
    </row>
    <row r="1739" spans="1:18" s="14" customFormat="1" x14ac:dyDescent="0.25">
      <c r="A1739" s="14" t="str">
        <f>"18071"</f>
        <v>18071</v>
      </c>
      <c r="B1739" s="14" t="str">
        <f>"01030"</f>
        <v>01030</v>
      </c>
      <c r="C1739" s="14" t="str">
        <f>"1600"</f>
        <v>1600</v>
      </c>
      <c r="D1739" s="14" t="str">
        <f>"18071"</f>
        <v>18071</v>
      </c>
      <c r="E1739" s="14" t="s">
        <v>656</v>
      </c>
      <c r="F1739" s="14" t="s">
        <v>52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53</v>
      </c>
      <c r="L1739" s="14" t="s">
        <v>54</v>
      </c>
      <c r="M1739" s="14" t="s">
        <v>55</v>
      </c>
      <c r="P1739" s="14" t="s">
        <v>31</v>
      </c>
      <c r="Q1739" s="14" t="s">
        <v>25</v>
      </c>
      <c r="R1739" s="14" t="s">
        <v>54</v>
      </c>
    </row>
    <row r="1740" spans="1:18" s="14" customFormat="1" x14ac:dyDescent="0.25">
      <c r="A1740" s="14" t="str">
        <f>"18073"</f>
        <v>18073</v>
      </c>
      <c r="B1740" s="14" t="str">
        <f>"01035"</f>
        <v>01035</v>
      </c>
      <c r="C1740" s="14" t="str">
        <f>"1600"</f>
        <v>1600</v>
      </c>
      <c r="D1740" s="14" t="str">
        <f>"18073"</f>
        <v>18073</v>
      </c>
      <c r="E1740" s="14" t="s">
        <v>657</v>
      </c>
      <c r="F1740" s="14" t="s">
        <v>56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53</v>
      </c>
      <c r="L1740" s="14" t="s">
        <v>54</v>
      </c>
      <c r="M1740" s="14" t="s">
        <v>55</v>
      </c>
      <c r="P1740" s="14" t="s">
        <v>31</v>
      </c>
      <c r="Q1740" s="14" t="s">
        <v>25</v>
      </c>
      <c r="R1740" s="14" t="s">
        <v>54</v>
      </c>
    </row>
    <row r="1741" spans="1:18" s="14" customFormat="1" x14ac:dyDescent="0.25">
      <c r="A1741" s="14" t="str">
        <f>"18510"</f>
        <v>18510</v>
      </c>
      <c r="B1741" s="14" t="str">
        <f>"01030"</f>
        <v>01030</v>
      </c>
      <c r="C1741" s="14" t="str">
        <f>"1600"</f>
        <v>1600</v>
      </c>
      <c r="D1741" s="14" t="str">
        <f>""</f>
        <v/>
      </c>
      <c r="E1741" s="14" t="s">
        <v>709</v>
      </c>
      <c r="F1741" s="14" t="s">
        <v>52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53</v>
      </c>
      <c r="L1741" s="14" t="s">
        <v>54</v>
      </c>
      <c r="M1741" s="14" t="s">
        <v>55</v>
      </c>
      <c r="P1741" s="14" t="s">
        <v>701</v>
      </c>
      <c r="Q1741" s="14" t="s">
        <v>25</v>
      </c>
      <c r="R1741" s="14" t="s">
        <v>54</v>
      </c>
    </row>
    <row r="1742" spans="1:18" s="14" customFormat="1" x14ac:dyDescent="0.25">
      <c r="A1742" s="14" t="str">
        <f>"18513"</f>
        <v>18513</v>
      </c>
      <c r="B1742" s="14" t="str">
        <f>"01035"</f>
        <v>01035</v>
      </c>
      <c r="C1742" s="14" t="str">
        <f>"1600"</f>
        <v>1600</v>
      </c>
      <c r="D1742" s="14" t="str">
        <f>""</f>
        <v/>
      </c>
      <c r="E1742" s="14" t="s">
        <v>711</v>
      </c>
      <c r="F1742" s="14" t="s">
        <v>56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53</v>
      </c>
      <c r="L1742" s="14" t="s">
        <v>54</v>
      </c>
      <c r="M1742" s="14" t="s">
        <v>55</v>
      </c>
      <c r="P1742" s="14" t="s">
        <v>701</v>
      </c>
      <c r="Q1742" s="14" t="s">
        <v>25</v>
      </c>
      <c r="R1742" s="14" t="s">
        <v>54</v>
      </c>
    </row>
    <row r="1743" spans="1:18" s="14" customFormat="1" x14ac:dyDescent="0.25">
      <c r="A1743" s="14" t="str">
        <f>"25151"</f>
        <v>25151</v>
      </c>
      <c r="B1743" s="14" t="str">
        <f>"01030"</f>
        <v>01030</v>
      </c>
      <c r="C1743" s="14" t="str">
        <f>"1600"</f>
        <v>1600</v>
      </c>
      <c r="D1743" s="14" t="str">
        <f>"25151"</f>
        <v>25151</v>
      </c>
      <c r="E1743" s="14" t="s">
        <v>929</v>
      </c>
      <c r="F1743" s="14" t="s">
        <v>52</v>
      </c>
      <c r="G1743" s="14" t="str">
        <f>"GR0025151"</f>
        <v>GR0025151</v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53</v>
      </c>
      <c r="L1743" s="14" t="s">
        <v>69</v>
      </c>
      <c r="M1743" s="14" t="s">
        <v>48</v>
      </c>
      <c r="O1743" s="14" t="s">
        <v>53</v>
      </c>
      <c r="P1743" s="14" t="s">
        <v>701</v>
      </c>
      <c r="Q1743" s="14" t="s">
        <v>701</v>
      </c>
      <c r="R1743" s="14" t="s">
        <v>54</v>
      </c>
    </row>
    <row r="1744" spans="1:18" s="14" customFormat="1" x14ac:dyDescent="0.25">
      <c r="A1744" s="14" t="str">
        <f>"25153"</f>
        <v>25153</v>
      </c>
      <c r="B1744" s="14" t="str">
        <f>"01160"</f>
        <v>01160</v>
      </c>
      <c r="C1744" s="14" t="str">
        <f>"1700"</f>
        <v>1700</v>
      </c>
      <c r="D1744" s="14" t="str">
        <f>"25153"</f>
        <v>25153</v>
      </c>
      <c r="E1744" s="14" t="s">
        <v>931</v>
      </c>
      <c r="F1744" s="14" t="s">
        <v>63</v>
      </c>
      <c r="G1744" s="14" t="str">
        <f>"GR0025153"</f>
        <v>GR0025153</v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53</v>
      </c>
      <c r="L1744" s="14" t="s">
        <v>55</v>
      </c>
      <c r="M1744" s="14" t="s">
        <v>54</v>
      </c>
      <c r="O1744" s="14" t="s">
        <v>875</v>
      </c>
      <c r="P1744" s="14" t="s">
        <v>701</v>
      </c>
      <c r="Q1744" s="14" t="s">
        <v>701</v>
      </c>
      <c r="R1744" s="14" t="s">
        <v>875</v>
      </c>
    </row>
    <row r="1745" spans="1:18" s="14" customFormat="1" x14ac:dyDescent="0.25">
      <c r="A1745" s="14" t="str">
        <f>"84212"</f>
        <v>84212</v>
      </c>
      <c r="B1745" s="14" t="str">
        <f>"07020"</f>
        <v>07020</v>
      </c>
      <c r="C1745" s="14" t="str">
        <f>"1700"</f>
        <v>1700</v>
      </c>
      <c r="D1745" s="14" t="str">
        <f>"84212"</f>
        <v>84212</v>
      </c>
      <c r="E1745" s="14" t="s">
        <v>1718</v>
      </c>
      <c r="F1745" s="14" t="s">
        <v>1532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1719</v>
      </c>
      <c r="L1745" s="14" t="s">
        <v>822</v>
      </c>
      <c r="M1745" s="14" t="s">
        <v>72</v>
      </c>
      <c r="P1745" s="14" t="s">
        <v>31</v>
      </c>
      <c r="Q1745" s="14" t="s">
        <v>31</v>
      </c>
      <c r="R1745" s="14" t="s">
        <v>70</v>
      </c>
    </row>
    <row r="1746" spans="1:18" s="14" customFormat="1" x14ac:dyDescent="0.25">
      <c r="A1746" s="14" t="str">
        <f>"10001"</f>
        <v>10001</v>
      </c>
      <c r="B1746" s="14" t="str">
        <f>"00120"</f>
        <v>00120</v>
      </c>
      <c r="C1746" s="14" t="str">
        <f>"1400"</f>
        <v>1400</v>
      </c>
      <c r="D1746" s="14" t="str">
        <f>"00120"</f>
        <v>00120</v>
      </c>
      <c r="E1746" s="14" t="s">
        <v>20</v>
      </c>
      <c r="F1746" s="14" t="s">
        <v>27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28</v>
      </c>
      <c r="L1746" s="14" t="s">
        <v>29</v>
      </c>
      <c r="M1746" s="14" t="s">
        <v>30</v>
      </c>
      <c r="P1746" s="14" t="s">
        <v>31</v>
      </c>
      <c r="Q1746" s="14" t="s">
        <v>31</v>
      </c>
      <c r="R1746" s="14" t="s">
        <v>32</v>
      </c>
    </row>
    <row r="1747" spans="1:18" s="14" customFormat="1" x14ac:dyDescent="0.25">
      <c r="A1747" s="14" t="str">
        <f>"10001"</f>
        <v>10001</v>
      </c>
      <c r="B1747" s="14" t="str">
        <f>"02000"</f>
        <v>02000</v>
      </c>
      <c r="C1747" s="14" t="str">
        <f>"1400"</f>
        <v>1400</v>
      </c>
      <c r="D1747" s="14" t="str">
        <f>"02000"</f>
        <v>02000</v>
      </c>
      <c r="E1747" s="14" t="s">
        <v>20</v>
      </c>
      <c r="F1747" s="14" t="s">
        <v>189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28</v>
      </c>
      <c r="L1747" s="14" t="s">
        <v>190</v>
      </c>
      <c r="P1747" s="14" t="s">
        <v>31</v>
      </c>
      <c r="Q1747" s="14" t="s">
        <v>25</v>
      </c>
      <c r="R1747" s="14" t="s">
        <v>32</v>
      </c>
    </row>
    <row r="1748" spans="1:18" s="14" customFormat="1" x14ac:dyDescent="0.25">
      <c r="A1748" s="14" t="str">
        <f>"10001"</f>
        <v>10001</v>
      </c>
      <c r="B1748" s="14" t="str">
        <f>"02150"</f>
        <v>02150</v>
      </c>
      <c r="C1748" s="14" t="str">
        <f>"1400"</f>
        <v>1400</v>
      </c>
      <c r="D1748" s="14" t="str">
        <f>"02150"</f>
        <v>02150</v>
      </c>
      <c r="E1748" s="14" t="s">
        <v>20</v>
      </c>
      <c r="F1748" s="14" t="s">
        <v>215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28</v>
      </c>
      <c r="L1748" s="14" t="s">
        <v>190</v>
      </c>
      <c r="M1748" s="14" t="s">
        <v>216</v>
      </c>
      <c r="P1748" s="14" t="s">
        <v>31</v>
      </c>
      <c r="Q1748" s="14" t="s">
        <v>25</v>
      </c>
      <c r="R1748" s="14" t="s">
        <v>190</v>
      </c>
    </row>
    <row r="1749" spans="1:18" s="14" customFormat="1" x14ac:dyDescent="0.25">
      <c r="A1749" s="14" t="str">
        <f>"18101"</f>
        <v>18101</v>
      </c>
      <c r="B1749" s="14" t="str">
        <f>"02000"</f>
        <v>02000</v>
      </c>
      <c r="C1749" s="14" t="str">
        <f>"1400"</f>
        <v>1400</v>
      </c>
      <c r="D1749" s="14" t="str">
        <f>"18101"</f>
        <v>18101</v>
      </c>
      <c r="E1749" s="14" t="s">
        <v>670</v>
      </c>
      <c r="F1749" s="14" t="s">
        <v>189</v>
      </c>
      <c r="G1749" s="14" t="str">
        <f>""</f>
        <v/>
      </c>
      <c r="H1749" s="14" t="str">
        <f>" 00"</f>
        <v xml:space="preserve"> 00</v>
      </c>
      <c r="I1749" s="14">
        <v>0.01</v>
      </c>
      <c r="J1749" s="14">
        <v>9999999.9900000002</v>
      </c>
      <c r="K1749" s="14" t="s">
        <v>28</v>
      </c>
      <c r="L1749" s="14" t="s">
        <v>210</v>
      </c>
      <c r="P1749" s="14" t="s">
        <v>31</v>
      </c>
      <c r="Q1749" s="14" t="s">
        <v>25</v>
      </c>
      <c r="R1749" s="14" t="s">
        <v>32</v>
      </c>
    </row>
    <row r="1750" spans="1:18" s="14" customFormat="1" x14ac:dyDescent="0.25">
      <c r="A1750" s="14" t="str">
        <f>"90145"</f>
        <v>90145</v>
      </c>
      <c r="B1750" s="14" t="str">
        <f>"02000"</f>
        <v>02000</v>
      </c>
      <c r="C1750" s="14" t="str">
        <f>"1400"</f>
        <v>1400</v>
      </c>
      <c r="D1750" s="14" t="str">
        <f>""</f>
        <v/>
      </c>
      <c r="E1750" s="14" t="s">
        <v>1805</v>
      </c>
      <c r="F1750" s="14" t="s">
        <v>189</v>
      </c>
      <c r="G1750" s="14" t="str">
        <f>""</f>
        <v/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28</v>
      </c>
      <c r="L1750" s="14" t="s">
        <v>204</v>
      </c>
      <c r="P1750" s="14" t="s">
        <v>239</v>
      </c>
      <c r="Q1750" s="14" t="s">
        <v>25</v>
      </c>
      <c r="R1750" s="14" t="s">
        <v>205</v>
      </c>
    </row>
    <row r="1751" spans="1:18" s="14" customFormat="1" x14ac:dyDescent="0.25">
      <c r="A1751" s="14" t="str">
        <f>"84044"</f>
        <v>84044</v>
      </c>
      <c r="B1751" s="14" t="str">
        <f>"07020"</f>
        <v>07020</v>
      </c>
      <c r="C1751" s="14" t="str">
        <f>"1700"</f>
        <v>1700</v>
      </c>
      <c r="D1751" s="14" t="str">
        <f>"84044"</f>
        <v>84044</v>
      </c>
      <c r="E1751" s="14" t="s">
        <v>1585</v>
      </c>
      <c r="F1751" s="14" t="s">
        <v>1532</v>
      </c>
      <c r="G1751" s="14" t="str">
        <f>""</f>
        <v/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1586</v>
      </c>
      <c r="P1751" s="14" t="s">
        <v>31</v>
      </c>
      <c r="Q1751" s="14" t="s">
        <v>31</v>
      </c>
      <c r="R1751" s="14" t="s">
        <v>1586</v>
      </c>
    </row>
    <row r="1752" spans="1:18" s="14" customFormat="1" x14ac:dyDescent="0.25">
      <c r="A1752" s="14" t="str">
        <f>"84178"</f>
        <v>84178</v>
      </c>
      <c r="B1752" s="14" t="str">
        <f>"07020"</f>
        <v>07020</v>
      </c>
      <c r="C1752" s="14" t="str">
        <f>"1700"</f>
        <v>1700</v>
      </c>
      <c r="D1752" s="14" t="str">
        <f>"84178"</f>
        <v>84178</v>
      </c>
      <c r="E1752" s="14" t="s">
        <v>1688</v>
      </c>
      <c r="F1752" s="14" t="s">
        <v>1532</v>
      </c>
      <c r="G1752" s="14" t="str">
        <f>""</f>
        <v/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1689</v>
      </c>
      <c r="L1752" s="14" t="s">
        <v>146</v>
      </c>
      <c r="P1752" s="14" t="s">
        <v>31</v>
      </c>
      <c r="Q1752" s="14" t="s">
        <v>31</v>
      </c>
      <c r="R1752" s="14" t="s">
        <v>1689</v>
      </c>
    </row>
    <row r="1753" spans="1:18" s="14" customFormat="1" x14ac:dyDescent="0.25">
      <c r="A1753" s="14" t="str">
        <f>"84059"</f>
        <v>84059</v>
      </c>
      <c r="B1753" s="14" t="str">
        <f>"07020"</f>
        <v>07020</v>
      </c>
      <c r="C1753" s="14" t="str">
        <f>"1700"</f>
        <v>1700</v>
      </c>
      <c r="D1753" s="14" t="str">
        <f>"84059"</f>
        <v>84059</v>
      </c>
      <c r="E1753" s="14" t="s">
        <v>1599</v>
      </c>
      <c r="F1753" s="14" t="s">
        <v>1532</v>
      </c>
      <c r="G1753" s="14" t="str">
        <f>""</f>
        <v/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1600</v>
      </c>
      <c r="L1753" s="14" t="s">
        <v>392</v>
      </c>
      <c r="P1753" s="14" t="s">
        <v>31</v>
      </c>
      <c r="Q1753" s="14" t="s">
        <v>31</v>
      </c>
      <c r="R1753" s="14" t="s">
        <v>1600</v>
      </c>
    </row>
    <row r="1754" spans="1:18" s="14" customFormat="1" x14ac:dyDescent="0.25">
      <c r="A1754" s="14" t="str">
        <f>"84134"</f>
        <v>84134</v>
      </c>
      <c r="B1754" s="14" t="str">
        <f>"07020"</f>
        <v>07020</v>
      </c>
      <c r="C1754" s="14" t="str">
        <f>"1700"</f>
        <v>1700</v>
      </c>
      <c r="D1754" s="14" t="str">
        <f>"84134"</f>
        <v>84134</v>
      </c>
      <c r="E1754" s="14" t="s">
        <v>1662</v>
      </c>
      <c r="F1754" s="14" t="s">
        <v>1532</v>
      </c>
      <c r="G1754" s="14" t="str">
        <f>""</f>
        <v/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1663</v>
      </c>
      <c r="L1754" s="14" t="s">
        <v>392</v>
      </c>
      <c r="P1754" s="14" t="s">
        <v>31</v>
      </c>
      <c r="Q1754" s="14" t="s">
        <v>31</v>
      </c>
      <c r="R1754" s="14" t="s">
        <v>1663</v>
      </c>
    </row>
    <row r="1755" spans="1:18" s="14" customFormat="1" x14ac:dyDescent="0.25">
      <c r="A1755" s="14" t="str">
        <f>"84234"</f>
        <v>84234</v>
      </c>
      <c r="B1755" s="14" t="str">
        <f>"07020"</f>
        <v>07020</v>
      </c>
      <c r="C1755" s="14" t="str">
        <f>"1700"</f>
        <v>1700</v>
      </c>
      <c r="D1755" s="14" t="str">
        <f>"84234"</f>
        <v>84234</v>
      </c>
      <c r="E1755" s="14" t="s">
        <v>1749</v>
      </c>
      <c r="F1755" s="14" t="s">
        <v>1532</v>
      </c>
      <c r="G1755" s="14" t="str">
        <f>""</f>
        <v/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1663</v>
      </c>
      <c r="P1755" s="14" t="s">
        <v>31</v>
      </c>
      <c r="Q1755" s="14" t="s">
        <v>31</v>
      </c>
      <c r="R1755" s="14" t="s">
        <v>392</v>
      </c>
    </row>
    <row r="1756" spans="1:18" s="14" customFormat="1" x14ac:dyDescent="0.25">
      <c r="A1756" s="14" t="str">
        <f>"10001"</f>
        <v>10001</v>
      </c>
      <c r="B1756" s="14" t="str">
        <f>"01160"</f>
        <v>01160</v>
      </c>
      <c r="C1756" s="14" t="str">
        <f>"1600"</f>
        <v>1600</v>
      </c>
      <c r="D1756" s="14" t="str">
        <f>"01160"</f>
        <v>01160</v>
      </c>
      <c r="E1756" s="14" t="s">
        <v>20</v>
      </c>
      <c r="F1756" s="14" t="s">
        <v>63</v>
      </c>
      <c r="G1756" s="14" t="str">
        <f>""</f>
        <v/>
      </c>
      <c r="H1756" s="14" t="str">
        <f>" 20"</f>
        <v xml:space="preserve"> 20</v>
      </c>
      <c r="I1756" s="14">
        <v>500.01</v>
      </c>
      <c r="J1756" s="14">
        <v>9999999.9900000002</v>
      </c>
      <c r="K1756" s="14" t="s">
        <v>55</v>
      </c>
      <c r="L1756" s="14" t="s">
        <v>53</v>
      </c>
      <c r="M1756" s="14" t="s">
        <v>54</v>
      </c>
      <c r="P1756" s="14" t="s">
        <v>31</v>
      </c>
      <c r="Q1756" s="14" t="s">
        <v>25</v>
      </c>
      <c r="R1756" s="14" t="s">
        <v>55</v>
      </c>
    </row>
    <row r="1757" spans="1:18" s="14" customFormat="1" x14ac:dyDescent="0.25">
      <c r="A1757" s="14" t="str">
        <f>"17292"</f>
        <v>17292</v>
      </c>
      <c r="B1757" s="14" t="str">
        <f>"01160"</f>
        <v>01160</v>
      </c>
      <c r="C1757" s="14" t="str">
        <f>"1600"</f>
        <v>1600</v>
      </c>
      <c r="D1757" s="14" t="str">
        <f>"17292"</f>
        <v>17292</v>
      </c>
      <c r="E1757" s="14" t="s">
        <v>583</v>
      </c>
      <c r="F1757" s="14" t="s">
        <v>63</v>
      </c>
      <c r="G1757" s="14" t="str">
        <f>"GR0017292"</f>
        <v>GR0017292</v>
      </c>
      <c r="H1757" s="14" t="str">
        <f>" 20"</f>
        <v xml:space="preserve"> 20</v>
      </c>
      <c r="I1757" s="14">
        <v>500.01</v>
      </c>
      <c r="J1757" s="14">
        <v>9999999.9900000002</v>
      </c>
      <c r="K1757" s="14" t="s">
        <v>55</v>
      </c>
      <c r="L1757" s="14" t="s">
        <v>53</v>
      </c>
      <c r="M1757" s="14" t="s">
        <v>54</v>
      </c>
      <c r="P1757" s="14" t="s">
        <v>31</v>
      </c>
      <c r="Q1757" s="14" t="s">
        <v>31</v>
      </c>
      <c r="R1757" s="14" t="s">
        <v>55</v>
      </c>
    </row>
    <row r="1758" spans="1:18" s="14" customFormat="1" x14ac:dyDescent="0.25">
      <c r="A1758" s="14" t="str">
        <f>"18005"</f>
        <v>18005</v>
      </c>
      <c r="B1758" s="14" t="str">
        <f>"01160"</f>
        <v>01160</v>
      </c>
      <c r="C1758" s="14" t="str">
        <f>"1600"</f>
        <v>1600</v>
      </c>
      <c r="D1758" s="14" t="str">
        <f>"18005"</f>
        <v>18005</v>
      </c>
      <c r="E1758" s="14" t="s">
        <v>588</v>
      </c>
      <c r="F1758" s="14" t="s">
        <v>63</v>
      </c>
      <c r="G1758" s="14" t="str">
        <f>""</f>
        <v/>
      </c>
      <c r="H1758" s="14" t="str">
        <f>" 20"</f>
        <v xml:space="preserve"> 20</v>
      </c>
      <c r="I1758" s="14">
        <v>500.01</v>
      </c>
      <c r="J1758" s="14">
        <v>9999999.9900000002</v>
      </c>
      <c r="K1758" s="14" t="s">
        <v>55</v>
      </c>
      <c r="L1758" s="14" t="s">
        <v>53</v>
      </c>
      <c r="P1758" s="14" t="s">
        <v>31</v>
      </c>
      <c r="Q1758" s="14" t="s">
        <v>25</v>
      </c>
      <c r="R1758" s="14" t="s">
        <v>55</v>
      </c>
    </row>
    <row r="1759" spans="1:18" s="14" customFormat="1" x14ac:dyDescent="0.25">
      <c r="A1759" s="14" t="str">
        <f>"18064"</f>
        <v>18064</v>
      </c>
      <c r="B1759" s="14" t="str">
        <f>"01160"</f>
        <v>01160</v>
      </c>
      <c r="C1759" s="14" t="str">
        <f>"1100"</f>
        <v>1100</v>
      </c>
      <c r="D1759" s="14" t="str">
        <f>"18064"</f>
        <v>18064</v>
      </c>
      <c r="E1759" s="14" t="s">
        <v>652</v>
      </c>
      <c r="F1759" s="14" t="s">
        <v>63</v>
      </c>
      <c r="G1759" s="14" t="str">
        <f>""</f>
        <v/>
      </c>
      <c r="H1759" s="14" t="str">
        <f>" 20"</f>
        <v xml:space="preserve"> 20</v>
      </c>
      <c r="I1759" s="14">
        <v>500.01</v>
      </c>
      <c r="J1759" s="14">
        <v>9999999.9900000002</v>
      </c>
      <c r="K1759" s="14" t="s">
        <v>55</v>
      </c>
      <c r="L1759" s="14" t="s">
        <v>53</v>
      </c>
      <c r="M1759" s="14" t="s">
        <v>54</v>
      </c>
      <c r="P1759" s="14" t="s">
        <v>31</v>
      </c>
      <c r="Q1759" s="14" t="s">
        <v>25</v>
      </c>
      <c r="R1759" s="14" t="s">
        <v>55</v>
      </c>
    </row>
    <row r="1760" spans="1:18" s="14" customFormat="1" x14ac:dyDescent="0.25">
      <c r="A1760" s="14" t="str">
        <f>"18527"</f>
        <v>18527</v>
      </c>
      <c r="B1760" s="14" t="str">
        <f>"01100"</f>
        <v>01100</v>
      </c>
      <c r="C1760" s="14" t="str">
        <f>"1930"</f>
        <v>1930</v>
      </c>
      <c r="D1760" s="14" t="str">
        <f>""</f>
        <v/>
      </c>
      <c r="E1760" s="14" t="s">
        <v>724</v>
      </c>
      <c r="F1760" s="14" t="s">
        <v>725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55</v>
      </c>
      <c r="L1760" s="14" t="s">
        <v>53</v>
      </c>
      <c r="M1760" s="14" t="s">
        <v>726</v>
      </c>
      <c r="P1760" s="14" t="s">
        <v>701</v>
      </c>
      <c r="Q1760" s="14" t="s">
        <v>25</v>
      </c>
      <c r="R1760" s="14" t="s">
        <v>727</v>
      </c>
    </row>
    <row r="1761" spans="1:18" s="14" customFormat="1" x14ac:dyDescent="0.25">
      <c r="A1761" s="14" t="str">
        <f>"22658"</f>
        <v>22658</v>
      </c>
      <c r="B1761" s="14" t="str">
        <f>"01100"</f>
        <v>01100</v>
      </c>
      <c r="C1761" s="14" t="str">
        <f>"1930"</f>
        <v>1930</v>
      </c>
      <c r="D1761" s="14" t="str">
        <f>"22658"</f>
        <v>22658</v>
      </c>
      <c r="E1761" s="14" t="s">
        <v>1932</v>
      </c>
      <c r="F1761" s="14" t="s">
        <v>725</v>
      </c>
      <c r="G1761" s="14" t="str">
        <f>"GR0022658"</f>
        <v>GR0022658</v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55</v>
      </c>
      <c r="L1761" s="14" t="s">
        <v>726</v>
      </c>
      <c r="M1761" s="14" t="s">
        <v>53</v>
      </c>
      <c r="O1761" s="14" t="s">
        <v>64</v>
      </c>
      <c r="P1761" s="14" t="s">
        <v>701</v>
      </c>
      <c r="Q1761" s="14" t="s">
        <v>701</v>
      </c>
      <c r="R1761" s="14" t="s">
        <v>727</v>
      </c>
    </row>
    <row r="1762" spans="1:18" s="14" customFormat="1" x14ac:dyDescent="0.25">
      <c r="A1762" s="14" t="str">
        <f>"22659"</f>
        <v>22659</v>
      </c>
      <c r="B1762" s="14" t="str">
        <f>"01100"</f>
        <v>01100</v>
      </c>
      <c r="C1762" s="14" t="str">
        <f>"1930"</f>
        <v>1930</v>
      </c>
      <c r="D1762" s="14" t="str">
        <f>"22658"</f>
        <v>22658</v>
      </c>
      <c r="E1762" s="14" t="s">
        <v>1931</v>
      </c>
      <c r="F1762" s="14" t="s">
        <v>725</v>
      </c>
      <c r="G1762" s="14" t="str">
        <f>"GR0022658"</f>
        <v>GR0022658</v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55</v>
      </c>
      <c r="L1762" s="14" t="s">
        <v>726</v>
      </c>
      <c r="M1762" s="14" t="s">
        <v>53</v>
      </c>
      <c r="O1762" s="14" t="s">
        <v>64</v>
      </c>
      <c r="P1762" s="14" t="s">
        <v>701</v>
      </c>
      <c r="Q1762" s="14" t="s">
        <v>701</v>
      </c>
      <c r="R1762" s="14" t="s">
        <v>727</v>
      </c>
    </row>
    <row r="1763" spans="1:18" s="14" customFormat="1" x14ac:dyDescent="0.25">
      <c r="A1763" s="14" t="str">
        <f>"25149"</f>
        <v>25149</v>
      </c>
      <c r="B1763" s="14" t="str">
        <f>"01100"</f>
        <v>01100</v>
      </c>
      <c r="C1763" s="14" t="str">
        <f>"1930"</f>
        <v>1930</v>
      </c>
      <c r="D1763" s="14" t="str">
        <f>"25149"</f>
        <v>25149</v>
      </c>
      <c r="E1763" s="14" t="s">
        <v>927</v>
      </c>
      <c r="F1763" s="14" t="s">
        <v>725</v>
      </c>
      <c r="G1763" s="14" t="str">
        <f>"GR0025149"</f>
        <v>GR0025149</v>
      </c>
      <c r="H1763" s="14" t="str">
        <f>" 20"</f>
        <v xml:space="preserve"> 20</v>
      </c>
      <c r="I1763" s="14">
        <v>500.01</v>
      </c>
      <c r="J1763" s="14">
        <v>9999999.9900000002</v>
      </c>
      <c r="K1763" s="14" t="s">
        <v>55</v>
      </c>
      <c r="L1763" s="14" t="s">
        <v>726</v>
      </c>
      <c r="M1763" s="14" t="s">
        <v>53</v>
      </c>
      <c r="O1763" s="14" t="s">
        <v>55</v>
      </c>
      <c r="P1763" s="14" t="s">
        <v>701</v>
      </c>
      <c r="Q1763" s="14" t="s">
        <v>701</v>
      </c>
      <c r="R1763" s="14" t="s">
        <v>727</v>
      </c>
    </row>
    <row r="1764" spans="1:18" s="14" customFormat="1" x14ac:dyDescent="0.25">
      <c r="A1764" s="14" t="str">
        <f>"25152"</f>
        <v>25152</v>
      </c>
      <c r="B1764" s="14" t="str">
        <f>"01100"</f>
        <v>01100</v>
      </c>
      <c r="C1764" s="14" t="str">
        <f>"1930"</f>
        <v>1930</v>
      </c>
      <c r="D1764" s="14" t="str">
        <f>"25152"</f>
        <v>25152</v>
      </c>
      <c r="E1764" s="14" t="s">
        <v>930</v>
      </c>
      <c r="F1764" s="14" t="s">
        <v>725</v>
      </c>
      <c r="G1764" s="14" t="str">
        <f>"GR0025152"</f>
        <v>GR0025152</v>
      </c>
      <c r="H1764" s="14" t="str">
        <f>" 20"</f>
        <v xml:space="preserve"> 20</v>
      </c>
      <c r="I1764" s="14">
        <v>500.01</v>
      </c>
      <c r="J1764" s="14">
        <v>9999999.9900000002</v>
      </c>
      <c r="K1764" s="14" t="s">
        <v>55</v>
      </c>
      <c r="L1764" s="14" t="s">
        <v>726</v>
      </c>
      <c r="M1764" s="14" t="s">
        <v>53</v>
      </c>
      <c r="O1764" s="14" t="s">
        <v>55</v>
      </c>
      <c r="P1764" s="14" t="s">
        <v>701</v>
      </c>
      <c r="Q1764" s="14" t="s">
        <v>701</v>
      </c>
      <c r="R1764" s="14" t="s">
        <v>727</v>
      </c>
    </row>
    <row r="1765" spans="1:18" s="14" customFormat="1" x14ac:dyDescent="0.25">
      <c r="A1765" s="14" t="str">
        <f>"25155"</f>
        <v>25155</v>
      </c>
      <c r="B1765" s="14" t="str">
        <f>"01100"</f>
        <v>01100</v>
      </c>
      <c r="C1765" s="14" t="str">
        <f>"1930"</f>
        <v>1930</v>
      </c>
      <c r="D1765" s="14" t="str">
        <f>""</f>
        <v/>
      </c>
      <c r="E1765" s="14" t="s">
        <v>934</v>
      </c>
      <c r="F1765" s="14" t="s">
        <v>725</v>
      </c>
      <c r="G1765" s="14" t="str">
        <f>"GR0025155"</f>
        <v>GR0025155</v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55</v>
      </c>
      <c r="L1765" s="14" t="s">
        <v>726</v>
      </c>
      <c r="M1765" s="14" t="s">
        <v>53</v>
      </c>
      <c r="O1765" s="14" t="s">
        <v>55</v>
      </c>
      <c r="P1765" s="14" t="s">
        <v>701</v>
      </c>
      <c r="Q1765" s="14" t="s">
        <v>701</v>
      </c>
      <c r="R1765" s="14" t="s">
        <v>727</v>
      </c>
    </row>
    <row r="1766" spans="1:18" s="14" customFormat="1" x14ac:dyDescent="0.25">
      <c r="A1766" s="14" t="str">
        <f>"33005"</f>
        <v>33005</v>
      </c>
      <c r="B1766" s="14" t="str">
        <f>"01150"</f>
        <v>01150</v>
      </c>
      <c r="C1766" s="14" t="str">
        <f>"1930"</f>
        <v>1930</v>
      </c>
      <c r="D1766" s="14" t="str">
        <f>"01150A"</f>
        <v>01150A</v>
      </c>
      <c r="E1766" s="14" t="s">
        <v>974</v>
      </c>
      <c r="F1766" s="14" t="s">
        <v>975</v>
      </c>
      <c r="G1766" s="14" t="str">
        <f>""</f>
        <v/>
      </c>
      <c r="H1766" s="14" t="str">
        <f>" 20"</f>
        <v xml:space="preserve"> 20</v>
      </c>
      <c r="I1766" s="14">
        <v>500.01</v>
      </c>
      <c r="J1766" s="14">
        <v>9999999.9900000002</v>
      </c>
      <c r="K1766" s="14" t="s">
        <v>55</v>
      </c>
      <c r="L1766" s="14" t="s">
        <v>53</v>
      </c>
      <c r="M1766" s="14" t="s">
        <v>726</v>
      </c>
      <c r="P1766" s="14" t="s">
        <v>31</v>
      </c>
      <c r="Q1766" s="14" t="s">
        <v>25</v>
      </c>
      <c r="R1766" s="14" t="s">
        <v>727</v>
      </c>
    </row>
    <row r="1767" spans="1:18" s="14" customFormat="1" x14ac:dyDescent="0.25">
      <c r="A1767" s="14" t="str">
        <f>"33005"</f>
        <v>33005</v>
      </c>
      <c r="B1767" s="14" t="str">
        <f>"01151"</f>
        <v>01151</v>
      </c>
      <c r="C1767" s="14" t="str">
        <f>"1930"</f>
        <v>1930</v>
      </c>
      <c r="D1767" s="14" t="str">
        <f>"01151"</f>
        <v>01151</v>
      </c>
      <c r="E1767" s="14" t="s">
        <v>974</v>
      </c>
      <c r="F1767" s="14" t="s">
        <v>976</v>
      </c>
      <c r="G1767" s="14" t="str">
        <f>""</f>
        <v/>
      </c>
      <c r="H1767" s="14" t="str">
        <f>" 20"</f>
        <v xml:space="preserve"> 20</v>
      </c>
      <c r="I1767" s="14">
        <v>500.01</v>
      </c>
      <c r="J1767" s="14">
        <v>9999999.9900000002</v>
      </c>
      <c r="K1767" s="14" t="s">
        <v>55</v>
      </c>
      <c r="L1767" s="14" t="s">
        <v>53</v>
      </c>
      <c r="M1767" s="14" t="s">
        <v>726</v>
      </c>
      <c r="P1767" s="14" t="s">
        <v>31</v>
      </c>
      <c r="Q1767" s="14" t="s">
        <v>25</v>
      </c>
      <c r="R1767" s="14" t="s">
        <v>727</v>
      </c>
    </row>
    <row r="1768" spans="1:18" s="14" customFormat="1" x14ac:dyDescent="0.25">
      <c r="A1768" s="14" t="str">
        <f>"33005"</f>
        <v>33005</v>
      </c>
      <c r="B1768" s="14" t="str">
        <f>"01152"</f>
        <v>01152</v>
      </c>
      <c r="C1768" s="14" t="str">
        <f>"1930"</f>
        <v>1930</v>
      </c>
      <c r="D1768" s="14" t="str">
        <f>"01152"</f>
        <v>01152</v>
      </c>
      <c r="E1768" s="14" t="s">
        <v>974</v>
      </c>
      <c r="F1768" s="14" t="s">
        <v>977</v>
      </c>
      <c r="G1768" s="14" t="str">
        <f>""</f>
        <v/>
      </c>
      <c r="H1768" s="14" t="str">
        <f>" 20"</f>
        <v xml:space="preserve"> 20</v>
      </c>
      <c r="I1768" s="14">
        <v>500.01</v>
      </c>
      <c r="J1768" s="14">
        <v>9999999.9900000002</v>
      </c>
      <c r="K1768" s="14" t="s">
        <v>55</v>
      </c>
      <c r="L1768" s="14" t="s">
        <v>53</v>
      </c>
      <c r="M1768" s="14" t="s">
        <v>726</v>
      </c>
      <c r="P1768" s="14" t="s">
        <v>31</v>
      </c>
      <c r="Q1768" s="14" t="s">
        <v>25</v>
      </c>
      <c r="R1768" s="14" t="s">
        <v>727</v>
      </c>
    </row>
    <row r="1769" spans="1:18" s="14" customFormat="1" x14ac:dyDescent="0.25">
      <c r="A1769" s="14" t="str">
        <f>"33005"</f>
        <v>33005</v>
      </c>
      <c r="B1769" s="14" t="str">
        <f>"01154"</f>
        <v>01154</v>
      </c>
      <c r="C1769" s="14" t="str">
        <f>"1930"</f>
        <v>1930</v>
      </c>
      <c r="D1769" s="14" t="str">
        <f>"01154"</f>
        <v>01154</v>
      </c>
      <c r="E1769" s="14" t="s">
        <v>974</v>
      </c>
      <c r="F1769" s="14" t="s">
        <v>978</v>
      </c>
      <c r="G1769" s="14" t="str">
        <f>""</f>
        <v/>
      </c>
      <c r="H1769" s="14" t="str">
        <f>" 20"</f>
        <v xml:space="preserve"> 20</v>
      </c>
      <c r="I1769" s="14">
        <v>500.01</v>
      </c>
      <c r="J1769" s="14">
        <v>9999999.9900000002</v>
      </c>
      <c r="K1769" s="14" t="s">
        <v>55</v>
      </c>
      <c r="L1769" s="14" t="s">
        <v>53</v>
      </c>
      <c r="M1769" s="14" t="s">
        <v>726</v>
      </c>
      <c r="P1769" s="14" t="s">
        <v>31</v>
      </c>
      <c r="Q1769" s="14" t="s">
        <v>25</v>
      </c>
      <c r="R1769" s="14" t="s">
        <v>727</v>
      </c>
    </row>
    <row r="1770" spans="1:18" s="14" customFormat="1" x14ac:dyDescent="0.25">
      <c r="A1770" s="14" t="str">
        <f>"33010"</f>
        <v>33010</v>
      </c>
      <c r="B1770" s="14" t="str">
        <f>"01150"</f>
        <v>01150</v>
      </c>
      <c r="C1770" s="14" t="str">
        <f>"1930"</f>
        <v>1930</v>
      </c>
      <c r="D1770" s="14" t="str">
        <f>"01150B"</f>
        <v>01150B</v>
      </c>
      <c r="E1770" s="14" t="s">
        <v>979</v>
      </c>
      <c r="F1770" s="14" t="s">
        <v>975</v>
      </c>
      <c r="G1770" s="14" t="str">
        <f>""</f>
        <v/>
      </c>
      <c r="H1770" s="14" t="str">
        <f>" 20"</f>
        <v xml:space="preserve"> 20</v>
      </c>
      <c r="I1770" s="14">
        <v>500.01</v>
      </c>
      <c r="J1770" s="14">
        <v>9999999.9900000002</v>
      </c>
      <c r="K1770" s="14" t="s">
        <v>55</v>
      </c>
      <c r="L1770" s="14" t="s">
        <v>53</v>
      </c>
      <c r="M1770" s="14" t="s">
        <v>726</v>
      </c>
      <c r="P1770" s="14" t="s">
        <v>31</v>
      </c>
      <c r="Q1770" s="14" t="s">
        <v>25</v>
      </c>
      <c r="R1770" s="14" t="s">
        <v>727</v>
      </c>
    </row>
    <row r="1771" spans="1:18" s="14" customFormat="1" x14ac:dyDescent="0.25">
      <c r="A1771" s="14" t="str">
        <f>"33105"</f>
        <v>33105</v>
      </c>
      <c r="B1771" s="14" t="str">
        <f>"01100"</f>
        <v>01100</v>
      </c>
      <c r="C1771" s="14" t="str">
        <f>"1930"</f>
        <v>1930</v>
      </c>
      <c r="D1771" s="14" t="str">
        <f>"01100"</f>
        <v>01100</v>
      </c>
      <c r="E1771" s="14" t="s">
        <v>725</v>
      </c>
      <c r="F1771" s="14" t="s">
        <v>725</v>
      </c>
      <c r="G1771" s="14" t="str">
        <f>""</f>
        <v/>
      </c>
      <c r="H1771" s="14" t="str">
        <f>" 20"</f>
        <v xml:space="preserve"> 20</v>
      </c>
      <c r="I1771" s="14">
        <v>500.01</v>
      </c>
      <c r="J1771" s="14">
        <v>9999999.9900000002</v>
      </c>
      <c r="K1771" s="14" t="s">
        <v>55</v>
      </c>
      <c r="L1771" s="14" t="s">
        <v>53</v>
      </c>
      <c r="M1771" s="14" t="s">
        <v>726</v>
      </c>
      <c r="P1771" s="14" t="s">
        <v>31</v>
      </c>
      <c r="Q1771" s="14" t="s">
        <v>25</v>
      </c>
      <c r="R1771" s="14" t="s">
        <v>727</v>
      </c>
    </row>
    <row r="1772" spans="1:18" s="14" customFormat="1" x14ac:dyDescent="0.25">
      <c r="A1772" s="14" t="str">
        <f>"35025"</f>
        <v>35025</v>
      </c>
      <c r="B1772" s="14" t="str">
        <f>"01100"</f>
        <v>01100</v>
      </c>
      <c r="C1772" s="14" t="str">
        <f>"1930"</f>
        <v>1930</v>
      </c>
      <c r="D1772" s="14" t="str">
        <f>"35025"</f>
        <v>35025</v>
      </c>
      <c r="E1772" s="14" t="s">
        <v>987</v>
      </c>
      <c r="F1772" s="14" t="s">
        <v>725</v>
      </c>
      <c r="G1772" s="14" t="str">
        <f>""</f>
        <v/>
      </c>
      <c r="H1772" s="14" t="str">
        <f>" 20"</f>
        <v xml:space="preserve"> 20</v>
      </c>
      <c r="I1772" s="14">
        <v>500.01</v>
      </c>
      <c r="J1772" s="14">
        <v>9999999.9900000002</v>
      </c>
      <c r="K1772" s="14" t="s">
        <v>55</v>
      </c>
      <c r="L1772" s="14" t="s">
        <v>53</v>
      </c>
      <c r="M1772" s="14" t="s">
        <v>726</v>
      </c>
      <c r="P1772" s="14" t="s">
        <v>31</v>
      </c>
      <c r="Q1772" s="14" t="s">
        <v>25</v>
      </c>
      <c r="R1772" s="14" t="s">
        <v>727</v>
      </c>
    </row>
    <row r="1773" spans="1:18" s="14" customFormat="1" x14ac:dyDescent="0.25">
      <c r="A1773" s="14" t="str">
        <f>"10001"</f>
        <v>10001</v>
      </c>
      <c r="B1773" s="14" t="str">
        <f>"04000"</f>
        <v>04000</v>
      </c>
      <c r="C1773" s="14" t="str">
        <f>"1400"</f>
        <v>1400</v>
      </c>
      <c r="D1773" s="14" t="str">
        <f>"04000"</f>
        <v>04000</v>
      </c>
      <c r="E1773" s="14" t="s">
        <v>20</v>
      </c>
      <c r="F1773" s="14" t="s">
        <v>359</v>
      </c>
      <c r="G1773" s="14" t="str">
        <f>""</f>
        <v/>
      </c>
      <c r="H1773" s="14" t="str">
        <f>" 00"</f>
        <v xml:space="preserve"> 00</v>
      </c>
      <c r="I1773" s="14">
        <v>0.01</v>
      </c>
      <c r="J1773" s="14">
        <v>9999999.9900000002</v>
      </c>
      <c r="K1773" s="14" t="s">
        <v>360</v>
      </c>
      <c r="L1773" s="14" t="s">
        <v>34</v>
      </c>
      <c r="P1773" s="14" t="s">
        <v>31</v>
      </c>
      <c r="Q1773" s="14" t="s">
        <v>25</v>
      </c>
      <c r="R1773" s="14" t="s">
        <v>35</v>
      </c>
    </row>
    <row r="1774" spans="1:18" s="14" customFormat="1" x14ac:dyDescent="0.25">
      <c r="A1774" s="14" t="str">
        <f>"84118"</f>
        <v>84118</v>
      </c>
      <c r="B1774" s="14" t="str">
        <f>"07020"</f>
        <v>07020</v>
      </c>
      <c r="C1774" s="14" t="str">
        <f>"1700"</f>
        <v>1700</v>
      </c>
      <c r="D1774" s="14" t="str">
        <f>"84118"</f>
        <v>84118</v>
      </c>
      <c r="E1774" s="14" t="s">
        <v>1655</v>
      </c>
      <c r="F1774" s="14" t="s">
        <v>1532</v>
      </c>
      <c r="G1774" s="14" t="str">
        <f>""</f>
        <v/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388</v>
      </c>
      <c r="L1774" s="14" t="s">
        <v>387</v>
      </c>
      <c r="M1774" s="14" t="s">
        <v>1656</v>
      </c>
      <c r="N1774" s="14" t="s">
        <v>386</v>
      </c>
      <c r="P1774" s="14" t="s">
        <v>31</v>
      </c>
      <c r="Q1774" s="14" t="s">
        <v>31</v>
      </c>
      <c r="R1774" s="14" t="s">
        <v>388</v>
      </c>
    </row>
    <row r="1775" spans="1:18" s="14" customFormat="1" x14ac:dyDescent="0.25">
      <c r="A1775" s="14" t="str">
        <f>"84209"</f>
        <v>84209</v>
      </c>
      <c r="B1775" s="14" t="str">
        <f>"07020"</f>
        <v>07020</v>
      </c>
      <c r="C1775" s="14" t="str">
        <f>"1700"</f>
        <v>1700</v>
      </c>
      <c r="D1775" s="14" t="str">
        <f>"84209"</f>
        <v>84209</v>
      </c>
      <c r="E1775" s="14" t="s">
        <v>1714</v>
      </c>
      <c r="F1775" s="14" t="s">
        <v>1532</v>
      </c>
      <c r="G1775" s="14" t="str">
        <f>""</f>
        <v/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388</v>
      </c>
      <c r="L1775" s="14" t="s">
        <v>387</v>
      </c>
      <c r="M1775" s="14" t="s">
        <v>392</v>
      </c>
      <c r="N1775" s="14" t="s">
        <v>386</v>
      </c>
      <c r="P1775" s="14" t="s">
        <v>31</v>
      </c>
      <c r="Q1775" s="14" t="s">
        <v>25</v>
      </c>
      <c r="R1775" s="14" t="s">
        <v>388</v>
      </c>
    </row>
    <row r="1776" spans="1:18" s="14" customFormat="1" x14ac:dyDescent="0.25">
      <c r="A1776" s="14" t="str">
        <f>"10001"</f>
        <v>10001</v>
      </c>
      <c r="B1776" s="14" t="str">
        <f>"02080"</f>
        <v>02080</v>
      </c>
      <c r="C1776" s="14" t="str">
        <f>"1400"</f>
        <v>1400</v>
      </c>
      <c r="D1776" s="14" t="str">
        <f>"02080"</f>
        <v>02080</v>
      </c>
      <c r="E1776" s="14" t="s">
        <v>20</v>
      </c>
      <c r="F1776" s="14" t="s">
        <v>203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204</v>
      </c>
      <c r="L1776" s="14" t="s">
        <v>205</v>
      </c>
      <c r="P1776" s="14" t="s">
        <v>31</v>
      </c>
      <c r="Q1776" s="14" t="s">
        <v>25</v>
      </c>
      <c r="R1776" s="14" t="s">
        <v>206</v>
      </c>
    </row>
    <row r="1777" spans="1:18" s="14" customFormat="1" x14ac:dyDescent="0.25">
      <c r="A1777" s="14" t="str">
        <f>"10001"</f>
        <v>10001</v>
      </c>
      <c r="B1777" s="14" t="str">
        <f>"02085"</f>
        <v>02085</v>
      </c>
      <c r="C1777" s="14" t="str">
        <f>"1400"</f>
        <v>1400</v>
      </c>
      <c r="D1777" s="14" t="str">
        <f>"02085"</f>
        <v>02085</v>
      </c>
      <c r="E1777" s="14" t="s">
        <v>20</v>
      </c>
      <c r="F1777" s="14" t="s">
        <v>207</v>
      </c>
      <c r="G1777" s="14" t="str">
        <f>""</f>
        <v/>
      </c>
      <c r="H1777" s="14" t="str">
        <f>" 00"</f>
        <v xml:space="preserve"> 00</v>
      </c>
      <c r="I1777" s="14">
        <v>0.01</v>
      </c>
      <c r="J1777" s="14">
        <v>9999999.9900000002</v>
      </c>
      <c r="K1777" s="14" t="s">
        <v>204</v>
      </c>
      <c r="L1777" s="14" t="s">
        <v>208</v>
      </c>
      <c r="P1777" s="14" t="s">
        <v>31</v>
      </c>
      <c r="Q1777" s="14" t="s">
        <v>25</v>
      </c>
      <c r="R1777" s="14" t="s">
        <v>208</v>
      </c>
    </row>
    <row r="1778" spans="1:18" s="14" customFormat="1" x14ac:dyDescent="0.25">
      <c r="A1778" s="14" t="str">
        <f>"10001"</f>
        <v>10001</v>
      </c>
      <c r="B1778" s="14" t="str">
        <f>"01700"</f>
        <v>01700</v>
      </c>
      <c r="C1778" s="14" t="str">
        <f>"1100"</f>
        <v>1100</v>
      </c>
      <c r="D1778" s="14" t="str">
        <f>"01700"</f>
        <v>01700</v>
      </c>
      <c r="E1778" s="14" t="s">
        <v>20</v>
      </c>
      <c r="F1778" s="14" t="s">
        <v>157</v>
      </c>
      <c r="G1778" s="14" t="str">
        <f>""</f>
        <v/>
      </c>
      <c r="H1778" s="14" t="str">
        <f>" 20"</f>
        <v xml:space="preserve"> 20</v>
      </c>
      <c r="I1778" s="14">
        <v>500.01</v>
      </c>
      <c r="J1778" s="14">
        <v>9999999.9900000002</v>
      </c>
      <c r="K1778" s="14" t="s">
        <v>158</v>
      </c>
      <c r="L1778" s="14" t="s">
        <v>147</v>
      </c>
      <c r="M1778" s="14" t="s">
        <v>154</v>
      </c>
      <c r="P1778" s="14" t="s">
        <v>39</v>
      </c>
      <c r="Q1778" s="14" t="s">
        <v>25</v>
      </c>
      <c r="R1778" s="14" t="s">
        <v>146</v>
      </c>
    </row>
    <row r="1779" spans="1:18" s="14" customFormat="1" x14ac:dyDescent="0.25">
      <c r="A1779" s="14" t="str">
        <f>"18528"</f>
        <v>18528</v>
      </c>
      <c r="B1779" s="14" t="str">
        <f>"01700"</f>
        <v>01700</v>
      </c>
      <c r="C1779" s="14" t="str">
        <f>"1300"</f>
        <v>1300</v>
      </c>
      <c r="D1779" s="14" t="str">
        <f>""</f>
        <v/>
      </c>
      <c r="E1779" s="14" t="s">
        <v>728</v>
      </c>
      <c r="F1779" s="14" t="s">
        <v>157</v>
      </c>
      <c r="G1779" s="14" t="str">
        <f>""</f>
        <v/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158</v>
      </c>
      <c r="L1779" s="14" t="s">
        <v>147</v>
      </c>
      <c r="P1779" s="14" t="s">
        <v>701</v>
      </c>
      <c r="Q1779" s="14" t="s">
        <v>25</v>
      </c>
      <c r="R1779" s="14" t="s">
        <v>146</v>
      </c>
    </row>
    <row r="1780" spans="1:18" s="14" customFormat="1" x14ac:dyDescent="0.25">
      <c r="A1780" s="14" t="str">
        <f>"10001"</f>
        <v>10001</v>
      </c>
      <c r="B1780" s="14" t="str">
        <f>"05060"</f>
        <v>05060</v>
      </c>
      <c r="C1780" s="14" t="str">
        <f>"1700"</f>
        <v>1700</v>
      </c>
      <c r="D1780" s="14" t="str">
        <f>"05060A"</f>
        <v>05060A</v>
      </c>
      <c r="E1780" s="14" t="s">
        <v>20</v>
      </c>
      <c r="F1780" s="14" t="s">
        <v>380</v>
      </c>
      <c r="G1780" s="14" t="str">
        <f>""</f>
        <v/>
      </c>
      <c r="H1780" s="14" t="str">
        <f>" 10"</f>
        <v xml:space="preserve"> 10</v>
      </c>
      <c r="I1780" s="14">
        <v>0.01</v>
      </c>
      <c r="J1780" s="14">
        <v>500</v>
      </c>
      <c r="K1780" s="14" t="s">
        <v>381</v>
      </c>
      <c r="L1780" s="14" t="s">
        <v>382</v>
      </c>
      <c r="P1780" s="14" t="s">
        <v>31</v>
      </c>
      <c r="Q1780" s="14" t="s">
        <v>25</v>
      </c>
      <c r="R1780" s="14" t="s">
        <v>383</v>
      </c>
    </row>
    <row r="1781" spans="1:18" s="14" customFormat="1" x14ac:dyDescent="0.25">
      <c r="A1781" s="14" t="str">
        <f>"10001"</f>
        <v>10001</v>
      </c>
      <c r="B1781" s="14" t="str">
        <f>"05060"</f>
        <v>05060</v>
      </c>
      <c r="C1781" s="14" t="str">
        <f>"1700"</f>
        <v>1700</v>
      </c>
      <c r="D1781" s="14" t="str">
        <f>"05060A"</f>
        <v>05060A</v>
      </c>
      <c r="E1781" s="14" t="s">
        <v>20</v>
      </c>
      <c r="F1781" s="14" t="s">
        <v>380</v>
      </c>
      <c r="G1781" s="14" t="str">
        <f>""</f>
        <v/>
      </c>
      <c r="H1781" s="14" t="str">
        <f>" 20"</f>
        <v xml:space="preserve"> 20</v>
      </c>
      <c r="I1781" s="14">
        <v>500.01</v>
      </c>
      <c r="J1781" s="14">
        <v>9999999.9900000002</v>
      </c>
      <c r="K1781" s="14" t="s">
        <v>381</v>
      </c>
      <c r="L1781" s="14" t="s">
        <v>47</v>
      </c>
      <c r="M1781" s="14" t="s">
        <v>382</v>
      </c>
      <c r="P1781" s="14" t="s">
        <v>31</v>
      </c>
      <c r="Q1781" s="14" t="s">
        <v>25</v>
      </c>
      <c r="R1781" s="14" t="s">
        <v>383</v>
      </c>
    </row>
    <row r="1782" spans="1:18" s="14" customFormat="1" x14ac:dyDescent="0.25">
      <c r="A1782" s="14" t="str">
        <f>"10001"</f>
        <v>10001</v>
      </c>
      <c r="B1782" s="14" t="str">
        <f>"05070"</f>
        <v>05070</v>
      </c>
      <c r="C1782" s="14" t="str">
        <f>"1700"</f>
        <v>1700</v>
      </c>
      <c r="D1782" s="14" t="str">
        <f>"05070"</f>
        <v>05070</v>
      </c>
      <c r="E1782" s="14" t="s">
        <v>20</v>
      </c>
      <c r="F1782" s="14" t="s">
        <v>384</v>
      </c>
      <c r="G1782" s="14" t="str">
        <f>""</f>
        <v/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381</v>
      </c>
      <c r="L1782" s="14" t="s">
        <v>382</v>
      </c>
      <c r="P1782" s="14" t="s">
        <v>31</v>
      </c>
      <c r="Q1782" s="14" t="s">
        <v>25</v>
      </c>
      <c r="R1782" s="14" t="s">
        <v>383</v>
      </c>
    </row>
    <row r="1783" spans="1:18" s="14" customFormat="1" x14ac:dyDescent="0.25">
      <c r="A1783" s="14" t="str">
        <f>"16048"</f>
        <v>16048</v>
      </c>
      <c r="B1783" s="14" t="str">
        <f>"05050"</f>
        <v>05050</v>
      </c>
      <c r="C1783" s="14" t="str">
        <f>"1700"</f>
        <v>1700</v>
      </c>
      <c r="D1783" s="14" t="str">
        <f>"16048"</f>
        <v>16048</v>
      </c>
      <c r="E1783" s="14" t="s">
        <v>562</v>
      </c>
      <c r="F1783" s="14" t="s">
        <v>563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381</v>
      </c>
      <c r="L1783" s="14" t="s">
        <v>382</v>
      </c>
      <c r="P1783" s="14" t="s">
        <v>31</v>
      </c>
      <c r="Q1783" s="14" t="s">
        <v>25</v>
      </c>
      <c r="R1783" s="14" t="s">
        <v>383</v>
      </c>
    </row>
    <row r="1784" spans="1:18" s="14" customFormat="1" x14ac:dyDescent="0.25">
      <c r="A1784" s="14" t="str">
        <f>"16060"</f>
        <v>16060</v>
      </c>
      <c r="B1784" s="14" t="str">
        <f>"05050"</f>
        <v>05050</v>
      </c>
      <c r="C1784" s="14" t="str">
        <f>"1700"</f>
        <v>1700</v>
      </c>
      <c r="D1784" s="14" t="str">
        <f>"16060"</f>
        <v>16060</v>
      </c>
      <c r="E1784" s="14" t="s">
        <v>574</v>
      </c>
      <c r="F1784" s="14" t="s">
        <v>563</v>
      </c>
      <c r="G1784" s="14" t="str">
        <f>""</f>
        <v/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381</v>
      </c>
      <c r="L1784" s="14" t="s">
        <v>382</v>
      </c>
      <c r="P1784" s="14" t="s">
        <v>31</v>
      </c>
      <c r="Q1784" s="14" t="s">
        <v>25</v>
      </c>
      <c r="R1784" s="14" t="s">
        <v>383</v>
      </c>
    </row>
    <row r="1785" spans="1:18" s="14" customFormat="1" x14ac:dyDescent="0.25">
      <c r="A1785" s="14" t="str">
        <f>"30105"</f>
        <v>30105</v>
      </c>
      <c r="B1785" s="14" t="str">
        <f>"05040"</f>
        <v>05040</v>
      </c>
      <c r="C1785" s="14" t="str">
        <f>"1930"</f>
        <v>1930</v>
      </c>
      <c r="D1785" s="14" t="str">
        <f>"05040"</f>
        <v>05040</v>
      </c>
      <c r="E1785" s="14" t="s">
        <v>951</v>
      </c>
      <c r="F1785" s="14" t="s">
        <v>952</v>
      </c>
      <c r="G1785" s="14" t="str">
        <f>""</f>
        <v/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381</v>
      </c>
      <c r="L1785" s="14" t="s">
        <v>382</v>
      </c>
      <c r="P1785" s="14" t="s">
        <v>31</v>
      </c>
      <c r="Q1785" s="14" t="s">
        <v>25</v>
      </c>
      <c r="R1785" s="14" t="s">
        <v>383</v>
      </c>
    </row>
    <row r="1786" spans="1:18" s="14" customFormat="1" x14ac:dyDescent="0.25">
      <c r="A1786" s="14" t="str">
        <f>"30105"</f>
        <v>30105</v>
      </c>
      <c r="B1786" s="14" t="str">
        <f>"05050"</f>
        <v>05050</v>
      </c>
      <c r="C1786" s="14" t="str">
        <f>"1930"</f>
        <v>1930</v>
      </c>
      <c r="D1786" s="14" t="str">
        <f>"05050"</f>
        <v>05050</v>
      </c>
      <c r="E1786" s="14" t="s">
        <v>951</v>
      </c>
      <c r="F1786" s="14" t="s">
        <v>563</v>
      </c>
      <c r="G1786" s="14" t="str">
        <f>""</f>
        <v/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381</v>
      </c>
      <c r="L1786" s="14" t="s">
        <v>382</v>
      </c>
      <c r="P1786" s="14" t="s">
        <v>31</v>
      </c>
      <c r="Q1786" s="14" t="s">
        <v>25</v>
      </c>
      <c r="R1786" s="14" t="s">
        <v>383</v>
      </c>
    </row>
    <row r="1787" spans="1:18" s="14" customFormat="1" x14ac:dyDescent="0.25">
      <c r="A1787" s="14" t="str">
        <f>"84033"</f>
        <v>84033</v>
      </c>
      <c r="B1787" s="14" t="str">
        <f>"07020"</f>
        <v>07020</v>
      </c>
      <c r="C1787" s="14" t="str">
        <f>"1700"</f>
        <v>1700</v>
      </c>
      <c r="D1787" s="14" t="str">
        <f>"84033"</f>
        <v>84033</v>
      </c>
      <c r="E1787" s="14" t="s">
        <v>1576</v>
      </c>
      <c r="F1787" s="14" t="s">
        <v>1532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381</v>
      </c>
      <c r="L1787" s="14" t="s">
        <v>382</v>
      </c>
      <c r="M1787" s="14" t="s">
        <v>1570</v>
      </c>
      <c r="P1787" s="14" t="s">
        <v>31</v>
      </c>
      <c r="Q1787" s="14" t="s">
        <v>31</v>
      </c>
      <c r="R1787" s="14" t="s">
        <v>383</v>
      </c>
    </row>
    <row r="1788" spans="1:18" s="14" customFormat="1" x14ac:dyDescent="0.25">
      <c r="A1788" s="14" t="str">
        <f>"84069"</f>
        <v>84069</v>
      </c>
      <c r="B1788" s="14" t="str">
        <f>"07020"</f>
        <v>07020</v>
      </c>
      <c r="C1788" s="14" t="str">
        <f>"1700"</f>
        <v>1700</v>
      </c>
      <c r="D1788" s="14" t="str">
        <f>"84069"</f>
        <v>84069</v>
      </c>
      <c r="E1788" s="14" t="s">
        <v>1610</v>
      </c>
      <c r="F1788" s="14" t="s">
        <v>1532</v>
      </c>
      <c r="G1788" s="14" t="str">
        <f>""</f>
        <v/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381</v>
      </c>
      <c r="L1788" s="14" t="s">
        <v>382</v>
      </c>
      <c r="M1788" s="14" t="s">
        <v>1570</v>
      </c>
      <c r="P1788" s="14" t="s">
        <v>31</v>
      </c>
      <c r="Q1788" s="14" t="s">
        <v>31</v>
      </c>
      <c r="R1788" s="14" t="s">
        <v>383</v>
      </c>
    </row>
    <row r="1789" spans="1:18" s="14" customFormat="1" x14ac:dyDescent="0.25">
      <c r="A1789" s="14" t="str">
        <f>"84084"</f>
        <v>84084</v>
      </c>
      <c r="B1789" s="14" t="str">
        <f>"07020"</f>
        <v>07020</v>
      </c>
      <c r="C1789" s="14" t="str">
        <f>"1700"</f>
        <v>1700</v>
      </c>
      <c r="D1789" s="14" t="str">
        <f>"84084"</f>
        <v>84084</v>
      </c>
      <c r="E1789" s="14" t="s">
        <v>1621</v>
      </c>
      <c r="F1789" s="14" t="s">
        <v>1532</v>
      </c>
      <c r="G1789" s="14" t="str">
        <f>""</f>
        <v/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381</v>
      </c>
      <c r="L1789" s="14" t="s">
        <v>382</v>
      </c>
      <c r="M1789" s="14" t="s">
        <v>1570</v>
      </c>
      <c r="P1789" s="14" t="s">
        <v>31</v>
      </c>
      <c r="Q1789" s="14" t="s">
        <v>31</v>
      </c>
      <c r="R1789" s="14" t="s">
        <v>383</v>
      </c>
    </row>
    <row r="1790" spans="1:18" s="14" customFormat="1" x14ac:dyDescent="0.25">
      <c r="A1790" s="14" t="str">
        <f>"84166"</f>
        <v>84166</v>
      </c>
      <c r="B1790" s="14" t="str">
        <f>"07020"</f>
        <v>07020</v>
      </c>
      <c r="C1790" s="14" t="str">
        <f>"1700"</f>
        <v>1700</v>
      </c>
      <c r="D1790" s="14" t="str">
        <f>"84166"</f>
        <v>84166</v>
      </c>
      <c r="E1790" s="14" t="s">
        <v>1683</v>
      </c>
      <c r="F1790" s="14" t="s">
        <v>1532</v>
      </c>
      <c r="G1790" s="14" t="str">
        <f>""</f>
        <v/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381</v>
      </c>
      <c r="L1790" s="14" t="s">
        <v>382</v>
      </c>
      <c r="M1790" s="14" t="s">
        <v>1570</v>
      </c>
      <c r="P1790" s="14" t="s">
        <v>31</v>
      </c>
      <c r="Q1790" s="14" t="s">
        <v>31</v>
      </c>
      <c r="R1790" s="14" t="s">
        <v>383</v>
      </c>
    </row>
    <row r="1791" spans="1:18" s="14" customFormat="1" x14ac:dyDescent="0.25">
      <c r="A1791" s="14" t="str">
        <f>"84203"</f>
        <v>84203</v>
      </c>
      <c r="B1791" s="14" t="str">
        <f>"07020"</f>
        <v>07020</v>
      </c>
      <c r="C1791" s="14" t="str">
        <f>"1700"</f>
        <v>1700</v>
      </c>
      <c r="D1791" s="14" t="str">
        <f>"84203"</f>
        <v>84203</v>
      </c>
      <c r="E1791" s="14" t="s">
        <v>1709</v>
      </c>
      <c r="F1791" s="14" t="s">
        <v>1532</v>
      </c>
      <c r="G1791" s="14" t="str">
        <f>""</f>
        <v/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381</v>
      </c>
      <c r="L1791" s="14" t="s">
        <v>382</v>
      </c>
      <c r="M1791" s="14" t="s">
        <v>1570</v>
      </c>
      <c r="P1791" s="14" t="s">
        <v>31</v>
      </c>
      <c r="Q1791" s="14" t="s">
        <v>31</v>
      </c>
      <c r="R1791" s="14" t="s">
        <v>383</v>
      </c>
    </row>
    <row r="1792" spans="1:18" s="14" customFormat="1" x14ac:dyDescent="0.25">
      <c r="A1792" s="14" t="str">
        <f>"84222"</f>
        <v>84222</v>
      </c>
      <c r="B1792" s="14" t="str">
        <f>"07020"</f>
        <v>07020</v>
      </c>
      <c r="C1792" s="14" t="str">
        <f>"1700"</f>
        <v>1700</v>
      </c>
      <c r="D1792" s="14" t="str">
        <f>"84222"</f>
        <v>84222</v>
      </c>
      <c r="E1792" s="14" t="s">
        <v>1728</v>
      </c>
      <c r="F1792" s="14" t="s">
        <v>1532</v>
      </c>
      <c r="G1792" s="14" t="str">
        <f>""</f>
        <v/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381</v>
      </c>
      <c r="L1792" s="14" t="s">
        <v>382</v>
      </c>
      <c r="M1792" s="14" t="s">
        <v>1570</v>
      </c>
      <c r="P1792" s="14" t="s">
        <v>31</v>
      </c>
      <c r="Q1792" s="14" t="s">
        <v>31</v>
      </c>
      <c r="R1792" s="14" t="s">
        <v>383</v>
      </c>
    </row>
    <row r="1793" spans="1:18" s="14" customFormat="1" x14ac:dyDescent="0.25">
      <c r="A1793" s="14" t="str">
        <f>"84244"</f>
        <v>84244</v>
      </c>
      <c r="B1793" s="14" t="str">
        <f>"07020"</f>
        <v>07020</v>
      </c>
      <c r="C1793" s="14" t="str">
        <f>"1700"</f>
        <v>1700</v>
      </c>
      <c r="D1793" s="14" t="str">
        <f>"84244"</f>
        <v>84244</v>
      </c>
      <c r="E1793" s="14" t="s">
        <v>1762</v>
      </c>
      <c r="F1793" s="14" t="s">
        <v>1532</v>
      </c>
      <c r="G1793" s="14" t="str">
        <f>""</f>
        <v/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381</v>
      </c>
      <c r="L1793" s="14" t="s">
        <v>382</v>
      </c>
      <c r="M1793" s="14" t="s">
        <v>1570</v>
      </c>
      <c r="P1793" s="14" t="s">
        <v>31</v>
      </c>
      <c r="Q1793" s="14" t="s">
        <v>31</v>
      </c>
      <c r="R1793" s="14" t="s">
        <v>383</v>
      </c>
    </row>
    <row r="1794" spans="1:18" s="14" customFormat="1" x14ac:dyDescent="0.25">
      <c r="A1794" s="14" t="str">
        <f>"85014"</f>
        <v>85014</v>
      </c>
      <c r="B1794" s="14" t="str">
        <f>"07030"</f>
        <v>07030</v>
      </c>
      <c r="C1794" s="14" t="str">
        <f>"8000"</f>
        <v>8000</v>
      </c>
      <c r="D1794" s="14" t="str">
        <f>"85014"</f>
        <v>85014</v>
      </c>
      <c r="E1794" s="14" t="s">
        <v>1778</v>
      </c>
      <c r="F1794" s="14" t="s">
        <v>1776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381</v>
      </c>
      <c r="L1794" s="14" t="s">
        <v>382</v>
      </c>
      <c r="P1794" s="14" t="s">
        <v>31</v>
      </c>
      <c r="Q1794" s="14" t="s">
        <v>31</v>
      </c>
      <c r="R1794" s="14" t="s">
        <v>383</v>
      </c>
    </row>
    <row r="1795" spans="1:18" s="14" customFormat="1" x14ac:dyDescent="0.25">
      <c r="A1795" s="14" t="str">
        <f>"10001"</f>
        <v>10001</v>
      </c>
      <c r="B1795" s="14" t="str">
        <f>"01820"</f>
        <v>01820</v>
      </c>
      <c r="C1795" s="14" t="str">
        <f>"1100"</f>
        <v>1100</v>
      </c>
      <c r="D1795" s="14" t="str">
        <f>"01820"</f>
        <v>01820</v>
      </c>
      <c r="E1795" s="14" t="s">
        <v>20</v>
      </c>
      <c r="F1795" s="14" t="s">
        <v>185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186</v>
      </c>
      <c r="L1795" s="14" t="s">
        <v>112</v>
      </c>
      <c r="M1795" s="14" t="s">
        <v>113</v>
      </c>
      <c r="N1795" s="14" t="s">
        <v>114</v>
      </c>
      <c r="P1795" s="14" t="s">
        <v>31</v>
      </c>
      <c r="Q1795" s="14" t="s">
        <v>25</v>
      </c>
      <c r="R1795" s="14" t="s">
        <v>115</v>
      </c>
    </row>
    <row r="1796" spans="1:18" s="14" customFormat="1" x14ac:dyDescent="0.25">
      <c r="A1796" s="14" t="str">
        <f>"19291"</f>
        <v>19291</v>
      </c>
      <c r="B1796" s="14" t="str">
        <f>"01820"</f>
        <v>01820</v>
      </c>
      <c r="C1796" s="14" t="str">
        <f>"1200"</f>
        <v>1200</v>
      </c>
      <c r="D1796" s="14" t="str">
        <f>"19291"</f>
        <v>19291</v>
      </c>
      <c r="E1796" s="14" t="s">
        <v>813</v>
      </c>
      <c r="F1796" s="14" t="s">
        <v>185</v>
      </c>
      <c r="G1796" s="14" t="str">
        <f>"GR0019291"</f>
        <v>GR0019291</v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186</v>
      </c>
      <c r="L1796" s="14" t="s">
        <v>112</v>
      </c>
      <c r="M1796" s="14" t="s">
        <v>113</v>
      </c>
      <c r="N1796" s="14" t="s">
        <v>114</v>
      </c>
      <c r="O1796" s="14" t="s">
        <v>814</v>
      </c>
      <c r="P1796" s="14" t="s">
        <v>31</v>
      </c>
      <c r="Q1796" s="14" t="s">
        <v>31</v>
      </c>
      <c r="R1796" s="14" t="s">
        <v>115</v>
      </c>
    </row>
    <row r="1797" spans="1:18" s="14" customFormat="1" x14ac:dyDescent="0.25">
      <c r="A1797" s="14" t="str">
        <f>"19301"</f>
        <v>19301</v>
      </c>
      <c r="B1797" s="14" t="str">
        <f>"01820"</f>
        <v>01820</v>
      </c>
      <c r="C1797" s="14" t="str">
        <f>"1200"</f>
        <v>1200</v>
      </c>
      <c r="D1797" s="14" t="str">
        <f>"19301"</f>
        <v>19301</v>
      </c>
      <c r="E1797" s="14" t="s">
        <v>831</v>
      </c>
      <c r="F1797" s="14" t="s">
        <v>185</v>
      </c>
      <c r="G1797" s="14" t="str">
        <f>"GR0019301"</f>
        <v>GR0019301</v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186</v>
      </c>
      <c r="L1797" s="14" t="s">
        <v>112</v>
      </c>
      <c r="M1797" s="14" t="s">
        <v>113</v>
      </c>
      <c r="N1797" s="14" t="s">
        <v>114</v>
      </c>
      <c r="O1797" s="14" t="s">
        <v>772</v>
      </c>
      <c r="P1797" s="14" t="s">
        <v>31</v>
      </c>
      <c r="Q1797" s="14" t="s">
        <v>31</v>
      </c>
      <c r="R1797" s="14" t="s">
        <v>115</v>
      </c>
    </row>
    <row r="1798" spans="1:18" s="14" customFormat="1" x14ac:dyDescent="0.25">
      <c r="A1798" s="14" t="str">
        <f>"84010"</f>
        <v>84010</v>
      </c>
      <c r="B1798" s="14" t="str">
        <f>"07020"</f>
        <v>07020</v>
      </c>
      <c r="C1798" s="14" t="str">
        <f>"1700"</f>
        <v>1700</v>
      </c>
      <c r="D1798" s="14" t="str">
        <f>"84010"</f>
        <v>84010</v>
      </c>
      <c r="E1798" s="14" t="s">
        <v>1542</v>
      </c>
      <c r="F1798" s="14" t="s">
        <v>1532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186</v>
      </c>
      <c r="P1798" s="14" t="s">
        <v>31</v>
      </c>
      <c r="Q1798" s="14" t="s">
        <v>31</v>
      </c>
      <c r="R1798" s="14" t="s">
        <v>115</v>
      </c>
    </row>
    <row r="1799" spans="1:18" s="14" customFormat="1" x14ac:dyDescent="0.25">
      <c r="A1799" s="14" t="str">
        <f>"84025"</f>
        <v>84025</v>
      </c>
      <c r="B1799" s="14" t="str">
        <f>"07020"</f>
        <v>07020</v>
      </c>
      <c r="C1799" s="14" t="str">
        <f>"1700"</f>
        <v>1700</v>
      </c>
      <c r="D1799" s="14" t="str">
        <f>"84025"</f>
        <v>84025</v>
      </c>
      <c r="E1799" s="14" t="s">
        <v>1564</v>
      </c>
      <c r="F1799" s="14" t="s">
        <v>1532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1565</v>
      </c>
      <c r="L1799" s="14" t="s">
        <v>1566</v>
      </c>
      <c r="P1799" s="14" t="s">
        <v>31</v>
      </c>
      <c r="Q1799" s="14" t="s">
        <v>31</v>
      </c>
      <c r="R1799" s="14" t="s">
        <v>1565</v>
      </c>
    </row>
    <row r="1800" spans="1:18" s="14" customFormat="1" x14ac:dyDescent="0.25">
      <c r="A1800" s="14" t="str">
        <f>"84208"</f>
        <v>84208</v>
      </c>
      <c r="B1800" s="14" t="str">
        <f>"07020"</f>
        <v>07020</v>
      </c>
      <c r="C1800" s="14" t="str">
        <f>"1700"</f>
        <v>1700</v>
      </c>
      <c r="D1800" s="14" t="str">
        <f>"84208"</f>
        <v>84208</v>
      </c>
      <c r="E1800" s="14" t="s">
        <v>1713</v>
      </c>
      <c r="F1800" s="14" t="s">
        <v>1532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1565</v>
      </c>
      <c r="L1800" s="14" t="s">
        <v>392</v>
      </c>
      <c r="P1800" s="14" t="s">
        <v>31</v>
      </c>
      <c r="Q1800" s="14" t="s">
        <v>31</v>
      </c>
      <c r="R1800" s="14" t="s">
        <v>392</v>
      </c>
    </row>
    <row r="1801" spans="1:18" s="14" customFormat="1" x14ac:dyDescent="0.25">
      <c r="A1801" s="14" t="str">
        <f>"84098"</f>
        <v>84098</v>
      </c>
      <c r="B1801" s="14" t="str">
        <f>"07020"</f>
        <v>07020</v>
      </c>
      <c r="C1801" s="14" t="str">
        <f>"1700"</f>
        <v>1700</v>
      </c>
      <c r="D1801" s="14" t="str">
        <f>"84098"</f>
        <v>84098</v>
      </c>
      <c r="E1801" s="14" t="s">
        <v>1637</v>
      </c>
      <c r="F1801" s="14" t="s">
        <v>1532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1638</v>
      </c>
      <c r="L1801" s="14" t="s">
        <v>1639</v>
      </c>
      <c r="P1801" s="14" t="s">
        <v>31</v>
      </c>
      <c r="Q1801" s="14" t="s">
        <v>31</v>
      </c>
      <c r="R1801" s="14" t="s">
        <v>111</v>
      </c>
    </row>
    <row r="1802" spans="1:18" s="14" customFormat="1" x14ac:dyDescent="0.25">
      <c r="A1802" s="14" t="str">
        <f>"84210"</f>
        <v>84210</v>
      </c>
      <c r="B1802" s="14" t="str">
        <f>"07020"</f>
        <v>07020</v>
      </c>
      <c r="C1802" s="14" t="str">
        <f>"1700"</f>
        <v>1700</v>
      </c>
      <c r="D1802" s="14" t="str">
        <f>"84210"</f>
        <v>84210</v>
      </c>
      <c r="E1802" s="14" t="s">
        <v>1715</v>
      </c>
      <c r="F1802" s="14" t="s">
        <v>1532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1716</v>
      </c>
      <c r="P1802" s="14" t="s">
        <v>31</v>
      </c>
      <c r="Q1802" s="14" t="s">
        <v>31</v>
      </c>
      <c r="R1802" s="14" t="s">
        <v>1716</v>
      </c>
    </row>
    <row r="1803" spans="1:18" s="14" customFormat="1" x14ac:dyDescent="0.25">
      <c r="A1803" s="14" t="str">
        <f>"10001"</f>
        <v>10001</v>
      </c>
      <c r="B1803" s="14" t="str">
        <f>"01720"</f>
        <v>01720</v>
      </c>
      <c r="C1803" s="14" t="str">
        <f>"1100"</f>
        <v>1100</v>
      </c>
      <c r="D1803" s="14" t="str">
        <f>"01720"</f>
        <v>01720</v>
      </c>
      <c r="E1803" s="14" t="s">
        <v>20</v>
      </c>
      <c r="F1803" s="14" t="s">
        <v>163</v>
      </c>
      <c r="G1803" s="14" t="str">
        <f>""</f>
        <v/>
      </c>
      <c r="H1803" s="14" t="str">
        <f>" 20"</f>
        <v xml:space="preserve"> 20</v>
      </c>
      <c r="I1803" s="14">
        <v>500.01</v>
      </c>
      <c r="J1803" s="14">
        <v>9999999.9900000002</v>
      </c>
      <c r="K1803" s="14" t="s">
        <v>164</v>
      </c>
      <c r="L1803" s="14" t="s">
        <v>147</v>
      </c>
      <c r="M1803" s="14" t="s">
        <v>154</v>
      </c>
      <c r="P1803" s="14" t="s">
        <v>39</v>
      </c>
      <c r="Q1803" s="14" t="s">
        <v>25</v>
      </c>
      <c r="R1803" s="14" t="s">
        <v>146</v>
      </c>
    </row>
    <row r="1804" spans="1:18" s="14" customFormat="1" x14ac:dyDescent="0.25">
      <c r="A1804" s="14" t="str">
        <f>"10001"</f>
        <v>10001</v>
      </c>
      <c r="B1804" s="14" t="str">
        <f>"01305"</f>
        <v>01305</v>
      </c>
      <c r="C1804" s="14" t="str">
        <f>"1300"</f>
        <v>1300</v>
      </c>
      <c r="D1804" s="14" t="str">
        <f>"01305"</f>
        <v>01305</v>
      </c>
      <c r="E1804" s="14" t="s">
        <v>20</v>
      </c>
      <c r="F1804" s="14" t="s">
        <v>99</v>
      </c>
      <c r="G1804" s="14" t="str">
        <f>""</f>
        <v/>
      </c>
      <c r="H1804" s="14" t="str">
        <f>" 10"</f>
        <v xml:space="preserve"> 10</v>
      </c>
      <c r="I1804" s="14">
        <v>0.01</v>
      </c>
      <c r="J1804" s="14">
        <v>500</v>
      </c>
      <c r="K1804" s="14" t="s">
        <v>100</v>
      </c>
      <c r="P1804" s="14" t="s">
        <v>31</v>
      </c>
      <c r="Q1804" s="14" t="s">
        <v>25</v>
      </c>
      <c r="R1804" s="14" t="s">
        <v>90</v>
      </c>
    </row>
    <row r="1805" spans="1:18" s="14" customFormat="1" x14ac:dyDescent="0.25">
      <c r="A1805" s="14" t="str">
        <f>"10001"</f>
        <v>10001</v>
      </c>
      <c r="B1805" s="14" t="str">
        <f>"00164"</f>
        <v>00164</v>
      </c>
      <c r="C1805" s="14" t="str">
        <f>"1400"</f>
        <v>1400</v>
      </c>
      <c r="D1805" s="14" t="str">
        <f>"00164"</f>
        <v>00164</v>
      </c>
      <c r="E1805" s="14" t="s">
        <v>20</v>
      </c>
      <c r="F1805" s="14" t="s">
        <v>41</v>
      </c>
      <c r="G1805" s="14" t="str">
        <f>""</f>
        <v/>
      </c>
      <c r="H1805" s="14" t="str">
        <f>" 00"</f>
        <v xml:space="preserve"> 00</v>
      </c>
      <c r="I1805" s="14">
        <v>0.01</v>
      </c>
      <c r="J1805" s="14">
        <v>9999999.9900000002</v>
      </c>
      <c r="K1805" s="14" t="s">
        <v>30</v>
      </c>
      <c r="L1805" s="14" t="s">
        <v>42</v>
      </c>
      <c r="P1805" s="14" t="s">
        <v>24</v>
      </c>
      <c r="Q1805" s="14" t="s">
        <v>25</v>
      </c>
      <c r="R1805" s="14" t="s">
        <v>43</v>
      </c>
    </row>
    <row r="1806" spans="1:18" s="14" customFormat="1" x14ac:dyDescent="0.25">
      <c r="A1806" s="14" t="str">
        <f>"10001"</f>
        <v>10001</v>
      </c>
      <c r="B1806" s="14" t="str">
        <f>"04010"</f>
        <v>04010</v>
      </c>
      <c r="C1806" s="14" t="str">
        <f>"1400"</f>
        <v>1400</v>
      </c>
      <c r="D1806" s="14" t="str">
        <f>"04010"</f>
        <v>04010</v>
      </c>
      <c r="E1806" s="14" t="s">
        <v>20</v>
      </c>
      <c r="F1806" s="14" t="s">
        <v>361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30</v>
      </c>
      <c r="L1806" s="14" t="s">
        <v>42</v>
      </c>
      <c r="P1806" s="14" t="s">
        <v>24</v>
      </c>
      <c r="Q1806" s="14" t="s">
        <v>25</v>
      </c>
      <c r="R1806" s="14" t="s">
        <v>43</v>
      </c>
    </row>
    <row r="1807" spans="1:18" s="14" customFormat="1" x14ac:dyDescent="0.25">
      <c r="A1807" s="14" t="str">
        <f>"10001"</f>
        <v>10001</v>
      </c>
      <c r="B1807" s="14" t="str">
        <f>"04020"</f>
        <v>04020</v>
      </c>
      <c r="C1807" s="14" t="str">
        <f>"1400"</f>
        <v>1400</v>
      </c>
      <c r="D1807" s="14" t="str">
        <f>"04020"</f>
        <v>04020</v>
      </c>
      <c r="E1807" s="14" t="s">
        <v>20</v>
      </c>
      <c r="F1807" s="14" t="s">
        <v>364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30</v>
      </c>
      <c r="L1807" s="14" t="s">
        <v>42</v>
      </c>
      <c r="P1807" s="14" t="s">
        <v>24</v>
      </c>
      <c r="Q1807" s="14" t="s">
        <v>25</v>
      </c>
      <c r="R1807" s="14" t="s">
        <v>43</v>
      </c>
    </row>
    <row r="1808" spans="1:18" s="14" customFormat="1" x14ac:dyDescent="0.25">
      <c r="A1808" s="14" t="str">
        <f>"10001"</f>
        <v>10001</v>
      </c>
      <c r="B1808" s="14" t="str">
        <f>"04030"</f>
        <v>04030</v>
      </c>
      <c r="C1808" s="14" t="str">
        <f>"1400"</f>
        <v>1400</v>
      </c>
      <c r="D1808" s="14" t="str">
        <f>"04030"</f>
        <v>04030</v>
      </c>
      <c r="E1808" s="14" t="s">
        <v>20</v>
      </c>
      <c r="F1808" s="14" t="s">
        <v>365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30</v>
      </c>
      <c r="L1808" s="14" t="s">
        <v>42</v>
      </c>
      <c r="P1808" s="14" t="s">
        <v>24</v>
      </c>
      <c r="Q1808" s="14" t="s">
        <v>25</v>
      </c>
      <c r="R1808" s="14" t="s">
        <v>43</v>
      </c>
    </row>
    <row r="1809" spans="1:18" s="14" customFormat="1" x14ac:dyDescent="0.25">
      <c r="A1809" s="14" t="str">
        <f>"12001"</f>
        <v>12001</v>
      </c>
      <c r="B1809" s="14" t="str">
        <f>"04010"</f>
        <v>04010</v>
      </c>
      <c r="C1809" s="14" t="str">
        <f>"1400"</f>
        <v>1400</v>
      </c>
      <c r="D1809" s="14" t="str">
        <f>"12001"</f>
        <v>12001</v>
      </c>
      <c r="E1809" s="14" t="s">
        <v>486</v>
      </c>
      <c r="F1809" s="14" t="s">
        <v>361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30</v>
      </c>
      <c r="L1809" s="14" t="s">
        <v>42</v>
      </c>
      <c r="P1809" s="14" t="s">
        <v>24</v>
      </c>
      <c r="Q1809" s="14" t="s">
        <v>24</v>
      </c>
      <c r="R1809" s="14" t="s">
        <v>487</v>
      </c>
    </row>
    <row r="1810" spans="1:18" s="14" customFormat="1" x14ac:dyDescent="0.25">
      <c r="A1810" s="14" t="str">
        <f>"12002"</f>
        <v>12002</v>
      </c>
      <c r="B1810" s="14" t="str">
        <f>"04010"</f>
        <v>04010</v>
      </c>
      <c r="C1810" s="14" t="str">
        <f>"1400"</f>
        <v>1400</v>
      </c>
      <c r="D1810" s="14" t="str">
        <f>""</f>
        <v/>
      </c>
      <c r="E1810" s="14" t="s">
        <v>488</v>
      </c>
      <c r="F1810" s="14" t="s">
        <v>361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30</v>
      </c>
      <c r="L1810" s="14" t="s">
        <v>42</v>
      </c>
      <c r="P1810" s="14" t="s">
        <v>24</v>
      </c>
      <c r="Q1810" s="14" t="s">
        <v>24</v>
      </c>
      <c r="R1810" s="14" t="s">
        <v>487</v>
      </c>
    </row>
    <row r="1811" spans="1:18" s="14" customFormat="1" x14ac:dyDescent="0.25">
      <c r="A1811" s="14" t="str">
        <f>"18044"</f>
        <v>18044</v>
      </c>
      <c r="B1811" s="14" t="str">
        <f>"04010"</f>
        <v>04010</v>
      </c>
      <c r="C1811" s="14" t="str">
        <f>"1400"</f>
        <v>1400</v>
      </c>
      <c r="D1811" s="14" t="str">
        <f>"18044"</f>
        <v>18044</v>
      </c>
      <c r="E1811" s="14" t="s">
        <v>611</v>
      </c>
      <c r="F1811" s="14" t="s">
        <v>361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30</v>
      </c>
      <c r="L1811" s="14" t="s">
        <v>42</v>
      </c>
      <c r="P1811" s="14" t="s">
        <v>24</v>
      </c>
      <c r="Q1811" s="14" t="s">
        <v>25</v>
      </c>
      <c r="R1811" s="14" t="s">
        <v>612</v>
      </c>
    </row>
    <row r="1812" spans="1:18" s="14" customFormat="1" x14ac:dyDescent="0.25">
      <c r="A1812" s="14" t="str">
        <f>"84064"</f>
        <v>84064</v>
      </c>
      <c r="B1812" s="14" t="str">
        <f>"07020"</f>
        <v>07020</v>
      </c>
      <c r="C1812" s="14" t="str">
        <f>"1700"</f>
        <v>1700</v>
      </c>
      <c r="D1812" s="14" t="str">
        <f>"84064"</f>
        <v>84064</v>
      </c>
      <c r="E1812" s="14" t="s">
        <v>1605</v>
      </c>
      <c r="F1812" s="14" t="s">
        <v>1532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379</v>
      </c>
      <c r="L1812" s="14" t="s">
        <v>394</v>
      </c>
      <c r="M1812" s="14" t="s">
        <v>395</v>
      </c>
      <c r="P1812" s="14" t="s">
        <v>31</v>
      </c>
      <c r="Q1812" s="14" t="s">
        <v>31</v>
      </c>
      <c r="R1812" s="14" t="s">
        <v>394</v>
      </c>
    </row>
    <row r="1813" spans="1:18" s="14" customFormat="1" x14ac:dyDescent="0.25">
      <c r="A1813" s="14" t="str">
        <f>"10001"</f>
        <v>10001</v>
      </c>
      <c r="B1813" s="14" t="str">
        <f>"01765"</f>
        <v>01765</v>
      </c>
      <c r="C1813" s="14" t="str">
        <f>"1100"</f>
        <v>1100</v>
      </c>
      <c r="D1813" s="14" t="str">
        <f>"01765"</f>
        <v>01765</v>
      </c>
      <c r="E1813" s="14" t="s">
        <v>20</v>
      </c>
      <c r="F1813" s="14" t="s">
        <v>170</v>
      </c>
      <c r="G1813" s="14" t="str">
        <f>""</f>
        <v/>
      </c>
      <c r="H1813" s="14" t="str">
        <f>" 20"</f>
        <v xml:space="preserve"> 20</v>
      </c>
      <c r="I1813" s="14">
        <v>500.01</v>
      </c>
      <c r="J1813" s="14">
        <v>9999999.9900000002</v>
      </c>
      <c r="K1813" s="14" t="s">
        <v>171</v>
      </c>
      <c r="L1813" s="14" t="s">
        <v>147</v>
      </c>
      <c r="M1813" s="14" t="s">
        <v>154</v>
      </c>
      <c r="P1813" s="14" t="s">
        <v>39</v>
      </c>
      <c r="Q1813" s="14" t="s">
        <v>25</v>
      </c>
      <c r="R1813" s="14" t="s">
        <v>146</v>
      </c>
    </row>
    <row r="1814" spans="1:18" s="14" customFormat="1" x14ac:dyDescent="0.25">
      <c r="A1814" s="14" t="str">
        <f>"84228"</f>
        <v>84228</v>
      </c>
      <c r="B1814" s="14" t="str">
        <f>"07020"</f>
        <v>07020</v>
      </c>
      <c r="C1814" s="14" t="str">
        <f>"1700"</f>
        <v>1700</v>
      </c>
      <c r="D1814" s="14" t="str">
        <f>"84228"</f>
        <v>84228</v>
      </c>
      <c r="E1814" s="14" t="s">
        <v>1738</v>
      </c>
      <c r="F1814" s="14" t="s">
        <v>1532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1739</v>
      </c>
      <c r="L1814" s="14" t="s">
        <v>1740</v>
      </c>
      <c r="P1814" s="14" t="s">
        <v>31</v>
      </c>
      <c r="Q1814" s="14" t="s">
        <v>31</v>
      </c>
      <c r="R1814" s="14" t="s">
        <v>1739</v>
      </c>
    </row>
    <row r="1815" spans="1:18" s="14" customFormat="1" x14ac:dyDescent="0.25">
      <c r="A1815" s="14" t="str">
        <f>"10001"</f>
        <v>10001</v>
      </c>
      <c r="B1815" s="14" t="str">
        <f>"03092"</f>
        <v>03092</v>
      </c>
      <c r="C1815" s="14" t="str">
        <f>"1500"</f>
        <v>1500</v>
      </c>
      <c r="D1815" s="14" t="str">
        <f>"03092"</f>
        <v>03092</v>
      </c>
      <c r="E1815" s="14" t="s">
        <v>20</v>
      </c>
      <c r="F1815" s="14" t="s">
        <v>235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236</v>
      </c>
      <c r="L1815" s="14" t="s">
        <v>237</v>
      </c>
      <c r="M1815" s="14" t="s">
        <v>238</v>
      </c>
      <c r="P1815" s="14" t="s">
        <v>239</v>
      </c>
      <c r="Q1815" s="14" t="s">
        <v>25</v>
      </c>
      <c r="R1815" s="14" t="s">
        <v>1930</v>
      </c>
    </row>
    <row r="1816" spans="1:18" s="14" customFormat="1" x14ac:dyDescent="0.25">
      <c r="A1816" s="14" t="str">
        <f>"10001"</f>
        <v>10001</v>
      </c>
      <c r="B1816" s="14" t="str">
        <f>"03140"</f>
        <v>03140</v>
      </c>
      <c r="C1816" s="14" t="str">
        <f>"1500"</f>
        <v>1500</v>
      </c>
      <c r="D1816" s="14" t="str">
        <f>"03140A"</f>
        <v>03140A</v>
      </c>
      <c r="E1816" s="14" t="s">
        <v>20</v>
      </c>
      <c r="F1816" s="14" t="s">
        <v>247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236</v>
      </c>
      <c r="L1816" s="14" t="s">
        <v>237</v>
      </c>
      <c r="M1816" s="14" t="s">
        <v>238</v>
      </c>
      <c r="P1816" s="14" t="s">
        <v>239</v>
      </c>
      <c r="Q1816" s="14" t="s">
        <v>25</v>
      </c>
      <c r="R1816" s="14" t="s">
        <v>1930</v>
      </c>
    </row>
    <row r="1817" spans="1:18" s="14" customFormat="1" x14ac:dyDescent="0.25">
      <c r="A1817" s="14" t="str">
        <f>"10001"</f>
        <v>10001</v>
      </c>
      <c r="B1817" s="14" t="str">
        <f>"03145"</f>
        <v>03145</v>
      </c>
      <c r="C1817" s="14" t="str">
        <f>"1500"</f>
        <v>1500</v>
      </c>
      <c r="D1817" s="14" t="str">
        <f>"03145"</f>
        <v>03145</v>
      </c>
      <c r="E1817" s="14" t="s">
        <v>20</v>
      </c>
      <c r="F1817" s="14" t="s">
        <v>248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236</v>
      </c>
      <c r="L1817" s="14" t="s">
        <v>237</v>
      </c>
      <c r="M1817" s="14" t="s">
        <v>238</v>
      </c>
      <c r="P1817" s="14" t="s">
        <v>239</v>
      </c>
      <c r="Q1817" s="14" t="s">
        <v>25</v>
      </c>
      <c r="R1817" s="14" t="s">
        <v>1930</v>
      </c>
    </row>
    <row r="1818" spans="1:18" s="14" customFormat="1" x14ac:dyDescent="0.25">
      <c r="A1818" s="14" t="str">
        <f>"10001"</f>
        <v>10001</v>
      </c>
      <c r="B1818" s="14" t="str">
        <f>"03150"</f>
        <v>03150</v>
      </c>
      <c r="C1818" s="14" t="str">
        <f>"1500"</f>
        <v>1500</v>
      </c>
      <c r="D1818" s="14" t="str">
        <f>"03150"</f>
        <v>03150</v>
      </c>
      <c r="E1818" s="14" t="s">
        <v>20</v>
      </c>
      <c r="F1818" s="14" t="s">
        <v>249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236</v>
      </c>
      <c r="L1818" s="14" t="s">
        <v>237</v>
      </c>
      <c r="M1818" s="14" t="s">
        <v>238</v>
      </c>
      <c r="P1818" s="14" t="s">
        <v>239</v>
      </c>
      <c r="Q1818" s="14" t="s">
        <v>25</v>
      </c>
      <c r="R1818" s="14" t="s">
        <v>250</v>
      </c>
    </row>
    <row r="1819" spans="1:18" s="14" customFormat="1" x14ac:dyDescent="0.25">
      <c r="A1819" s="14" t="str">
        <f>"11005"</f>
        <v>11005</v>
      </c>
      <c r="B1819" s="14" t="str">
        <f>"03092"</f>
        <v>03092</v>
      </c>
      <c r="C1819" s="14" t="str">
        <f>"1500"</f>
        <v>1500</v>
      </c>
      <c r="D1819" s="14" t="str">
        <f>""</f>
        <v/>
      </c>
      <c r="E1819" s="14" t="s">
        <v>439</v>
      </c>
      <c r="F1819" s="14" t="s">
        <v>235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236</v>
      </c>
      <c r="L1819" s="14" t="s">
        <v>237</v>
      </c>
      <c r="M1819" s="14" t="s">
        <v>238</v>
      </c>
      <c r="P1819" s="14" t="s">
        <v>25</v>
      </c>
      <c r="Q1819" s="14" t="s">
        <v>25</v>
      </c>
      <c r="R1819" s="14" t="s">
        <v>1930</v>
      </c>
    </row>
    <row r="1820" spans="1:18" s="14" customFormat="1" x14ac:dyDescent="0.25">
      <c r="A1820" s="14" t="str">
        <f>"18098"</f>
        <v>18098</v>
      </c>
      <c r="B1820" s="14" t="str">
        <f>"03150"</f>
        <v>03150</v>
      </c>
      <c r="C1820" s="14" t="str">
        <f>"1500"</f>
        <v>1500</v>
      </c>
      <c r="D1820" s="14" t="str">
        <f>"18098"</f>
        <v>18098</v>
      </c>
      <c r="E1820" s="14" t="s">
        <v>249</v>
      </c>
      <c r="F1820" s="14" t="s">
        <v>249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236</v>
      </c>
      <c r="L1820" s="14" t="s">
        <v>237</v>
      </c>
      <c r="M1820" s="14" t="s">
        <v>238</v>
      </c>
      <c r="P1820" s="14" t="s">
        <v>239</v>
      </c>
      <c r="Q1820" s="14" t="s">
        <v>25</v>
      </c>
      <c r="R1820" s="14" t="s">
        <v>1930</v>
      </c>
    </row>
    <row r="1821" spans="1:18" s="14" customFormat="1" x14ac:dyDescent="0.25">
      <c r="A1821" s="14" t="str">
        <f>"18121"</f>
        <v>18121</v>
      </c>
      <c r="B1821" s="14" t="str">
        <f>"03140"</f>
        <v>03140</v>
      </c>
      <c r="C1821" s="14" t="str">
        <f>"1500"</f>
        <v>1500</v>
      </c>
      <c r="D1821" s="14" t="str">
        <f>"18121"</f>
        <v>18121</v>
      </c>
      <c r="E1821" s="14" t="s">
        <v>686</v>
      </c>
      <c r="F1821" s="14" t="s">
        <v>247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236</v>
      </c>
      <c r="L1821" s="14" t="s">
        <v>237</v>
      </c>
      <c r="M1821" s="14" t="s">
        <v>238</v>
      </c>
      <c r="P1821" s="14" t="s">
        <v>239</v>
      </c>
      <c r="Q1821" s="14" t="s">
        <v>239</v>
      </c>
      <c r="R1821" s="14" t="s">
        <v>1930</v>
      </c>
    </row>
    <row r="1822" spans="1:18" s="14" customFormat="1" x14ac:dyDescent="0.25">
      <c r="A1822" s="14" t="str">
        <f>"31010"</f>
        <v>31010</v>
      </c>
      <c r="B1822" s="14" t="str">
        <f>"03140"</f>
        <v>03140</v>
      </c>
      <c r="C1822" s="14" t="str">
        <f>"1921"</f>
        <v>1921</v>
      </c>
      <c r="D1822" s="14" t="str">
        <f>"03140B"</f>
        <v>03140B</v>
      </c>
      <c r="E1822" s="14" t="s">
        <v>954</v>
      </c>
      <c r="F1822" s="14" t="s">
        <v>247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236</v>
      </c>
      <c r="L1822" s="14" t="s">
        <v>237</v>
      </c>
      <c r="M1822" s="14" t="s">
        <v>238</v>
      </c>
      <c r="P1822" s="14" t="s">
        <v>31</v>
      </c>
      <c r="Q1822" s="14" t="s">
        <v>25</v>
      </c>
      <c r="R1822" s="14" t="s">
        <v>1930</v>
      </c>
    </row>
    <row r="1823" spans="1:18" s="14" customFormat="1" x14ac:dyDescent="0.25">
      <c r="A1823" s="14" t="str">
        <f>"31064"</f>
        <v>31064</v>
      </c>
      <c r="B1823" s="14" t="str">
        <f>"03140"</f>
        <v>03140</v>
      </c>
      <c r="C1823" s="14" t="str">
        <f>"1921"</f>
        <v>1921</v>
      </c>
      <c r="D1823" s="14" t="str">
        <f>"31064"</f>
        <v>31064</v>
      </c>
      <c r="E1823" s="14" t="s">
        <v>965</v>
      </c>
      <c r="F1823" s="14" t="s">
        <v>247</v>
      </c>
      <c r="G1823" s="14" t="str">
        <f>"GN0031064"</f>
        <v>GN0031064</v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236</v>
      </c>
      <c r="L1823" s="14" t="s">
        <v>237</v>
      </c>
      <c r="M1823" s="14" t="s">
        <v>238</v>
      </c>
      <c r="P1823" s="14" t="s">
        <v>31</v>
      </c>
      <c r="Q1823" s="14" t="s">
        <v>25</v>
      </c>
      <c r="R1823" s="14" t="s">
        <v>1930</v>
      </c>
    </row>
    <row r="1824" spans="1:18" s="14" customFormat="1" x14ac:dyDescent="0.25">
      <c r="A1824" s="14" t="str">
        <f>"33110"</f>
        <v>33110</v>
      </c>
      <c r="B1824" s="14" t="str">
        <f>"03140"</f>
        <v>03140</v>
      </c>
      <c r="C1824" s="14" t="str">
        <f>"1930"</f>
        <v>1930</v>
      </c>
      <c r="D1824" s="14" t="str">
        <f>"33110"</f>
        <v>33110</v>
      </c>
      <c r="E1824" s="14" t="s">
        <v>980</v>
      </c>
      <c r="F1824" s="14" t="s">
        <v>247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236</v>
      </c>
      <c r="L1824" s="14" t="s">
        <v>237</v>
      </c>
      <c r="M1824" s="14" t="s">
        <v>238</v>
      </c>
      <c r="P1824" s="14" t="s">
        <v>31</v>
      </c>
      <c r="Q1824" s="14" t="s">
        <v>25</v>
      </c>
      <c r="R1824" s="14" t="s">
        <v>1930</v>
      </c>
    </row>
    <row r="1825" spans="1:18" s="14" customFormat="1" x14ac:dyDescent="0.25">
      <c r="A1825" s="14" t="str">
        <f>"35010"</f>
        <v>35010</v>
      </c>
      <c r="B1825" s="14" t="str">
        <f>"03140"</f>
        <v>03140</v>
      </c>
      <c r="C1825" s="14" t="str">
        <f>"1930"</f>
        <v>1930</v>
      </c>
      <c r="D1825" s="14" t="str">
        <f>"35010"</f>
        <v>35010</v>
      </c>
      <c r="E1825" s="14" t="s">
        <v>983</v>
      </c>
      <c r="F1825" s="14" t="s">
        <v>247</v>
      </c>
      <c r="G1825" s="14" t="str">
        <f>""</f>
        <v/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236</v>
      </c>
      <c r="L1825" s="14" t="s">
        <v>237</v>
      </c>
      <c r="M1825" s="14" t="s">
        <v>238</v>
      </c>
      <c r="P1825" s="14" t="s">
        <v>239</v>
      </c>
      <c r="Q1825" s="14" t="s">
        <v>25</v>
      </c>
      <c r="R1825" s="14" t="s">
        <v>1930</v>
      </c>
    </row>
    <row r="1826" spans="1:18" s="14" customFormat="1" x14ac:dyDescent="0.25">
      <c r="A1826" s="14" t="str">
        <f>"35105"</f>
        <v>35105</v>
      </c>
      <c r="B1826" s="14" t="str">
        <f>"03140"</f>
        <v>03140</v>
      </c>
      <c r="C1826" s="14" t="str">
        <f>"1930"</f>
        <v>1930</v>
      </c>
      <c r="D1826" s="14" t="str">
        <f>"35105"</f>
        <v>35105</v>
      </c>
      <c r="E1826" s="14" t="s">
        <v>988</v>
      </c>
      <c r="F1826" s="14" t="s">
        <v>247</v>
      </c>
      <c r="G1826" s="14" t="str">
        <f>""</f>
        <v/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236</v>
      </c>
      <c r="L1826" s="14" t="s">
        <v>237</v>
      </c>
      <c r="M1826" s="14" t="s">
        <v>238</v>
      </c>
      <c r="P1826" s="14" t="s">
        <v>239</v>
      </c>
      <c r="Q1826" s="14" t="s">
        <v>25</v>
      </c>
      <c r="R1826" s="14" t="s">
        <v>1930</v>
      </c>
    </row>
    <row r="1827" spans="1:18" s="14" customFormat="1" x14ac:dyDescent="0.25">
      <c r="A1827" s="14" t="str">
        <f>"35135"</f>
        <v>35135</v>
      </c>
      <c r="B1827" s="14" t="str">
        <f>"03140"</f>
        <v>03140</v>
      </c>
      <c r="C1827" s="14" t="str">
        <f>"1930"</f>
        <v>1930</v>
      </c>
      <c r="D1827" s="14" t="str">
        <f>"35135"</f>
        <v>35135</v>
      </c>
      <c r="E1827" s="14" t="s">
        <v>990</v>
      </c>
      <c r="F1827" s="14" t="s">
        <v>247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236</v>
      </c>
      <c r="L1827" s="14" t="s">
        <v>237</v>
      </c>
      <c r="M1827" s="14" t="s">
        <v>238</v>
      </c>
      <c r="P1827" s="14" t="s">
        <v>239</v>
      </c>
      <c r="Q1827" s="14" t="s">
        <v>25</v>
      </c>
      <c r="R1827" s="14" t="s">
        <v>1930</v>
      </c>
    </row>
    <row r="1828" spans="1:18" s="14" customFormat="1" x14ac:dyDescent="0.25">
      <c r="A1828" s="14" t="str">
        <f>"91050"</f>
        <v>91050</v>
      </c>
      <c r="B1828" s="14" t="str">
        <f>"03140"</f>
        <v>03140</v>
      </c>
      <c r="C1828" s="14" t="str">
        <f>"1500"</f>
        <v>1500</v>
      </c>
      <c r="D1828" s="14" t="str">
        <f>"91050"</f>
        <v>91050</v>
      </c>
      <c r="E1828" s="14" t="s">
        <v>1812</v>
      </c>
      <c r="F1828" s="14" t="s">
        <v>247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236</v>
      </c>
      <c r="L1828" s="14" t="s">
        <v>237</v>
      </c>
      <c r="M1828" s="14" t="s">
        <v>238</v>
      </c>
      <c r="P1828" s="14" t="s">
        <v>239</v>
      </c>
      <c r="Q1828" s="14" t="s">
        <v>239</v>
      </c>
      <c r="R1828" s="14" t="s">
        <v>1930</v>
      </c>
    </row>
    <row r="1829" spans="1:18" s="14" customFormat="1" x14ac:dyDescent="0.25">
      <c r="A1829" s="14" t="str">
        <f>"91372"</f>
        <v>91372</v>
      </c>
      <c r="B1829" s="14" t="str">
        <f>"03140"</f>
        <v>03140</v>
      </c>
      <c r="C1829" s="14" t="str">
        <f>"1500"</f>
        <v>1500</v>
      </c>
      <c r="D1829" s="14" t="str">
        <f>"91372"</f>
        <v>91372</v>
      </c>
      <c r="E1829" s="14" t="s">
        <v>1813</v>
      </c>
      <c r="F1829" s="14" t="s">
        <v>247</v>
      </c>
      <c r="G1829" s="14" t="str">
        <f>"GN0091372"</f>
        <v>GN0091372</v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236</v>
      </c>
      <c r="L1829" s="14" t="s">
        <v>237</v>
      </c>
      <c r="M1829" s="14" t="s">
        <v>238</v>
      </c>
      <c r="P1829" s="14" t="s">
        <v>239</v>
      </c>
      <c r="Q1829" s="14" t="s">
        <v>239</v>
      </c>
      <c r="R1829" s="14" t="s">
        <v>1930</v>
      </c>
    </row>
    <row r="1830" spans="1:18" s="14" customFormat="1" x14ac:dyDescent="0.25">
      <c r="A1830" s="14" t="str">
        <f>"91379"</f>
        <v>91379</v>
      </c>
      <c r="B1830" s="14" t="str">
        <f>"03140"</f>
        <v>03140</v>
      </c>
      <c r="C1830" s="14" t="str">
        <f>"1930"</f>
        <v>1930</v>
      </c>
      <c r="D1830" s="14" t="str">
        <f>"91379"</f>
        <v>91379</v>
      </c>
      <c r="E1830" s="14" t="s">
        <v>1815</v>
      </c>
      <c r="F1830" s="14" t="s">
        <v>247</v>
      </c>
      <c r="G1830" s="14" t="str">
        <f>"GN0091379"</f>
        <v>GN0091379</v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236</v>
      </c>
      <c r="L1830" s="14" t="s">
        <v>237</v>
      </c>
      <c r="M1830" s="14" t="s">
        <v>238</v>
      </c>
      <c r="P1830" s="14" t="s">
        <v>239</v>
      </c>
      <c r="Q1830" s="14" t="s">
        <v>239</v>
      </c>
      <c r="R1830" s="14" t="s">
        <v>1930</v>
      </c>
    </row>
    <row r="1831" spans="1:18" s="14" customFormat="1" x14ac:dyDescent="0.25">
      <c r="A1831" s="14" t="str">
        <f>"91395"</f>
        <v>91395</v>
      </c>
      <c r="B1831" s="14" t="str">
        <f>"03140"</f>
        <v>03140</v>
      </c>
      <c r="C1831" s="14" t="str">
        <f>"1500"</f>
        <v>1500</v>
      </c>
      <c r="D1831" s="14" t="str">
        <f>"91395"</f>
        <v>91395</v>
      </c>
      <c r="E1831" s="14" t="s">
        <v>1817</v>
      </c>
      <c r="F1831" s="14" t="s">
        <v>247</v>
      </c>
      <c r="G1831" s="14" t="str">
        <f>"GN0091395"</f>
        <v>GN0091395</v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236</v>
      </c>
      <c r="L1831" s="14" t="s">
        <v>237</v>
      </c>
      <c r="M1831" s="14" t="s">
        <v>238</v>
      </c>
      <c r="O1831" s="14" t="s">
        <v>236</v>
      </c>
      <c r="P1831" s="14" t="s">
        <v>239</v>
      </c>
      <c r="Q1831" s="14" t="s">
        <v>239</v>
      </c>
      <c r="R1831" s="14" t="s">
        <v>1930</v>
      </c>
    </row>
    <row r="1832" spans="1:18" s="14" customFormat="1" x14ac:dyDescent="0.25">
      <c r="A1832" s="14" t="str">
        <f>"91396"</f>
        <v>91396</v>
      </c>
      <c r="B1832" s="14" t="str">
        <f>"03140"</f>
        <v>03140</v>
      </c>
      <c r="C1832" s="14" t="str">
        <f>"1921"</f>
        <v>1921</v>
      </c>
      <c r="D1832" s="14" t="str">
        <f>"91396"</f>
        <v>91396</v>
      </c>
      <c r="E1832" s="14" t="s">
        <v>1818</v>
      </c>
      <c r="F1832" s="14" t="s">
        <v>247</v>
      </c>
      <c r="G1832" s="14" t="str">
        <f>"GN0091396"</f>
        <v>GN0091396</v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236</v>
      </c>
      <c r="L1832" s="14" t="s">
        <v>237</v>
      </c>
      <c r="M1832" s="14" t="s">
        <v>238</v>
      </c>
      <c r="O1832" s="14" t="s">
        <v>236</v>
      </c>
      <c r="P1832" s="14" t="s">
        <v>239</v>
      </c>
      <c r="Q1832" s="14" t="s">
        <v>239</v>
      </c>
      <c r="R1832" s="14" t="s">
        <v>1930</v>
      </c>
    </row>
    <row r="1833" spans="1:18" s="14" customFormat="1" x14ac:dyDescent="0.25">
      <c r="A1833" s="14" t="str">
        <f>"91400"</f>
        <v>91400</v>
      </c>
      <c r="B1833" s="14" t="str">
        <f>"03140"</f>
        <v>03140</v>
      </c>
      <c r="C1833" s="14" t="str">
        <f>"1500"</f>
        <v>1500</v>
      </c>
      <c r="D1833" s="14" t="str">
        <f>"91400"</f>
        <v>91400</v>
      </c>
      <c r="E1833" s="14" t="s">
        <v>1819</v>
      </c>
      <c r="F1833" s="14" t="s">
        <v>247</v>
      </c>
      <c r="G1833" s="14" t="str">
        <f>"GN0091400"</f>
        <v>GN0091400</v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236</v>
      </c>
      <c r="L1833" s="14" t="s">
        <v>237</v>
      </c>
      <c r="P1833" s="14" t="s">
        <v>239</v>
      </c>
      <c r="Q1833" s="14" t="s">
        <v>239</v>
      </c>
      <c r="R1833" s="14" t="s">
        <v>1930</v>
      </c>
    </row>
    <row r="1834" spans="1:18" s="14" customFormat="1" x14ac:dyDescent="0.25">
      <c r="A1834" s="14" t="str">
        <f>"91402"</f>
        <v>91402</v>
      </c>
      <c r="B1834" s="14" t="str">
        <f>"03140"</f>
        <v>03140</v>
      </c>
      <c r="C1834" s="14" t="str">
        <f>"1500"</f>
        <v>1500</v>
      </c>
      <c r="D1834" s="14" t="str">
        <f>"91402"</f>
        <v>91402</v>
      </c>
      <c r="E1834" s="14" t="s">
        <v>1820</v>
      </c>
      <c r="F1834" s="14" t="s">
        <v>247</v>
      </c>
      <c r="G1834" s="14" t="str">
        <f>"GN0091402"</f>
        <v>GN0091402</v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236</v>
      </c>
      <c r="L1834" s="14" t="s">
        <v>237</v>
      </c>
      <c r="P1834" s="14" t="s">
        <v>239</v>
      </c>
      <c r="Q1834" s="14" t="s">
        <v>239</v>
      </c>
      <c r="R1834" s="14" t="s">
        <v>1930</v>
      </c>
    </row>
    <row r="1835" spans="1:18" s="14" customFormat="1" x14ac:dyDescent="0.25">
      <c r="A1835" s="14" t="str">
        <f>"91403"</f>
        <v>91403</v>
      </c>
      <c r="B1835" s="14" t="str">
        <f>"03140"</f>
        <v>03140</v>
      </c>
      <c r="C1835" s="14" t="str">
        <f>"1500"</f>
        <v>1500</v>
      </c>
      <c r="D1835" s="14" t="str">
        <f>"91403"</f>
        <v>91403</v>
      </c>
      <c r="E1835" s="14" t="s">
        <v>1821</v>
      </c>
      <c r="F1835" s="14" t="s">
        <v>247</v>
      </c>
      <c r="G1835" s="14" t="str">
        <f>"GN0091403"</f>
        <v>GN0091403</v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236</v>
      </c>
      <c r="L1835" s="14" t="s">
        <v>237</v>
      </c>
      <c r="M1835" s="14" t="s">
        <v>1822</v>
      </c>
      <c r="P1835" s="14" t="s">
        <v>239</v>
      </c>
      <c r="Q1835" s="14" t="s">
        <v>239</v>
      </c>
      <c r="R1835" s="14" t="s">
        <v>1930</v>
      </c>
    </row>
    <row r="1836" spans="1:18" s="14" customFormat="1" x14ac:dyDescent="0.25">
      <c r="A1836" s="14" t="str">
        <f>"91404"</f>
        <v>91404</v>
      </c>
      <c r="B1836" s="14" t="str">
        <f>"03140"</f>
        <v>03140</v>
      </c>
      <c r="C1836" s="14" t="str">
        <f>"1700"</f>
        <v>1700</v>
      </c>
      <c r="D1836" s="14" t="str">
        <f>"91404"</f>
        <v>91404</v>
      </c>
      <c r="E1836" s="14" t="s">
        <v>1823</v>
      </c>
      <c r="F1836" s="14" t="s">
        <v>247</v>
      </c>
      <c r="G1836" s="14" t="str">
        <f>"GN0091404"</f>
        <v>GN0091404</v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236</v>
      </c>
      <c r="L1836" s="14" t="s">
        <v>237</v>
      </c>
      <c r="M1836" s="14" t="s">
        <v>1822</v>
      </c>
      <c r="P1836" s="14" t="s">
        <v>239</v>
      </c>
      <c r="Q1836" s="14" t="s">
        <v>239</v>
      </c>
      <c r="R1836" s="14" t="s">
        <v>1930</v>
      </c>
    </row>
    <row r="1837" spans="1:18" s="14" customFormat="1" x14ac:dyDescent="0.25">
      <c r="A1837" s="14" t="str">
        <f>"91405"</f>
        <v>91405</v>
      </c>
      <c r="B1837" s="14" t="str">
        <f>"03140"</f>
        <v>03140</v>
      </c>
      <c r="C1837" s="14" t="str">
        <f>"1500"</f>
        <v>1500</v>
      </c>
      <c r="D1837" s="14" t="str">
        <f>"91405"</f>
        <v>91405</v>
      </c>
      <c r="E1837" s="14" t="s">
        <v>1824</v>
      </c>
      <c r="F1837" s="14" t="s">
        <v>247</v>
      </c>
      <c r="G1837" s="14" t="str">
        <f>"GN0091405"</f>
        <v>GN0091405</v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236</v>
      </c>
      <c r="L1837" s="14" t="s">
        <v>237</v>
      </c>
      <c r="M1837" s="14" t="s">
        <v>1822</v>
      </c>
      <c r="P1837" s="14" t="s">
        <v>239</v>
      </c>
      <c r="Q1837" s="14" t="s">
        <v>239</v>
      </c>
      <c r="R1837" s="14" t="s">
        <v>1930</v>
      </c>
    </row>
    <row r="1838" spans="1:18" s="14" customFormat="1" x14ac:dyDescent="0.25">
      <c r="A1838" s="14" t="str">
        <f>"92157"</f>
        <v>92157</v>
      </c>
      <c r="B1838" s="14" t="str">
        <f>"03140"</f>
        <v>03140</v>
      </c>
      <c r="C1838" s="14" t="str">
        <f>"1500"</f>
        <v>1500</v>
      </c>
      <c r="D1838" s="14" t="str">
        <f>"92157"</f>
        <v>92157</v>
      </c>
      <c r="E1838" s="14" t="s">
        <v>1826</v>
      </c>
      <c r="F1838" s="14" t="s">
        <v>247</v>
      </c>
      <c r="G1838" s="14" t="str">
        <f>"GN0092157"</f>
        <v>GN0092157</v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236</v>
      </c>
      <c r="L1838" s="14" t="s">
        <v>237</v>
      </c>
      <c r="M1838" s="14" t="s">
        <v>1814</v>
      </c>
      <c r="N1838" s="14" t="s">
        <v>238</v>
      </c>
      <c r="O1838" s="14" t="s">
        <v>236</v>
      </c>
      <c r="P1838" s="14" t="s">
        <v>239</v>
      </c>
      <c r="Q1838" s="14" t="s">
        <v>239</v>
      </c>
      <c r="R1838" s="14" t="s">
        <v>1930</v>
      </c>
    </row>
    <row r="1839" spans="1:18" s="14" customFormat="1" x14ac:dyDescent="0.25">
      <c r="A1839" s="14" t="str">
        <f>"92158"</f>
        <v>92158</v>
      </c>
      <c r="B1839" s="14" t="str">
        <f>"03140"</f>
        <v>03140</v>
      </c>
      <c r="C1839" s="14" t="str">
        <f>"1930"</f>
        <v>1930</v>
      </c>
      <c r="D1839" s="14" t="str">
        <f>"92158"</f>
        <v>92158</v>
      </c>
      <c r="E1839" s="14" t="s">
        <v>1827</v>
      </c>
      <c r="F1839" s="14" t="s">
        <v>247</v>
      </c>
      <c r="G1839" s="14" t="str">
        <f>"GN0092158"</f>
        <v>GN0092158</v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236</v>
      </c>
      <c r="L1839" s="14" t="s">
        <v>237</v>
      </c>
      <c r="M1839" s="14" t="s">
        <v>1822</v>
      </c>
      <c r="P1839" s="14" t="s">
        <v>239</v>
      </c>
      <c r="Q1839" s="14" t="s">
        <v>239</v>
      </c>
      <c r="R1839" s="14" t="s">
        <v>1930</v>
      </c>
    </row>
    <row r="1840" spans="1:18" s="14" customFormat="1" x14ac:dyDescent="0.25">
      <c r="A1840" s="14" t="str">
        <f>"92159"</f>
        <v>92159</v>
      </c>
      <c r="B1840" s="14" t="str">
        <f>"03140"</f>
        <v>03140</v>
      </c>
      <c r="C1840" s="14" t="str">
        <f>"1500"</f>
        <v>1500</v>
      </c>
      <c r="D1840" s="14" t="str">
        <f>"92159"</f>
        <v>92159</v>
      </c>
      <c r="E1840" s="14" t="s">
        <v>1828</v>
      </c>
      <c r="F1840" s="14" t="s">
        <v>247</v>
      </c>
      <c r="G1840" s="14" t="str">
        <f>"GN0092159"</f>
        <v>GN0092159</v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236</v>
      </c>
      <c r="L1840" s="14" t="s">
        <v>237</v>
      </c>
      <c r="M1840" s="14" t="s">
        <v>1822</v>
      </c>
      <c r="P1840" s="14" t="s">
        <v>239</v>
      </c>
      <c r="Q1840" s="14" t="s">
        <v>239</v>
      </c>
      <c r="R1840" s="14" t="s">
        <v>1930</v>
      </c>
    </row>
    <row r="1841" spans="1:18" s="14" customFormat="1" x14ac:dyDescent="0.25">
      <c r="A1841" s="14" t="str">
        <f>"93168"</f>
        <v>93168</v>
      </c>
      <c r="B1841" s="14" t="str">
        <f>"03140"</f>
        <v>03140</v>
      </c>
      <c r="C1841" s="14" t="str">
        <f>"1500"</f>
        <v>1500</v>
      </c>
      <c r="D1841" s="14" t="str">
        <f>"93168"</f>
        <v>93168</v>
      </c>
      <c r="E1841" s="14" t="s">
        <v>1830</v>
      </c>
      <c r="F1841" s="14" t="s">
        <v>247</v>
      </c>
      <c r="G1841" s="14" t="str">
        <f>"GN0093168"</f>
        <v>GN0093168</v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236</v>
      </c>
      <c r="L1841" s="14" t="s">
        <v>237</v>
      </c>
      <c r="M1841" s="14" t="s">
        <v>1814</v>
      </c>
      <c r="N1841" s="14" t="s">
        <v>238</v>
      </c>
      <c r="P1841" s="14" t="s">
        <v>239</v>
      </c>
      <c r="Q1841" s="14" t="s">
        <v>239</v>
      </c>
      <c r="R1841" s="14" t="s">
        <v>1930</v>
      </c>
    </row>
    <row r="1842" spans="1:18" s="14" customFormat="1" x14ac:dyDescent="0.25">
      <c r="A1842" s="14" t="str">
        <f>"93170"</f>
        <v>93170</v>
      </c>
      <c r="B1842" s="14" t="str">
        <f>"03140"</f>
        <v>03140</v>
      </c>
      <c r="C1842" s="14" t="str">
        <f>"1930"</f>
        <v>1930</v>
      </c>
      <c r="D1842" s="14" t="str">
        <f>"93170"</f>
        <v>93170</v>
      </c>
      <c r="E1842" s="14" t="s">
        <v>1831</v>
      </c>
      <c r="F1842" s="14" t="s">
        <v>247</v>
      </c>
      <c r="G1842" s="14" t="str">
        <f>"GN0093170"</f>
        <v>GN0093170</v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236</v>
      </c>
      <c r="L1842" s="14" t="s">
        <v>237</v>
      </c>
      <c r="M1842" s="14" t="s">
        <v>1814</v>
      </c>
      <c r="N1842" s="14" t="s">
        <v>238</v>
      </c>
      <c r="O1842" s="14" t="s">
        <v>236</v>
      </c>
      <c r="P1842" s="14" t="s">
        <v>239</v>
      </c>
      <c r="Q1842" s="14" t="s">
        <v>239</v>
      </c>
      <c r="R1842" s="14" t="s">
        <v>1930</v>
      </c>
    </row>
    <row r="1843" spans="1:18" s="14" customFormat="1" x14ac:dyDescent="0.25">
      <c r="A1843" s="14" t="str">
        <f>"93171"</f>
        <v>93171</v>
      </c>
      <c r="B1843" s="14" t="str">
        <f>"03140"</f>
        <v>03140</v>
      </c>
      <c r="C1843" s="14" t="str">
        <f>"1500"</f>
        <v>1500</v>
      </c>
      <c r="D1843" s="14" t="str">
        <f>"93171"</f>
        <v>93171</v>
      </c>
      <c r="E1843" s="14" t="s">
        <v>1832</v>
      </c>
      <c r="F1843" s="14" t="s">
        <v>247</v>
      </c>
      <c r="G1843" s="14" t="str">
        <f>"GN0093171"</f>
        <v>GN0093171</v>
      </c>
      <c r="H1843" s="14" t="str">
        <f>" 00"</f>
        <v xml:space="preserve"> 00</v>
      </c>
      <c r="I1843" s="14">
        <v>0.01</v>
      </c>
      <c r="J1843" s="14">
        <v>9999999.9900000002</v>
      </c>
      <c r="K1843" s="14" t="s">
        <v>236</v>
      </c>
      <c r="L1843" s="14" t="s">
        <v>237</v>
      </c>
      <c r="M1843" s="14" t="s">
        <v>238</v>
      </c>
      <c r="O1843" s="14" t="s">
        <v>236</v>
      </c>
      <c r="P1843" s="14" t="s">
        <v>239</v>
      </c>
      <c r="Q1843" s="14" t="s">
        <v>239</v>
      </c>
      <c r="R1843" s="14" t="s">
        <v>1930</v>
      </c>
    </row>
    <row r="1844" spans="1:18" s="14" customFormat="1" x14ac:dyDescent="0.25">
      <c r="A1844" s="14" t="str">
        <f>"93172"</f>
        <v>93172</v>
      </c>
      <c r="B1844" s="14" t="str">
        <f>"03140"</f>
        <v>03140</v>
      </c>
      <c r="C1844" s="14" t="str">
        <f>"1500"</f>
        <v>1500</v>
      </c>
      <c r="D1844" s="14" t="str">
        <f>"93172"</f>
        <v>93172</v>
      </c>
      <c r="E1844" s="14" t="s">
        <v>1833</v>
      </c>
      <c r="F1844" s="14" t="s">
        <v>247</v>
      </c>
      <c r="G1844" s="14" t="str">
        <f>"GN0093172"</f>
        <v>GN0093172</v>
      </c>
      <c r="H1844" s="14" t="str">
        <f>" 00"</f>
        <v xml:space="preserve"> 00</v>
      </c>
      <c r="I1844" s="14">
        <v>0.01</v>
      </c>
      <c r="J1844" s="14">
        <v>9999999.9900000002</v>
      </c>
      <c r="K1844" s="14" t="s">
        <v>236</v>
      </c>
      <c r="L1844" s="14" t="s">
        <v>237</v>
      </c>
      <c r="M1844" s="14" t="s">
        <v>238</v>
      </c>
      <c r="O1844" s="14" t="s">
        <v>236</v>
      </c>
      <c r="P1844" s="14" t="s">
        <v>239</v>
      </c>
      <c r="Q1844" s="14" t="s">
        <v>239</v>
      </c>
      <c r="R1844" s="14" t="s">
        <v>1930</v>
      </c>
    </row>
    <row r="1845" spans="1:18" s="14" customFormat="1" x14ac:dyDescent="0.25">
      <c r="A1845" s="14" t="str">
        <f>"93173"</f>
        <v>93173</v>
      </c>
      <c r="B1845" s="14" t="str">
        <f>"03140"</f>
        <v>03140</v>
      </c>
      <c r="C1845" s="14" t="str">
        <f>"1500"</f>
        <v>1500</v>
      </c>
      <c r="D1845" s="14" t="str">
        <f>"93173"</f>
        <v>93173</v>
      </c>
      <c r="E1845" s="14" t="s">
        <v>1834</v>
      </c>
      <c r="F1845" s="14" t="s">
        <v>247</v>
      </c>
      <c r="G1845" s="14" t="str">
        <f>"GN0093173"</f>
        <v>GN0093173</v>
      </c>
      <c r="H1845" s="14" t="str">
        <f>" 00"</f>
        <v xml:space="preserve"> 00</v>
      </c>
      <c r="I1845" s="14">
        <v>0.01</v>
      </c>
      <c r="J1845" s="14">
        <v>9999999.9900000002</v>
      </c>
      <c r="K1845" s="14" t="s">
        <v>236</v>
      </c>
      <c r="L1845" s="14" t="s">
        <v>237</v>
      </c>
      <c r="M1845" s="14" t="s">
        <v>1814</v>
      </c>
      <c r="N1845" s="14" t="s">
        <v>238</v>
      </c>
      <c r="O1845" s="14" t="s">
        <v>236</v>
      </c>
      <c r="P1845" s="14" t="s">
        <v>239</v>
      </c>
      <c r="Q1845" s="14" t="s">
        <v>239</v>
      </c>
      <c r="R1845" s="14" t="s">
        <v>1930</v>
      </c>
    </row>
    <row r="1846" spans="1:18" s="14" customFormat="1" x14ac:dyDescent="0.25">
      <c r="A1846" s="14" t="str">
        <f>"93175"</f>
        <v>93175</v>
      </c>
      <c r="B1846" s="14" t="str">
        <f>"03140"</f>
        <v>03140</v>
      </c>
      <c r="C1846" s="14" t="str">
        <f>"1500"</f>
        <v>1500</v>
      </c>
      <c r="D1846" s="14" t="str">
        <f>"93175"</f>
        <v>93175</v>
      </c>
      <c r="E1846" s="14" t="s">
        <v>1835</v>
      </c>
      <c r="F1846" s="14" t="s">
        <v>247</v>
      </c>
      <c r="G1846" s="14" t="str">
        <f>"GN0093175"</f>
        <v>GN0093175</v>
      </c>
      <c r="H1846" s="14" t="str">
        <f>" 00"</f>
        <v xml:space="preserve"> 00</v>
      </c>
      <c r="I1846" s="14">
        <v>0.01</v>
      </c>
      <c r="J1846" s="14">
        <v>9999999.9900000002</v>
      </c>
      <c r="K1846" s="14" t="s">
        <v>236</v>
      </c>
      <c r="L1846" s="14" t="s">
        <v>237</v>
      </c>
      <c r="M1846" s="14" t="s">
        <v>238</v>
      </c>
      <c r="O1846" s="14" t="s">
        <v>236</v>
      </c>
      <c r="P1846" s="14" t="s">
        <v>239</v>
      </c>
      <c r="Q1846" s="14" t="s">
        <v>239</v>
      </c>
      <c r="R1846" s="14" t="s">
        <v>1930</v>
      </c>
    </row>
    <row r="1847" spans="1:18" s="14" customFormat="1" x14ac:dyDescent="0.25">
      <c r="A1847" s="14" t="str">
        <f>"93176"</f>
        <v>93176</v>
      </c>
      <c r="B1847" s="14" t="str">
        <f>"03140"</f>
        <v>03140</v>
      </c>
      <c r="C1847" s="14" t="str">
        <f>"1930"</f>
        <v>1930</v>
      </c>
      <c r="D1847" s="14" t="str">
        <f>"93176"</f>
        <v>93176</v>
      </c>
      <c r="E1847" s="14" t="s">
        <v>1836</v>
      </c>
      <c r="F1847" s="14" t="s">
        <v>247</v>
      </c>
      <c r="G1847" s="14" t="str">
        <f>"GN0093176"</f>
        <v>GN0093176</v>
      </c>
      <c r="H1847" s="14" t="str">
        <f>" 00"</f>
        <v xml:space="preserve"> 00</v>
      </c>
      <c r="I1847" s="14">
        <v>0.01</v>
      </c>
      <c r="J1847" s="14">
        <v>9999999.9900000002</v>
      </c>
      <c r="K1847" s="14" t="s">
        <v>236</v>
      </c>
      <c r="L1847" s="14" t="s">
        <v>237</v>
      </c>
      <c r="M1847" s="14" t="s">
        <v>238</v>
      </c>
      <c r="P1847" s="14" t="s">
        <v>239</v>
      </c>
      <c r="Q1847" s="14" t="s">
        <v>239</v>
      </c>
      <c r="R1847" s="14" t="s">
        <v>1930</v>
      </c>
    </row>
    <row r="1848" spans="1:18" s="14" customFormat="1" x14ac:dyDescent="0.25">
      <c r="A1848" s="14" t="str">
        <f>"93177"</f>
        <v>93177</v>
      </c>
      <c r="B1848" s="14" t="str">
        <f>"03140"</f>
        <v>03140</v>
      </c>
      <c r="C1848" s="14" t="str">
        <f>"1500"</f>
        <v>1500</v>
      </c>
      <c r="D1848" s="14" t="str">
        <f>"93177"</f>
        <v>93177</v>
      </c>
      <c r="E1848" s="14" t="s">
        <v>1837</v>
      </c>
      <c r="F1848" s="14" t="s">
        <v>247</v>
      </c>
      <c r="G1848" s="14" t="str">
        <f>"GN0093177"</f>
        <v>GN0093177</v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236</v>
      </c>
      <c r="L1848" s="14" t="s">
        <v>237</v>
      </c>
      <c r="M1848" s="14" t="s">
        <v>238</v>
      </c>
      <c r="P1848" s="14" t="s">
        <v>239</v>
      </c>
      <c r="Q1848" s="14" t="s">
        <v>239</v>
      </c>
      <c r="R1848" s="14" t="s">
        <v>1930</v>
      </c>
    </row>
    <row r="1849" spans="1:18" s="14" customFormat="1" x14ac:dyDescent="0.25">
      <c r="A1849" s="14" t="str">
        <f>"93178"</f>
        <v>93178</v>
      </c>
      <c r="B1849" s="14" t="str">
        <f>"03140"</f>
        <v>03140</v>
      </c>
      <c r="C1849" s="14" t="str">
        <f>"1500"</f>
        <v>1500</v>
      </c>
      <c r="D1849" s="14" t="str">
        <f>"93178"</f>
        <v>93178</v>
      </c>
      <c r="E1849" s="14" t="s">
        <v>1838</v>
      </c>
      <c r="F1849" s="14" t="s">
        <v>247</v>
      </c>
      <c r="G1849" s="14" t="str">
        <f>"GN0093178"</f>
        <v>GN0093178</v>
      </c>
      <c r="H1849" s="14" t="str">
        <f>" 00"</f>
        <v xml:space="preserve"> 00</v>
      </c>
      <c r="I1849" s="14">
        <v>0.01</v>
      </c>
      <c r="J1849" s="14">
        <v>9999999.9900000002</v>
      </c>
      <c r="K1849" s="14" t="s">
        <v>236</v>
      </c>
      <c r="L1849" s="14" t="s">
        <v>237</v>
      </c>
      <c r="M1849" s="14" t="s">
        <v>238</v>
      </c>
      <c r="P1849" s="14" t="s">
        <v>239</v>
      </c>
      <c r="Q1849" s="14" t="s">
        <v>239</v>
      </c>
      <c r="R1849" s="14" t="s">
        <v>1930</v>
      </c>
    </row>
    <row r="1850" spans="1:18" s="14" customFormat="1" x14ac:dyDescent="0.25">
      <c r="A1850" s="14" t="str">
        <f>"93179"</f>
        <v>93179</v>
      </c>
      <c r="B1850" s="14" t="str">
        <f>"03140"</f>
        <v>03140</v>
      </c>
      <c r="C1850" s="14" t="str">
        <f>"1500"</f>
        <v>1500</v>
      </c>
      <c r="D1850" s="14" t="str">
        <f>"93179"</f>
        <v>93179</v>
      </c>
      <c r="E1850" s="14" t="s">
        <v>1839</v>
      </c>
      <c r="F1850" s="14" t="s">
        <v>247</v>
      </c>
      <c r="G1850" s="14" t="str">
        <f>"GN0093179"</f>
        <v>GN0093179</v>
      </c>
      <c r="H1850" s="14" t="str">
        <f>" 00"</f>
        <v xml:space="preserve"> 00</v>
      </c>
      <c r="I1850" s="14">
        <v>0.01</v>
      </c>
      <c r="J1850" s="14">
        <v>9999999.9900000002</v>
      </c>
      <c r="K1850" s="14" t="s">
        <v>236</v>
      </c>
      <c r="L1850" s="14" t="s">
        <v>237</v>
      </c>
      <c r="M1850" s="14" t="s">
        <v>238</v>
      </c>
      <c r="P1850" s="14" t="s">
        <v>239</v>
      </c>
      <c r="Q1850" s="14" t="s">
        <v>239</v>
      </c>
      <c r="R1850" s="14" t="s">
        <v>1930</v>
      </c>
    </row>
    <row r="1851" spans="1:18" s="14" customFormat="1" x14ac:dyDescent="0.25">
      <c r="A1851" s="14" t="str">
        <f>"84124"</f>
        <v>84124</v>
      </c>
      <c r="B1851" s="14" t="str">
        <f>"07020"</f>
        <v>07020</v>
      </c>
      <c r="C1851" s="14" t="str">
        <f>"1700"</f>
        <v>1700</v>
      </c>
      <c r="D1851" s="14" t="str">
        <f>"84124"</f>
        <v>84124</v>
      </c>
      <c r="E1851" s="14" t="s">
        <v>159</v>
      </c>
      <c r="F1851" s="14" t="s">
        <v>1532</v>
      </c>
      <c r="G1851" s="14" t="str">
        <f>""</f>
        <v/>
      </c>
      <c r="H1851" s="14" t="str">
        <f>" 20"</f>
        <v xml:space="preserve"> 20</v>
      </c>
      <c r="I1851" s="14">
        <v>500.01</v>
      </c>
      <c r="J1851" s="14">
        <v>9999999.9900000002</v>
      </c>
      <c r="K1851" s="14" t="s">
        <v>160</v>
      </c>
      <c r="L1851" s="14" t="s">
        <v>147</v>
      </c>
      <c r="P1851" s="14" t="s">
        <v>31</v>
      </c>
      <c r="Q1851" s="14" t="s">
        <v>31</v>
      </c>
      <c r="R1851" s="14" t="s">
        <v>146</v>
      </c>
    </row>
    <row r="1852" spans="1:18" s="14" customFormat="1" x14ac:dyDescent="0.25">
      <c r="A1852" s="14" t="str">
        <f>"10001"</f>
        <v>10001</v>
      </c>
      <c r="B1852" s="14" t="str">
        <f>"05150"</f>
        <v>05150</v>
      </c>
      <c r="C1852" s="14" t="str">
        <f>"1700"</f>
        <v>1700</v>
      </c>
      <c r="D1852" s="14" t="str">
        <f>"05150"</f>
        <v>05150</v>
      </c>
      <c r="E1852" s="14" t="s">
        <v>20</v>
      </c>
      <c r="F1852" s="14" t="s">
        <v>402</v>
      </c>
      <c r="G1852" s="14" t="str">
        <f>""</f>
        <v/>
      </c>
      <c r="H1852" s="14" t="str">
        <f>" 20"</f>
        <v xml:space="preserve"> 20</v>
      </c>
      <c r="I1852" s="14">
        <v>500.01</v>
      </c>
      <c r="J1852" s="14">
        <v>9999999.9900000002</v>
      </c>
      <c r="K1852" s="14" t="s">
        <v>404</v>
      </c>
      <c r="L1852" s="14" t="s">
        <v>405</v>
      </c>
      <c r="P1852" s="14" t="s">
        <v>39</v>
      </c>
      <c r="Q1852" s="14" t="s">
        <v>25</v>
      </c>
      <c r="R1852" s="14" t="s">
        <v>403</v>
      </c>
    </row>
    <row r="1853" spans="1:18" s="14" customFormat="1" x14ac:dyDescent="0.25">
      <c r="A1853" s="14" t="str">
        <f>"16020"</f>
        <v>16020</v>
      </c>
      <c r="B1853" s="14" t="str">
        <f>"05150"</f>
        <v>05150</v>
      </c>
      <c r="C1853" s="14" t="str">
        <f>"1700"</f>
        <v>1700</v>
      </c>
      <c r="D1853" s="14" t="str">
        <f>"16020"</f>
        <v>16020</v>
      </c>
      <c r="E1853" s="14" t="s">
        <v>540</v>
      </c>
      <c r="F1853" s="14" t="s">
        <v>402</v>
      </c>
      <c r="G1853" s="14" t="str">
        <f>""</f>
        <v/>
      </c>
      <c r="H1853" s="14" t="str">
        <f>" 00"</f>
        <v xml:space="preserve"> 00</v>
      </c>
      <c r="I1853" s="14">
        <v>0.01</v>
      </c>
      <c r="J1853" s="14">
        <v>9999999.9900000002</v>
      </c>
      <c r="K1853" s="14" t="s">
        <v>404</v>
      </c>
      <c r="L1853" s="14" t="s">
        <v>405</v>
      </c>
      <c r="P1853" s="14" t="s">
        <v>39</v>
      </c>
      <c r="Q1853" s="14" t="s">
        <v>25</v>
      </c>
      <c r="R1853" s="14" t="s">
        <v>403</v>
      </c>
    </row>
    <row r="1854" spans="1:18" s="14" customFormat="1" x14ac:dyDescent="0.25">
      <c r="A1854" s="14" t="str">
        <f>"16023"</f>
        <v>16023</v>
      </c>
      <c r="B1854" s="14" t="str">
        <f>"05150"</f>
        <v>05150</v>
      </c>
      <c r="C1854" s="14" t="str">
        <f>"1800"</f>
        <v>1800</v>
      </c>
      <c r="D1854" s="14" t="str">
        <f>"16023"</f>
        <v>16023</v>
      </c>
      <c r="E1854" s="14" t="s">
        <v>545</v>
      </c>
      <c r="F1854" s="14" t="s">
        <v>402</v>
      </c>
      <c r="G1854" s="14" t="str">
        <f>""</f>
        <v/>
      </c>
      <c r="H1854" s="14" t="str">
        <f>" 00"</f>
        <v xml:space="preserve"> 00</v>
      </c>
      <c r="I1854" s="14">
        <v>0.01</v>
      </c>
      <c r="J1854" s="14">
        <v>9999999.9900000002</v>
      </c>
      <c r="K1854" s="14" t="s">
        <v>404</v>
      </c>
      <c r="L1854" s="14" t="s">
        <v>405</v>
      </c>
      <c r="P1854" s="14" t="s">
        <v>39</v>
      </c>
      <c r="Q1854" s="14" t="s">
        <v>25</v>
      </c>
      <c r="R1854" s="14" t="s">
        <v>403</v>
      </c>
    </row>
    <row r="1855" spans="1:18" s="14" customFormat="1" x14ac:dyDescent="0.25">
      <c r="A1855" s="14" t="str">
        <f>"18092"</f>
        <v>18092</v>
      </c>
      <c r="B1855" s="14" t="str">
        <f>"05151"</f>
        <v>05151</v>
      </c>
      <c r="C1855" s="14" t="str">
        <f>"1100"</f>
        <v>1100</v>
      </c>
      <c r="D1855" s="14" t="str">
        <f>"05151A"</f>
        <v>05151A</v>
      </c>
      <c r="E1855" s="14" t="s">
        <v>666</v>
      </c>
      <c r="F1855" s="14" t="s">
        <v>666</v>
      </c>
      <c r="G1855" s="14" t="str">
        <f>""</f>
        <v/>
      </c>
      <c r="H1855" s="14" t="str">
        <f>" 00"</f>
        <v xml:space="preserve"> 00</v>
      </c>
      <c r="I1855" s="14">
        <v>0.01</v>
      </c>
      <c r="J1855" s="14">
        <v>9999999.9900000002</v>
      </c>
      <c r="K1855" s="14" t="s">
        <v>404</v>
      </c>
      <c r="L1855" s="14" t="s">
        <v>405</v>
      </c>
      <c r="P1855" s="14" t="s">
        <v>39</v>
      </c>
      <c r="Q1855" s="14" t="s">
        <v>25</v>
      </c>
      <c r="R1855" s="14" t="s">
        <v>403</v>
      </c>
    </row>
    <row r="1856" spans="1:18" s="14" customFormat="1" x14ac:dyDescent="0.25">
      <c r="A1856" s="14" t="str">
        <f>"18092"</f>
        <v>18092</v>
      </c>
      <c r="B1856" s="14" t="str">
        <f>"05152"</f>
        <v>05152</v>
      </c>
      <c r="C1856" s="14" t="str">
        <f>"1700"</f>
        <v>1700</v>
      </c>
      <c r="D1856" s="14" t="str">
        <f>"05152A"</f>
        <v>05152A</v>
      </c>
      <c r="E1856" s="14" t="s">
        <v>666</v>
      </c>
      <c r="F1856" s="14" t="s">
        <v>667</v>
      </c>
      <c r="G1856" s="14" t="str">
        <f>""</f>
        <v/>
      </c>
      <c r="H1856" s="14" t="str">
        <f>" 00"</f>
        <v xml:space="preserve"> 00</v>
      </c>
      <c r="I1856" s="14">
        <v>0.01</v>
      </c>
      <c r="J1856" s="14">
        <v>9999999.9900000002</v>
      </c>
      <c r="K1856" s="14" t="s">
        <v>404</v>
      </c>
      <c r="L1856" s="14" t="s">
        <v>405</v>
      </c>
      <c r="P1856" s="14" t="s">
        <v>39</v>
      </c>
      <c r="Q1856" s="14" t="s">
        <v>25</v>
      </c>
      <c r="R1856" s="14" t="s">
        <v>403</v>
      </c>
    </row>
    <row r="1857" spans="1:18" s="14" customFormat="1" x14ac:dyDescent="0.25">
      <c r="A1857" s="14" t="str">
        <f>"18130"</f>
        <v>18130</v>
      </c>
      <c r="B1857" s="14" t="str">
        <f>"05150"</f>
        <v>05150</v>
      </c>
      <c r="C1857" s="14" t="str">
        <f>"1400"</f>
        <v>1400</v>
      </c>
      <c r="D1857" s="14" t="str">
        <f>"18130"</f>
        <v>18130</v>
      </c>
      <c r="E1857" s="14" t="s">
        <v>695</v>
      </c>
      <c r="F1857" s="14" t="s">
        <v>402</v>
      </c>
      <c r="G1857" s="14" t="str">
        <f>""</f>
        <v/>
      </c>
      <c r="H1857" s="14" t="str">
        <f>" 00"</f>
        <v xml:space="preserve"> 00</v>
      </c>
      <c r="I1857" s="14">
        <v>0.01</v>
      </c>
      <c r="J1857" s="14">
        <v>9999999.9900000002</v>
      </c>
      <c r="K1857" s="14" t="s">
        <v>404</v>
      </c>
      <c r="L1857" s="14" t="s">
        <v>696</v>
      </c>
      <c r="P1857" s="14" t="s">
        <v>39</v>
      </c>
      <c r="Q1857" s="14" t="s">
        <v>25</v>
      </c>
      <c r="R1857" s="14" t="s">
        <v>403</v>
      </c>
    </row>
    <row r="1858" spans="1:18" s="14" customFormat="1" x14ac:dyDescent="0.25">
      <c r="A1858" s="14" t="str">
        <f>"18516"</f>
        <v>18516</v>
      </c>
      <c r="B1858" s="14" t="str">
        <f>"05150"</f>
        <v>05150</v>
      </c>
      <c r="C1858" s="14" t="str">
        <f>"1700"</f>
        <v>1700</v>
      </c>
      <c r="D1858" s="14" t="str">
        <f>""</f>
        <v/>
      </c>
      <c r="E1858" s="14" t="s">
        <v>713</v>
      </c>
      <c r="F1858" s="14" t="s">
        <v>402</v>
      </c>
      <c r="G1858" s="14" t="str">
        <f>""</f>
        <v/>
      </c>
      <c r="H1858" s="14" t="str">
        <f>" 00"</f>
        <v xml:space="preserve"> 00</v>
      </c>
      <c r="I1858" s="14">
        <v>0.01</v>
      </c>
      <c r="J1858" s="14">
        <v>9999999.9900000002</v>
      </c>
      <c r="K1858" s="14" t="s">
        <v>404</v>
      </c>
      <c r="L1858" s="14" t="s">
        <v>405</v>
      </c>
      <c r="P1858" s="14" t="s">
        <v>701</v>
      </c>
      <c r="Q1858" s="14" t="s">
        <v>25</v>
      </c>
      <c r="R1858" s="14" t="s">
        <v>403</v>
      </c>
    </row>
    <row r="1859" spans="1:18" s="14" customFormat="1" x14ac:dyDescent="0.25">
      <c r="A1859" s="14" t="str">
        <f>"18609"</f>
        <v>18609</v>
      </c>
      <c r="B1859" s="14" t="str">
        <f>"05150"</f>
        <v>05150</v>
      </c>
      <c r="C1859" s="14" t="str">
        <f>"1800"</f>
        <v>1800</v>
      </c>
      <c r="D1859" s="14" t="str">
        <f>""</f>
        <v/>
      </c>
      <c r="E1859" s="14" t="s">
        <v>742</v>
      </c>
      <c r="F1859" s="14" t="s">
        <v>402</v>
      </c>
      <c r="G1859" s="14" t="str">
        <f>""</f>
        <v/>
      </c>
      <c r="H1859" s="14" t="str">
        <f>" 00"</f>
        <v xml:space="preserve"> 00</v>
      </c>
      <c r="I1859" s="14">
        <v>0.01</v>
      </c>
      <c r="J1859" s="14">
        <v>9999999.9900000002</v>
      </c>
      <c r="K1859" s="14" t="s">
        <v>404</v>
      </c>
      <c r="L1859" s="14" t="s">
        <v>405</v>
      </c>
      <c r="P1859" s="14" t="s">
        <v>39</v>
      </c>
      <c r="Q1859" s="14" t="s">
        <v>25</v>
      </c>
      <c r="R1859" s="14" t="s">
        <v>403</v>
      </c>
    </row>
    <row r="1860" spans="1:18" s="14" customFormat="1" x14ac:dyDescent="0.25">
      <c r="A1860" s="14" t="str">
        <f>"84047"</f>
        <v>84047</v>
      </c>
      <c r="B1860" s="14" t="str">
        <f>"07020"</f>
        <v>07020</v>
      </c>
      <c r="C1860" s="14" t="str">
        <f>"1700"</f>
        <v>1700</v>
      </c>
      <c r="D1860" s="14" t="str">
        <f>"84047"</f>
        <v>84047</v>
      </c>
      <c r="E1860" s="14" t="s">
        <v>1588</v>
      </c>
      <c r="F1860" s="14" t="s">
        <v>1532</v>
      </c>
      <c r="G1860" s="14" t="str">
        <f>""</f>
        <v/>
      </c>
      <c r="H1860" s="14" t="str">
        <f>" 00"</f>
        <v xml:space="preserve"> 00</v>
      </c>
      <c r="I1860" s="14">
        <v>0.01</v>
      </c>
      <c r="J1860" s="14">
        <v>9999999.9900000002</v>
      </c>
      <c r="K1860" s="14" t="s">
        <v>404</v>
      </c>
      <c r="L1860" s="14" t="s">
        <v>405</v>
      </c>
      <c r="P1860" s="14" t="s">
        <v>31</v>
      </c>
      <c r="Q1860" s="14" t="s">
        <v>31</v>
      </c>
      <c r="R1860" s="14" t="s">
        <v>403</v>
      </c>
    </row>
    <row r="1861" spans="1:18" s="14" customFormat="1" x14ac:dyDescent="0.25">
      <c r="A1861" s="14" t="str">
        <f>"84204"</f>
        <v>84204</v>
      </c>
      <c r="B1861" s="14" t="str">
        <f>"07020"</f>
        <v>07020</v>
      </c>
      <c r="C1861" s="14" t="str">
        <f>"1700"</f>
        <v>1700</v>
      </c>
      <c r="D1861" s="14" t="str">
        <f>"84204"</f>
        <v>84204</v>
      </c>
      <c r="E1861" s="14" t="s">
        <v>1710</v>
      </c>
      <c r="F1861" s="14" t="s">
        <v>1532</v>
      </c>
      <c r="G1861" s="14" t="str">
        <f>""</f>
        <v/>
      </c>
      <c r="H1861" s="14" t="str">
        <f>" 00"</f>
        <v xml:space="preserve"> 00</v>
      </c>
      <c r="I1861" s="14">
        <v>0.01</v>
      </c>
      <c r="J1861" s="14">
        <v>9999999.9900000002</v>
      </c>
      <c r="K1861" s="14" t="s">
        <v>404</v>
      </c>
      <c r="L1861" s="14" t="s">
        <v>405</v>
      </c>
      <c r="P1861" s="14" t="s">
        <v>31</v>
      </c>
      <c r="Q1861" s="14" t="s">
        <v>31</v>
      </c>
      <c r="R1861" s="14" t="s">
        <v>403</v>
      </c>
    </row>
    <row r="1862" spans="1:18" s="14" customFormat="1" x14ac:dyDescent="0.25">
      <c r="A1862" s="14" t="str">
        <f>"85124"</f>
        <v>85124</v>
      </c>
      <c r="B1862" s="14" t="str">
        <f>"07030"</f>
        <v>07030</v>
      </c>
      <c r="C1862" s="14" t="str">
        <f>"8000"</f>
        <v>8000</v>
      </c>
      <c r="D1862" s="14" t="str">
        <f>"85124"</f>
        <v>85124</v>
      </c>
      <c r="E1862" s="14" t="s">
        <v>1791</v>
      </c>
      <c r="F1862" s="14" t="s">
        <v>1776</v>
      </c>
      <c r="G1862" s="14" t="str">
        <f>""</f>
        <v/>
      </c>
      <c r="H1862" s="14" t="str">
        <f>" 00"</f>
        <v xml:space="preserve"> 00</v>
      </c>
      <c r="I1862" s="14">
        <v>0.01</v>
      </c>
      <c r="J1862" s="14">
        <v>9999999.9900000002</v>
      </c>
      <c r="K1862" s="14" t="s">
        <v>404</v>
      </c>
      <c r="L1862" s="14" t="s">
        <v>405</v>
      </c>
      <c r="P1862" s="14" t="s">
        <v>39</v>
      </c>
      <c r="Q1862" s="14" t="s">
        <v>39</v>
      </c>
      <c r="R1862" s="14" t="s">
        <v>403</v>
      </c>
    </row>
    <row r="1863" spans="1:18" s="14" customFormat="1" x14ac:dyDescent="0.25"/>
    <row r="1864" spans="1:18" s="14" customFormat="1" x14ac:dyDescent="0.25"/>
    <row r="1865" spans="1:18" s="14" customFormat="1" x14ac:dyDescent="0.25"/>
    <row r="1866" spans="1:18" s="14" customFormat="1" x14ac:dyDescent="0.25"/>
    <row r="1867" spans="1:18" s="14" customFormat="1" x14ac:dyDescent="0.25"/>
    <row r="1868" spans="1:18" s="14" customFormat="1" x14ac:dyDescent="0.25"/>
    <row r="1869" spans="1:18" s="14" customFormat="1" x14ac:dyDescent="0.25"/>
    <row r="1870" spans="1:18" s="14" customFormat="1" x14ac:dyDescent="0.25"/>
    <row r="1871" spans="1:18" s="14" customFormat="1" x14ac:dyDescent="0.25"/>
    <row r="1872" spans="1:18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  <row r="2038" s="14" customFormat="1" x14ac:dyDescent="0.25"/>
    <row r="2039" s="14" customFormat="1" x14ac:dyDescent="0.25"/>
    <row r="2040" s="14" customFormat="1" x14ac:dyDescent="0.25"/>
    <row r="2041" s="14" customFormat="1" x14ac:dyDescent="0.25"/>
    <row r="2042" s="14" customFormat="1" x14ac:dyDescent="0.25"/>
    <row r="2043" s="14" customFormat="1" x14ac:dyDescent="0.25"/>
    <row r="2044" s="14" customFormat="1" x14ac:dyDescent="0.25"/>
    <row r="2045" s="14" customFormat="1" x14ac:dyDescent="0.25"/>
    <row r="2046" s="14" customFormat="1" x14ac:dyDescent="0.25"/>
    <row r="2047" s="14" customFormat="1" x14ac:dyDescent="0.25"/>
    <row r="2048" s="14" customFormat="1" x14ac:dyDescent="0.25"/>
    <row r="2049" s="14" customFormat="1" x14ac:dyDescent="0.25"/>
    <row r="2050" s="14" customFormat="1" x14ac:dyDescent="0.25"/>
    <row r="2051" s="14" customFormat="1" x14ac:dyDescent="0.25"/>
    <row r="2052" s="14" customFormat="1" x14ac:dyDescent="0.25"/>
    <row r="2053" s="14" customFormat="1" x14ac:dyDescent="0.25"/>
    <row r="2054" s="14" customFormat="1" x14ac:dyDescent="0.25"/>
    <row r="2055" s="14" customFormat="1" x14ac:dyDescent="0.25"/>
    <row r="2056" s="14" customFormat="1" x14ac:dyDescent="0.25"/>
    <row r="2057" s="14" customFormat="1" x14ac:dyDescent="0.25"/>
    <row r="2058" s="14" customFormat="1" x14ac:dyDescent="0.25"/>
    <row r="2059" s="14" customFormat="1" x14ac:dyDescent="0.25"/>
    <row r="2060" s="14" customFormat="1" x14ac:dyDescent="0.25"/>
    <row r="2061" s="14" customFormat="1" x14ac:dyDescent="0.25"/>
    <row r="2062" s="14" customFormat="1" x14ac:dyDescent="0.25"/>
    <row r="2063" s="14" customFormat="1" x14ac:dyDescent="0.25"/>
    <row r="2064" s="14" customFormat="1" x14ac:dyDescent="0.25"/>
    <row r="2065" s="14" customFormat="1" x14ac:dyDescent="0.25"/>
    <row r="2066" s="14" customFormat="1" x14ac:dyDescent="0.25"/>
    <row r="2067" s="14" customFormat="1" x14ac:dyDescent="0.25"/>
    <row r="2068" s="14" customFormat="1" x14ac:dyDescent="0.25"/>
    <row r="2069" s="14" customFormat="1" x14ac:dyDescent="0.25"/>
    <row r="2070" s="14" customFormat="1" x14ac:dyDescent="0.25"/>
    <row r="2071" s="14" customFormat="1" x14ac:dyDescent="0.25"/>
    <row r="2072" s="14" customFormat="1" x14ac:dyDescent="0.25"/>
    <row r="2073" s="14" customFormat="1" x14ac:dyDescent="0.25"/>
    <row r="2074" s="14" customFormat="1" x14ac:dyDescent="0.25"/>
    <row r="2075" s="14" customFormat="1" x14ac:dyDescent="0.25"/>
    <row r="2076" s="14" customFormat="1" x14ac:dyDescent="0.25"/>
    <row r="2077" s="14" customFormat="1" x14ac:dyDescent="0.25"/>
    <row r="2078" s="14" customFormat="1" x14ac:dyDescent="0.25"/>
    <row r="2079" s="14" customFormat="1" x14ac:dyDescent="0.25"/>
    <row r="2080" s="14" customFormat="1" x14ac:dyDescent="0.25"/>
    <row r="2081" s="14" customFormat="1" x14ac:dyDescent="0.25"/>
    <row r="2082" s="14" customFormat="1" x14ac:dyDescent="0.25"/>
    <row r="2083" s="14" customFormat="1" x14ac:dyDescent="0.25"/>
    <row r="2084" s="14" customFormat="1" x14ac:dyDescent="0.25"/>
    <row r="2085" s="14" customFormat="1" x14ac:dyDescent="0.25"/>
    <row r="2086" s="14" customFormat="1" x14ac:dyDescent="0.25"/>
    <row r="2087" s="14" customFormat="1" x14ac:dyDescent="0.25"/>
    <row r="2088" s="14" customFormat="1" x14ac:dyDescent="0.25"/>
    <row r="2089" s="14" customFormat="1" x14ac:dyDescent="0.25"/>
    <row r="2090" s="14" customFormat="1" x14ac:dyDescent="0.25"/>
    <row r="2091" s="14" customFormat="1" x14ac:dyDescent="0.25"/>
    <row r="2092" s="14" customFormat="1" x14ac:dyDescent="0.25"/>
    <row r="2093" s="14" customFormat="1" x14ac:dyDescent="0.25"/>
    <row r="2094" s="14" customFormat="1" x14ac:dyDescent="0.25"/>
    <row r="2095" s="14" customFormat="1" x14ac:dyDescent="0.25"/>
    <row r="2096" s="14" customFormat="1" x14ac:dyDescent="0.25"/>
    <row r="2097" s="14" customFormat="1" x14ac:dyDescent="0.25"/>
    <row r="2098" s="14" customFormat="1" x14ac:dyDescent="0.25"/>
    <row r="2099" s="14" customFormat="1" x14ac:dyDescent="0.25"/>
    <row r="2100" s="14" customFormat="1" x14ac:dyDescent="0.25"/>
    <row r="2101" s="14" customFormat="1" x14ac:dyDescent="0.25"/>
    <row r="2102" s="14" customFormat="1" x14ac:dyDescent="0.25"/>
    <row r="2103" s="14" customFormat="1" x14ac:dyDescent="0.25"/>
    <row r="2104" s="14" customFormat="1" x14ac:dyDescent="0.25"/>
    <row r="2105" s="14" customFormat="1" x14ac:dyDescent="0.25"/>
    <row r="2106" s="14" customFormat="1" x14ac:dyDescent="0.25"/>
    <row r="2107" s="14" customFormat="1" x14ac:dyDescent="0.25"/>
    <row r="2108" s="14" customFormat="1" x14ac:dyDescent="0.25"/>
    <row r="2109" s="14" customFormat="1" x14ac:dyDescent="0.25"/>
    <row r="2110" s="14" customFormat="1" x14ac:dyDescent="0.25"/>
    <row r="2111" s="14" customFormat="1" x14ac:dyDescent="0.25"/>
    <row r="2112" s="14" customFormat="1" x14ac:dyDescent="0.25"/>
    <row r="2113" s="14" customFormat="1" x14ac:dyDescent="0.25"/>
    <row r="2114" s="14" customFormat="1" x14ac:dyDescent="0.25"/>
    <row r="2115" s="14" customFormat="1" x14ac:dyDescent="0.25"/>
    <row r="2116" s="14" customFormat="1" x14ac:dyDescent="0.25"/>
    <row r="2117" s="14" customFormat="1" x14ac:dyDescent="0.25"/>
    <row r="2118" s="14" customFormat="1" x14ac:dyDescent="0.25"/>
    <row r="2119" s="14" customFormat="1" x14ac:dyDescent="0.25"/>
    <row r="2120" s="14" customFormat="1" x14ac:dyDescent="0.25"/>
    <row r="2121" s="14" customFormat="1" x14ac:dyDescent="0.25"/>
    <row r="2122" s="14" customFormat="1" x14ac:dyDescent="0.25"/>
    <row r="2123" s="14" customFormat="1" x14ac:dyDescent="0.25"/>
    <row r="2124" s="14" customFormat="1" x14ac:dyDescent="0.25"/>
    <row r="2125" s="14" customFormat="1" x14ac:dyDescent="0.25"/>
    <row r="2126" s="14" customFormat="1" x14ac:dyDescent="0.25"/>
    <row r="2127" s="14" customFormat="1" x14ac:dyDescent="0.25"/>
    <row r="2128" s="14" customFormat="1" x14ac:dyDescent="0.25"/>
    <row r="2129" s="14" customFormat="1" x14ac:dyDescent="0.25"/>
    <row r="2130" s="14" customFormat="1" x14ac:dyDescent="0.25"/>
    <row r="2131" s="14" customFormat="1" x14ac:dyDescent="0.25"/>
    <row r="2132" s="14" customFormat="1" x14ac:dyDescent="0.25"/>
    <row r="2133" s="14" customFormat="1" x14ac:dyDescent="0.25"/>
    <row r="2134" s="14" customFormat="1" x14ac:dyDescent="0.25"/>
    <row r="2135" s="14" customFormat="1" x14ac:dyDescent="0.25"/>
    <row r="2136" s="14" customFormat="1" x14ac:dyDescent="0.25"/>
    <row r="2137" s="14" customFormat="1" x14ac:dyDescent="0.25"/>
    <row r="2138" s="14" customFormat="1" x14ac:dyDescent="0.25"/>
    <row r="2139" s="14" customFormat="1" x14ac:dyDescent="0.25"/>
    <row r="2140" s="14" customFormat="1" x14ac:dyDescent="0.25"/>
    <row r="2141" s="14" customFormat="1" x14ac:dyDescent="0.25"/>
    <row r="2142" s="14" customFormat="1" x14ac:dyDescent="0.25"/>
    <row r="2143" s="14" customFormat="1" x14ac:dyDescent="0.25"/>
    <row r="2144" s="14" customFormat="1" x14ac:dyDescent="0.25"/>
    <row r="2145" s="14" customFormat="1" x14ac:dyDescent="0.25"/>
    <row r="2146" s="14" customFormat="1" x14ac:dyDescent="0.25"/>
    <row r="2147" s="14" customFormat="1" x14ac:dyDescent="0.25"/>
    <row r="2148" s="14" customFormat="1" x14ac:dyDescent="0.25"/>
    <row r="2149" s="14" customFormat="1" x14ac:dyDescent="0.25"/>
    <row r="2150" s="14" customFormat="1" x14ac:dyDescent="0.25"/>
    <row r="2151" s="14" customFormat="1" x14ac:dyDescent="0.25"/>
    <row r="2152" s="14" customFormat="1" x14ac:dyDescent="0.25"/>
    <row r="2153" s="14" customFormat="1" x14ac:dyDescent="0.25"/>
    <row r="2154" s="14" customFormat="1" x14ac:dyDescent="0.25"/>
    <row r="2155" s="14" customFormat="1" x14ac:dyDescent="0.25"/>
    <row r="2156" s="14" customFormat="1" x14ac:dyDescent="0.25"/>
    <row r="2157" s="14" customFormat="1" x14ac:dyDescent="0.25"/>
    <row r="2158" s="14" customFormat="1" x14ac:dyDescent="0.25"/>
    <row r="2159" s="14" customFormat="1" x14ac:dyDescent="0.25"/>
    <row r="2160" s="14" customFormat="1" x14ac:dyDescent="0.25"/>
    <row r="2161" s="14" customFormat="1" x14ac:dyDescent="0.25"/>
    <row r="2162" s="14" customFormat="1" x14ac:dyDescent="0.25"/>
    <row r="2163" s="14" customFormat="1" x14ac:dyDescent="0.25"/>
    <row r="2164" s="14" customFormat="1" x14ac:dyDescent="0.25"/>
    <row r="2165" s="14" customFormat="1" x14ac:dyDescent="0.25"/>
    <row r="2166" s="14" customFormat="1" x14ac:dyDescent="0.25"/>
    <row r="2167" s="14" customFormat="1" x14ac:dyDescent="0.25"/>
    <row r="2168" s="14" customFormat="1" x14ac:dyDescent="0.25"/>
    <row r="2169" s="14" customFormat="1" x14ac:dyDescent="0.25"/>
    <row r="2170" s="14" customFormat="1" x14ac:dyDescent="0.25"/>
    <row r="2171" s="14" customFormat="1" x14ac:dyDescent="0.25"/>
    <row r="2172" s="14" customFormat="1" x14ac:dyDescent="0.25"/>
    <row r="2173" s="14" customFormat="1" x14ac:dyDescent="0.25"/>
    <row r="2174" s="14" customFormat="1" x14ac:dyDescent="0.25"/>
    <row r="2175" s="14" customFormat="1" x14ac:dyDescent="0.25"/>
    <row r="2176" s="14" customFormat="1" x14ac:dyDescent="0.25"/>
    <row r="2177" s="14" customFormat="1" x14ac:dyDescent="0.25"/>
    <row r="2178" s="14" customFormat="1" x14ac:dyDescent="0.25"/>
    <row r="2179" s="14" customFormat="1" x14ac:dyDescent="0.25"/>
    <row r="2180" s="14" customFormat="1" x14ac:dyDescent="0.25"/>
    <row r="2181" s="14" customFormat="1" x14ac:dyDescent="0.25"/>
    <row r="2182" s="14" customFormat="1" x14ac:dyDescent="0.25"/>
    <row r="2183" s="14" customFormat="1" x14ac:dyDescent="0.25"/>
    <row r="2184" s="14" customFormat="1" x14ac:dyDescent="0.25"/>
    <row r="2185" s="14" customFormat="1" x14ac:dyDescent="0.25"/>
    <row r="2186" s="14" customFormat="1" x14ac:dyDescent="0.25"/>
    <row r="2187" s="14" customFormat="1" x14ac:dyDescent="0.25"/>
    <row r="2188" s="14" customFormat="1" x14ac:dyDescent="0.25"/>
    <row r="2189" s="14" customFormat="1" x14ac:dyDescent="0.25"/>
    <row r="2190" s="14" customFormat="1" x14ac:dyDescent="0.25"/>
    <row r="2191" s="14" customFormat="1" x14ac:dyDescent="0.25"/>
    <row r="2192" s="14" customFormat="1" x14ac:dyDescent="0.25"/>
    <row r="2193" s="14" customFormat="1" x14ac:dyDescent="0.25"/>
    <row r="2194" s="14" customFormat="1" x14ac:dyDescent="0.25"/>
    <row r="2195" s="14" customFormat="1" x14ac:dyDescent="0.25"/>
    <row r="2196" s="14" customFormat="1" x14ac:dyDescent="0.25"/>
    <row r="2197" s="14" customFormat="1" x14ac:dyDescent="0.25"/>
    <row r="2198" s="14" customFormat="1" x14ac:dyDescent="0.25"/>
    <row r="2199" s="14" customFormat="1" x14ac:dyDescent="0.25"/>
    <row r="2200" s="14" customFormat="1" x14ac:dyDescent="0.25"/>
    <row r="2201" s="14" customFormat="1" x14ac:dyDescent="0.25"/>
    <row r="2202" s="14" customFormat="1" x14ac:dyDescent="0.25"/>
    <row r="2203" s="14" customFormat="1" x14ac:dyDescent="0.25"/>
    <row r="2204" s="14" customFormat="1" x14ac:dyDescent="0.25"/>
    <row r="2205" s="14" customFormat="1" x14ac:dyDescent="0.25"/>
    <row r="2206" s="14" customFormat="1" x14ac:dyDescent="0.25"/>
    <row r="2207" s="14" customFormat="1" x14ac:dyDescent="0.25"/>
    <row r="2208" s="14" customFormat="1" x14ac:dyDescent="0.25"/>
    <row r="2209" s="14" customFormat="1" x14ac:dyDescent="0.25"/>
    <row r="2210" s="14" customFormat="1" x14ac:dyDescent="0.25"/>
    <row r="2211" s="14" customFormat="1" x14ac:dyDescent="0.25"/>
    <row r="2212" s="14" customFormat="1" x14ac:dyDescent="0.25"/>
    <row r="2213" s="14" customFormat="1" x14ac:dyDescent="0.25"/>
    <row r="2214" s="14" customFormat="1" x14ac:dyDescent="0.25"/>
    <row r="2215" s="14" customFormat="1" x14ac:dyDescent="0.25"/>
    <row r="2216" s="14" customFormat="1" x14ac:dyDescent="0.25"/>
    <row r="2217" s="14" customFormat="1" x14ac:dyDescent="0.25"/>
    <row r="2218" s="14" customFormat="1" x14ac:dyDescent="0.25"/>
    <row r="2219" s="14" customFormat="1" x14ac:dyDescent="0.25"/>
    <row r="2220" s="14" customFormat="1" x14ac:dyDescent="0.25"/>
    <row r="2221" s="14" customFormat="1" x14ac:dyDescent="0.25"/>
    <row r="2222" s="14" customFormat="1" x14ac:dyDescent="0.25"/>
    <row r="2223" s="14" customFormat="1" x14ac:dyDescent="0.25"/>
    <row r="2224" s="14" customFormat="1" x14ac:dyDescent="0.25"/>
    <row r="2225" s="14" customFormat="1" x14ac:dyDescent="0.25"/>
    <row r="2226" s="14" customFormat="1" x14ac:dyDescent="0.25"/>
    <row r="2227" s="14" customFormat="1" x14ac:dyDescent="0.25"/>
    <row r="2228" s="14" customFormat="1" x14ac:dyDescent="0.25"/>
    <row r="2229" s="14" customFormat="1" x14ac:dyDescent="0.25"/>
    <row r="2230" s="14" customFormat="1" x14ac:dyDescent="0.25"/>
    <row r="2231" s="14" customFormat="1" x14ac:dyDescent="0.25"/>
    <row r="2232" s="14" customFormat="1" x14ac:dyDescent="0.25"/>
    <row r="2233" s="14" customFormat="1" x14ac:dyDescent="0.25"/>
    <row r="2234" s="14" customFormat="1" x14ac:dyDescent="0.25"/>
    <row r="2235" s="14" customFormat="1" x14ac:dyDescent="0.25"/>
    <row r="2236" s="14" customFormat="1" x14ac:dyDescent="0.25"/>
    <row r="2237" s="14" customFormat="1" x14ac:dyDescent="0.25"/>
    <row r="2238" s="14" customFormat="1" x14ac:dyDescent="0.25"/>
    <row r="2239" s="14" customFormat="1" x14ac:dyDescent="0.25"/>
    <row r="2240" s="14" customFormat="1" x14ac:dyDescent="0.25"/>
    <row r="2241" s="14" customFormat="1" x14ac:dyDescent="0.25"/>
    <row r="2242" s="14" customFormat="1" x14ac:dyDescent="0.25"/>
    <row r="2243" s="14" customFormat="1" x14ac:dyDescent="0.25"/>
    <row r="2244" s="14" customFormat="1" x14ac:dyDescent="0.25"/>
    <row r="2245" s="14" customFormat="1" x14ac:dyDescent="0.25"/>
    <row r="2246" s="14" customFormat="1" x14ac:dyDescent="0.25"/>
    <row r="2247" s="14" customFormat="1" x14ac:dyDescent="0.25"/>
    <row r="2248" s="14" customFormat="1" x14ac:dyDescent="0.25"/>
    <row r="2249" s="14" customFormat="1" x14ac:dyDescent="0.25"/>
    <row r="2250" s="14" customFormat="1" x14ac:dyDescent="0.25"/>
    <row r="2251" s="14" customFormat="1" x14ac:dyDescent="0.25"/>
    <row r="2252" s="14" customFormat="1" x14ac:dyDescent="0.25"/>
    <row r="2253" s="14" customFormat="1" x14ac:dyDescent="0.25"/>
    <row r="2254" s="14" customFormat="1" x14ac:dyDescent="0.25"/>
    <row r="2255" s="14" customFormat="1" x14ac:dyDescent="0.25"/>
    <row r="2256" s="14" customFormat="1" x14ac:dyDescent="0.25"/>
    <row r="2257" s="14" customFormat="1" x14ac:dyDescent="0.25"/>
    <row r="2258" s="14" customFormat="1" x14ac:dyDescent="0.25"/>
    <row r="2259" s="14" customFormat="1" x14ac:dyDescent="0.25"/>
    <row r="2260" s="14" customFormat="1" x14ac:dyDescent="0.25"/>
    <row r="2261" s="14" customFormat="1" x14ac:dyDescent="0.25"/>
    <row r="2262" s="14" customFormat="1" x14ac:dyDescent="0.25"/>
    <row r="2263" s="14" customFormat="1" x14ac:dyDescent="0.25"/>
    <row r="2264" s="14" customFormat="1" x14ac:dyDescent="0.25"/>
    <row r="2265" s="14" customFormat="1" x14ac:dyDescent="0.25"/>
    <row r="2266" s="14" customFormat="1" x14ac:dyDescent="0.25"/>
    <row r="2267" s="14" customFormat="1" x14ac:dyDescent="0.25"/>
    <row r="2268" s="14" customFormat="1" x14ac:dyDescent="0.25"/>
    <row r="2269" s="14" customFormat="1" x14ac:dyDescent="0.25"/>
    <row r="2270" s="14" customFormat="1" x14ac:dyDescent="0.25"/>
    <row r="2271" s="14" customFormat="1" x14ac:dyDescent="0.25"/>
    <row r="2272" s="14" customFormat="1" x14ac:dyDescent="0.25"/>
    <row r="2273" s="14" customFormat="1" x14ac:dyDescent="0.25"/>
    <row r="2274" s="14" customFormat="1" x14ac:dyDescent="0.25"/>
    <row r="2275" s="14" customFormat="1" x14ac:dyDescent="0.25"/>
    <row r="2276" s="14" customFormat="1" x14ac:dyDescent="0.25"/>
    <row r="2277" s="14" customFormat="1" x14ac:dyDescent="0.25"/>
    <row r="2278" s="14" customFormat="1" x14ac:dyDescent="0.25"/>
    <row r="2279" s="14" customFormat="1" x14ac:dyDescent="0.25"/>
    <row r="2280" s="14" customFormat="1" x14ac:dyDescent="0.25"/>
    <row r="2281" s="14" customFormat="1" x14ac:dyDescent="0.25"/>
    <row r="2282" s="14" customFormat="1" x14ac:dyDescent="0.25"/>
    <row r="2283" s="14" customFormat="1" x14ac:dyDescent="0.25"/>
    <row r="2284" s="14" customFormat="1" x14ac:dyDescent="0.25"/>
    <row r="2285" s="14" customFormat="1" x14ac:dyDescent="0.25"/>
    <row r="2286" s="14" customFormat="1" x14ac:dyDescent="0.25"/>
    <row r="2287" s="14" customFormat="1" x14ac:dyDescent="0.25"/>
    <row r="2288" s="14" customFormat="1" x14ac:dyDescent="0.25"/>
    <row r="2289" s="14" customFormat="1" x14ac:dyDescent="0.25"/>
    <row r="2290" s="14" customFormat="1" x14ac:dyDescent="0.25"/>
    <row r="2291" s="14" customFormat="1" x14ac:dyDescent="0.25"/>
    <row r="2292" s="14" customFormat="1" x14ac:dyDescent="0.25"/>
    <row r="2293" s="14" customFormat="1" x14ac:dyDescent="0.25"/>
    <row r="2294" s="14" customFormat="1" x14ac:dyDescent="0.25"/>
    <row r="2295" s="14" customFormat="1" x14ac:dyDescent="0.25"/>
    <row r="2296" s="14" customFormat="1" x14ac:dyDescent="0.25"/>
    <row r="2297" s="14" customFormat="1" x14ac:dyDescent="0.25"/>
    <row r="2298" s="14" customFormat="1" x14ac:dyDescent="0.25"/>
    <row r="2299" s="14" customFormat="1" x14ac:dyDescent="0.25"/>
    <row r="2300" s="14" customFormat="1" x14ac:dyDescent="0.25"/>
    <row r="2301" s="14" customFormat="1" x14ac:dyDescent="0.25"/>
    <row r="2302" s="14" customFormat="1" x14ac:dyDescent="0.25"/>
    <row r="2303" s="14" customFormat="1" x14ac:dyDescent="0.25"/>
    <row r="2304" s="14" customFormat="1" x14ac:dyDescent="0.25"/>
    <row r="2305" s="14" customFormat="1" x14ac:dyDescent="0.25"/>
    <row r="2306" s="14" customFormat="1" x14ac:dyDescent="0.25"/>
    <row r="2307" s="14" customFormat="1" x14ac:dyDescent="0.25"/>
    <row r="2308" s="14" customFormat="1" x14ac:dyDescent="0.25"/>
    <row r="2309" s="14" customFormat="1" x14ac:dyDescent="0.25"/>
    <row r="2310" s="14" customFormat="1" x14ac:dyDescent="0.25"/>
    <row r="2311" s="14" customFormat="1" x14ac:dyDescent="0.25"/>
    <row r="2312" s="14" customFormat="1" x14ac:dyDescent="0.25"/>
    <row r="2313" s="14" customFormat="1" x14ac:dyDescent="0.25"/>
    <row r="2314" s="14" customFormat="1" x14ac:dyDescent="0.25"/>
    <row r="2315" s="14" customFormat="1" x14ac:dyDescent="0.25"/>
    <row r="2316" s="14" customFormat="1" x14ac:dyDescent="0.25"/>
    <row r="2317" s="14" customFormat="1" x14ac:dyDescent="0.25"/>
    <row r="2318" s="14" customFormat="1" x14ac:dyDescent="0.25"/>
    <row r="2319" s="14" customFormat="1" x14ac:dyDescent="0.25"/>
    <row r="2320" s="14" customFormat="1" x14ac:dyDescent="0.25"/>
    <row r="2321" s="14" customFormat="1" x14ac:dyDescent="0.25"/>
    <row r="2322" s="14" customFormat="1" x14ac:dyDescent="0.25"/>
    <row r="2323" s="14" customFormat="1" x14ac:dyDescent="0.25"/>
    <row r="2324" s="14" customFormat="1" x14ac:dyDescent="0.25"/>
    <row r="2325" s="14" customFormat="1" x14ac:dyDescent="0.25"/>
    <row r="2326" s="14" customFormat="1" x14ac:dyDescent="0.25"/>
    <row r="2327" s="14" customFormat="1" x14ac:dyDescent="0.25"/>
    <row r="2328" s="14" customFormat="1" x14ac:dyDescent="0.25"/>
    <row r="2329" s="14" customFormat="1" x14ac:dyDescent="0.25"/>
    <row r="2330" s="14" customFormat="1" x14ac:dyDescent="0.25"/>
    <row r="2331" s="14" customFormat="1" x14ac:dyDescent="0.25"/>
    <row r="2332" s="14" customFormat="1" x14ac:dyDescent="0.25"/>
    <row r="2333" s="14" customFormat="1" x14ac:dyDescent="0.25"/>
    <row r="2334" s="14" customFormat="1" x14ac:dyDescent="0.25"/>
    <row r="2335" s="14" customFormat="1" x14ac:dyDescent="0.25"/>
    <row r="2336" s="14" customFormat="1" x14ac:dyDescent="0.25"/>
    <row r="2337" s="14" customFormat="1" x14ac:dyDescent="0.25"/>
    <row r="2338" s="14" customFormat="1" x14ac:dyDescent="0.25"/>
    <row r="2339" s="14" customFormat="1" x14ac:dyDescent="0.25"/>
    <row r="2340" s="14" customFormat="1" x14ac:dyDescent="0.25"/>
    <row r="2341" s="14" customFormat="1" x14ac:dyDescent="0.25"/>
    <row r="2342" s="14" customFormat="1" x14ac:dyDescent="0.25"/>
    <row r="2343" s="14" customFormat="1" x14ac:dyDescent="0.25"/>
    <row r="2344" s="14" customFormat="1" x14ac:dyDescent="0.25"/>
    <row r="2345" s="14" customFormat="1" x14ac:dyDescent="0.25"/>
    <row r="2346" s="14" customFormat="1" x14ac:dyDescent="0.25"/>
    <row r="2347" s="14" customFormat="1" x14ac:dyDescent="0.25"/>
    <row r="2348" s="14" customFormat="1" x14ac:dyDescent="0.25"/>
    <row r="2349" s="14" customFormat="1" x14ac:dyDescent="0.25"/>
    <row r="2350" s="14" customFormat="1" x14ac:dyDescent="0.25"/>
    <row r="2351" s="14" customFormat="1" x14ac:dyDescent="0.25"/>
    <row r="2352" s="14" customFormat="1" x14ac:dyDescent="0.25"/>
    <row r="2353" s="14" customFormat="1" x14ac:dyDescent="0.25"/>
    <row r="2354" s="14" customFormat="1" x14ac:dyDescent="0.25"/>
    <row r="2355" s="14" customFormat="1" x14ac:dyDescent="0.25"/>
    <row r="2356" s="14" customFormat="1" x14ac:dyDescent="0.25"/>
    <row r="2357" s="14" customFormat="1" x14ac:dyDescent="0.25"/>
    <row r="2358" s="14" customFormat="1" x14ac:dyDescent="0.25"/>
    <row r="2359" s="14" customFormat="1" x14ac:dyDescent="0.25"/>
    <row r="2360" s="14" customFormat="1" x14ac:dyDescent="0.25"/>
    <row r="2361" s="14" customFormat="1" x14ac:dyDescent="0.25"/>
    <row r="2362" s="14" customFormat="1" x14ac:dyDescent="0.25"/>
    <row r="2363" s="14" customFormat="1" x14ac:dyDescent="0.25"/>
    <row r="2364" s="14" customFormat="1" x14ac:dyDescent="0.25"/>
    <row r="2365" s="14" customFormat="1" x14ac:dyDescent="0.25"/>
    <row r="2366" s="14" customFormat="1" x14ac:dyDescent="0.25"/>
    <row r="2367" s="14" customFormat="1" x14ac:dyDescent="0.25"/>
    <row r="2368" s="14" customFormat="1" x14ac:dyDescent="0.25"/>
    <row r="2369" s="14" customFormat="1" x14ac:dyDescent="0.25"/>
    <row r="2370" s="14" customFormat="1" x14ac:dyDescent="0.25"/>
    <row r="2371" s="14" customFormat="1" x14ac:dyDescent="0.25"/>
    <row r="2372" s="14" customFormat="1" x14ac:dyDescent="0.25"/>
    <row r="2373" s="14" customFormat="1" x14ac:dyDescent="0.25"/>
    <row r="2374" s="14" customFormat="1" x14ac:dyDescent="0.25"/>
    <row r="2375" s="14" customFormat="1" x14ac:dyDescent="0.25"/>
    <row r="2376" s="14" customFormat="1" x14ac:dyDescent="0.25"/>
    <row r="2377" s="14" customFormat="1" x14ac:dyDescent="0.25"/>
    <row r="2378" s="14" customFormat="1" x14ac:dyDescent="0.25"/>
    <row r="2379" s="14" customFormat="1" x14ac:dyDescent="0.25"/>
    <row r="2380" s="14" customFormat="1" x14ac:dyDescent="0.25"/>
    <row r="2381" s="14" customFormat="1" x14ac:dyDescent="0.25"/>
    <row r="2382" s="14" customFormat="1" x14ac:dyDescent="0.25"/>
    <row r="2383" s="14" customFormat="1" x14ac:dyDescent="0.25"/>
    <row r="2384" s="14" customFormat="1" x14ac:dyDescent="0.25"/>
    <row r="2385" s="14" customFormat="1" x14ac:dyDescent="0.25"/>
    <row r="2386" s="14" customFormat="1" x14ac:dyDescent="0.25"/>
    <row r="2387" s="14" customFormat="1" x14ac:dyDescent="0.25"/>
    <row r="2388" s="14" customFormat="1" x14ac:dyDescent="0.25"/>
    <row r="2389" s="14" customFormat="1" x14ac:dyDescent="0.25"/>
    <row r="2390" s="14" customFormat="1" x14ac:dyDescent="0.25"/>
    <row r="2391" s="14" customFormat="1" x14ac:dyDescent="0.25"/>
    <row r="2392" s="14" customFormat="1" x14ac:dyDescent="0.25"/>
    <row r="2393" s="14" customFormat="1" x14ac:dyDescent="0.25"/>
    <row r="2394" s="14" customFormat="1" x14ac:dyDescent="0.25"/>
    <row r="2395" s="14" customFormat="1" x14ac:dyDescent="0.25"/>
    <row r="2396" s="14" customFormat="1" x14ac:dyDescent="0.25"/>
    <row r="2397" s="14" customFormat="1" x14ac:dyDescent="0.25"/>
    <row r="2398" s="14" customFormat="1" x14ac:dyDescent="0.25"/>
    <row r="2399" s="14" customFormat="1" x14ac:dyDescent="0.25"/>
    <row r="2400" s="14" customFormat="1" x14ac:dyDescent="0.25"/>
    <row r="2401" s="14" customFormat="1" x14ac:dyDescent="0.25"/>
    <row r="2402" s="14" customFormat="1" x14ac:dyDescent="0.25"/>
    <row r="2403" s="14" customFormat="1" x14ac:dyDescent="0.25"/>
    <row r="2404" s="14" customFormat="1" x14ac:dyDescent="0.25"/>
    <row r="2405" s="14" customFormat="1" x14ac:dyDescent="0.25"/>
    <row r="2406" s="14" customFormat="1" x14ac:dyDescent="0.25"/>
    <row r="2407" s="14" customFormat="1" x14ac:dyDescent="0.25"/>
    <row r="2408" s="14" customFormat="1" x14ac:dyDescent="0.25"/>
    <row r="2409" s="14" customFormat="1" x14ac:dyDescent="0.25"/>
    <row r="2410" s="14" customFormat="1" x14ac:dyDescent="0.25"/>
    <row r="2411" s="14" customFormat="1" x14ac:dyDescent="0.25"/>
    <row r="2412" s="14" customFormat="1" x14ac:dyDescent="0.25"/>
    <row r="2413" s="14" customFormat="1" x14ac:dyDescent="0.25"/>
    <row r="2414" s="14" customFormat="1" x14ac:dyDescent="0.25"/>
    <row r="2415" s="14" customFormat="1" x14ac:dyDescent="0.25"/>
    <row r="2416" s="14" customFormat="1" x14ac:dyDescent="0.25"/>
    <row r="2417" s="14" customFormat="1" x14ac:dyDescent="0.25"/>
    <row r="2418" s="14" customFormat="1" x14ac:dyDescent="0.25"/>
    <row r="2419" s="14" customFormat="1" x14ac:dyDescent="0.25"/>
    <row r="2420" s="14" customFormat="1" x14ac:dyDescent="0.25"/>
    <row r="2421" s="14" customFormat="1" x14ac:dyDescent="0.25"/>
    <row r="2422" s="14" customFormat="1" x14ac:dyDescent="0.25"/>
    <row r="2423" s="14" customFormat="1" x14ac:dyDescent="0.25"/>
    <row r="2424" s="14" customFormat="1" x14ac:dyDescent="0.25"/>
    <row r="2425" s="14" customFormat="1" x14ac:dyDescent="0.25"/>
    <row r="2426" s="14" customFormat="1" x14ac:dyDescent="0.25"/>
    <row r="2427" s="14" customFormat="1" x14ac:dyDescent="0.25"/>
    <row r="2428" s="14" customFormat="1" x14ac:dyDescent="0.25"/>
    <row r="2429" s="14" customFormat="1" x14ac:dyDescent="0.25"/>
    <row r="2430" s="14" customFormat="1" x14ac:dyDescent="0.25"/>
    <row r="2431" s="14" customFormat="1" x14ac:dyDescent="0.25"/>
    <row r="2432" s="14" customFormat="1" x14ac:dyDescent="0.25"/>
    <row r="2433" s="14" customFormat="1" x14ac:dyDescent="0.25"/>
    <row r="2434" s="14" customFormat="1" x14ac:dyDescent="0.25"/>
    <row r="2435" s="14" customFormat="1" x14ac:dyDescent="0.25"/>
    <row r="2436" s="14" customFormat="1" x14ac:dyDescent="0.25"/>
    <row r="2437" s="14" customFormat="1" x14ac:dyDescent="0.25"/>
    <row r="2438" s="14" customFormat="1" x14ac:dyDescent="0.25"/>
    <row r="2439" s="14" customFormat="1" x14ac:dyDescent="0.25"/>
    <row r="2440" s="14" customFormat="1" x14ac:dyDescent="0.25"/>
    <row r="2441" s="14" customFormat="1" x14ac:dyDescent="0.25"/>
    <row r="2442" s="14" customFormat="1" x14ac:dyDescent="0.25"/>
    <row r="2443" s="14" customFormat="1" x14ac:dyDescent="0.25"/>
    <row r="2444" s="14" customFormat="1" x14ac:dyDescent="0.25"/>
    <row r="2445" s="14" customFormat="1" x14ac:dyDescent="0.25"/>
    <row r="2446" s="14" customFormat="1" x14ac:dyDescent="0.25"/>
    <row r="2447" s="14" customFormat="1" x14ac:dyDescent="0.25"/>
    <row r="2448" s="14" customFormat="1" x14ac:dyDescent="0.25"/>
    <row r="2449" s="14" customFormat="1" x14ac:dyDescent="0.25"/>
    <row r="2450" s="14" customFormat="1" x14ac:dyDescent="0.25"/>
    <row r="2451" s="14" customFormat="1" x14ac:dyDescent="0.25"/>
    <row r="2452" s="14" customFormat="1" x14ac:dyDescent="0.25"/>
    <row r="2453" s="14" customFormat="1" x14ac:dyDescent="0.25"/>
    <row r="2454" s="14" customFormat="1" x14ac:dyDescent="0.25"/>
    <row r="2455" s="14" customFormat="1" x14ac:dyDescent="0.25"/>
    <row r="2456" s="14" customFormat="1" x14ac:dyDescent="0.25"/>
    <row r="2457" s="14" customFormat="1" x14ac:dyDescent="0.25"/>
    <row r="2458" s="14" customFormat="1" x14ac:dyDescent="0.25"/>
    <row r="2459" s="14" customFormat="1" x14ac:dyDescent="0.25"/>
    <row r="2460" s="14" customFormat="1" x14ac:dyDescent="0.25"/>
    <row r="2461" s="14" customFormat="1" x14ac:dyDescent="0.25"/>
    <row r="2462" s="14" customFormat="1" x14ac:dyDescent="0.25"/>
    <row r="2463" s="14" customFormat="1" x14ac:dyDescent="0.25"/>
    <row r="2464" s="14" customFormat="1" x14ac:dyDescent="0.25"/>
    <row r="2465" s="14" customFormat="1" x14ac:dyDescent="0.25"/>
    <row r="2466" s="14" customFormat="1" x14ac:dyDescent="0.25"/>
    <row r="2467" s="14" customFormat="1" x14ac:dyDescent="0.25"/>
    <row r="2468" s="14" customFormat="1" x14ac:dyDescent="0.25"/>
    <row r="2469" s="14" customFormat="1" x14ac:dyDescent="0.25"/>
    <row r="2470" s="14" customFormat="1" x14ac:dyDescent="0.25"/>
    <row r="2471" s="14" customFormat="1" x14ac:dyDescent="0.25"/>
    <row r="2472" s="14" customFormat="1" x14ac:dyDescent="0.25"/>
    <row r="2473" s="14" customFormat="1" x14ac:dyDescent="0.25"/>
    <row r="2474" s="14" customFormat="1" x14ac:dyDescent="0.25"/>
    <row r="2475" s="14" customFormat="1" x14ac:dyDescent="0.25"/>
    <row r="2476" s="14" customFormat="1" x14ac:dyDescent="0.25"/>
    <row r="2477" s="14" customFormat="1" x14ac:dyDescent="0.25"/>
    <row r="2478" s="14" customFormat="1" x14ac:dyDescent="0.25"/>
    <row r="2479" s="14" customFormat="1" x14ac:dyDescent="0.25"/>
    <row r="2480" s="14" customFormat="1" x14ac:dyDescent="0.25"/>
    <row r="2481" s="14" customFormat="1" x14ac:dyDescent="0.25"/>
    <row r="2482" s="14" customFormat="1" x14ac:dyDescent="0.25"/>
    <row r="2483" s="14" customFormat="1" x14ac:dyDescent="0.25"/>
    <row r="2484" s="14" customFormat="1" x14ac:dyDescent="0.25"/>
    <row r="2485" s="14" customFormat="1" x14ac:dyDescent="0.25"/>
    <row r="2486" s="14" customFormat="1" x14ac:dyDescent="0.25"/>
    <row r="2487" s="14" customFormat="1" x14ac:dyDescent="0.25"/>
    <row r="2488" s="14" customFormat="1" x14ac:dyDescent="0.25"/>
    <row r="2489" s="14" customFormat="1" x14ac:dyDescent="0.25"/>
    <row r="2490" s="14" customFormat="1" x14ac:dyDescent="0.25"/>
    <row r="2491" s="14" customFormat="1" x14ac:dyDescent="0.25"/>
    <row r="2492" s="14" customFormat="1" x14ac:dyDescent="0.25"/>
    <row r="2493" s="14" customFormat="1" x14ac:dyDescent="0.25"/>
    <row r="2494" s="14" customFormat="1" x14ac:dyDescent="0.25"/>
    <row r="2495" s="14" customFormat="1" x14ac:dyDescent="0.25"/>
    <row r="2496" s="14" customFormat="1" x14ac:dyDescent="0.25"/>
    <row r="2497" s="14" customFormat="1" x14ac:dyDescent="0.25"/>
    <row r="2498" s="14" customFormat="1" x14ac:dyDescent="0.25"/>
    <row r="2499" s="14" customFormat="1" x14ac:dyDescent="0.25"/>
    <row r="2500" s="14" customFormat="1" x14ac:dyDescent="0.25"/>
    <row r="2501" s="14" customFormat="1" x14ac:dyDescent="0.25"/>
    <row r="2502" s="14" customFormat="1" x14ac:dyDescent="0.25"/>
    <row r="2503" s="14" customFormat="1" x14ac:dyDescent="0.25"/>
    <row r="2504" s="14" customFormat="1" x14ac:dyDescent="0.25"/>
    <row r="2505" s="14" customFormat="1" x14ac:dyDescent="0.25"/>
    <row r="2506" s="14" customFormat="1" x14ac:dyDescent="0.25"/>
    <row r="2507" s="14" customFormat="1" x14ac:dyDescent="0.25"/>
    <row r="2508" s="14" customFormat="1" x14ac:dyDescent="0.25"/>
    <row r="2509" s="14" customFormat="1" x14ac:dyDescent="0.25"/>
    <row r="2510" s="14" customFormat="1" x14ac:dyDescent="0.25"/>
    <row r="2511" s="14" customFormat="1" x14ac:dyDescent="0.25"/>
    <row r="2512" s="14" customFormat="1" x14ac:dyDescent="0.25"/>
    <row r="2513" s="14" customFormat="1" x14ac:dyDescent="0.25"/>
    <row r="2514" s="14" customFormat="1" x14ac:dyDescent="0.25"/>
    <row r="2515" s="14" customFormat="1" x14ac:dyDescent="0.25"/>
    <row r="2516" s="14" customFormat="1" x14ac:dyDescent="0.25"/>
    <row r="2517" s="14" customFormat="1" x14ac:dyDescent="0.25"/>
    <row r="2518" s="14" customFormat="1" x14ac:dyDescent="0.25"/>
    <row r="2519" s="14" customFormat="1" x14ac:dyDescent="0.25"/>
    <row r="2520" s="14" customFormat="1" x14ac:dyDescent="0.25"/>
    <row r="2521" s="14" customFormat="1" x14ac:dyDescent="0.25"/>
    <row r="2522" s="14" customFormat="1" x14ac:dyDescent="0.25"/>
    <row r="2523" s="14" customFormat="1" x14ac:dyDescent="0.25"/>
    <row r="2524" s="14" customFormat="1" x14ac:dyDescent="0.25"/>
    <row r="2525" s="14" customFormat="1" x14ac:dyDescent="0.25"/>
    <row r="2526" s="14" customFormat="1" x14ac:dyDescent="0.25"/>
    <row r="2527" s="14" customFormat="1" x14ac:dyDescent="0.25"/>
    <row r="2528" s="14" customFormat="1" x14ac:dyDescent="0.25"/>
    <row r="2529" s="14" customFormat="1" x14ac:dyDescent="0.25"/>
    <row r="2530" s="14" customFormat="1" x14ac:dyDescent="0.25"/>
    <row r="2531" s="14" customFormat="1" x14ac:dyDescent="0.25"/>
    <row r="2532" s="14" customFormat="1" x14ac:dyDescent="0.25"/>
    <row r="2533" s="14" customFormat="1" x14ac:dyDescent="0.25"/>
    <row r="2534" s="14" customFormat="1" x14ac:dyDescent="0.25"/>
    <row r="2535" s="14" customFormat="1" x14ac:dyDescent="0.25"/>
    <row r="2536" s="14" customFormat="1" x14ac:dyDescent="0.25"/>
    <row r="2537" s="14" customFormat="1" x14ac:dyDescent="0.25"/>
    <row r="2538" s="14" customFormat="1" x14ac:dyDescent="0.25"/>
    <row r="2539" s="14" customFormat="1" x14ac:dyDescent="0.25"/>
    <row r="2540" s="14" customFormat="1" x14ac:dyDescent="0.25"/>
    <row r="2541" s="14" customFormat="1" x14ac:dyDescent="0.25"/>
    <row r="2542" s="14" customFormat="1" x14ac:dyDescent="0.25"/>
    <row r="2543" s="14" customFormat="1" x14ac:dyDescent="0.25"/>
    <row r="2544" s="14" customFormat="1" x14ac:dyDescent="0.25"/>
    <row r="2545" s="14" customFormat="1" x14ac:dyDescent="0.25"/>
    <row r="2546" s="14" customFormat="1" x14ac:dyDescent="0.25"/>
    <row r="2547" s="14" customFormat="1" x14ac:dyDescent="0.25"/>
    <row r="2548" s="14" customFormat="1" x14ac:dyDescent="0.25"/>
    <row r="2549" s="14" customFormat="1" x14ac:dyDescent="0.25"/>
    <row r="2550" s="14" customFormat="1" x14ac:dyDescent="0.25"/>
    <row r="2551" s="14" customFormat="1" x14ac:dyDescent="0.25"/>
    <row r="2552" s="14" customFormat="1" x14ac:dyDescent="0.25"/>
    <row r="2553" s="14" customFormat="1" x14ac:dyDescent="0.25"/>
    <row r="2554" s="14" customFormat="1" x14ac:dyDescent="0.25"/>
    <row r="2555" s="14" customFormat="1" x14ac:dyDescent="0.25"/>
    <row r="2556" s="14" customFormat="1" x14ac:dyDescent="0.25"/>
    <row r="2557" s="14" customFormat="1" x14ac:dyDescent="0.25"/>
    <row r="2558" s="14" customFormat="1" x14ac:dyDescent="0.25"/>
    <row r="2559" s="14" customFormat="1" x14ac:dyDescent="0.25"/>
    <row r="2560" s="14" customFormat="1" x14ac:dyDescent="0.25"/>
    <row r="2561" s="14" customFormat="1" x14ac:dyDescent="0.25"/>
    <row r="2562" s="14" customFormat="1" x14ac:dyDescent="0.25"/>
    <row r="2563" s="14" customFormat="1" x14ac:dyDescent="0.25"/>
    <row r="2564" s="14" customFormat="1" x14ac:dyDescent="0.25"/>
    <row r="2565" s="14" customFormat="1" x14ac:dyDescent="0.25"/>
    <row r="2566" s="14" customFormat="1" x14ac:dyDescent="0.25"/>
    <row r="2567" s="14" customFormat="1" x14ac:dyDescent="0.25"/>
    <row r="2568" s="14" customFormat="1" x14ac:dyDescent="0.25"/>
    <row r="2569" s="14" customFormat="1" x14ac:dyDescent="0.25"/>
    <row r="2570" s="14" customFormat="1" x14ac:dyDescent="0.25"/>
    <row r="2571" s="14" customFormat="1" x14ac:dyDescent="0.25"/>
    <row r="2572" s="14" customFormat="1" x14ac:dyDescent="0.25"/>
    <row r="2573" s="14" customFormat="1" x14ac:dyDescent="0.25"/>
    <row r="2574" s="14" customFormat="1" x14ac:dyDescent="0.25"/>
    <row r="2575" s="14" customFormat="1" x14ac:dyDescent="0.25"/>
    <row r="2576" s="14" customFormat="1" x14ac:dyDescent="0.25"/>
    <row r="2577" s="14" customFormat="1" x14ac:dyDescent="0.25"/>
    <row r="2578" s="14" customFormat="1" x14ac:dyDescent="0.25"/>
    <row r="2579" s="14" customFormat="1" x14ac:dyDescent="0.25"/>
    <row r="2580" s="14" customFormat="1" x14ac:dyDescent="0.25"/>
    <row r="2581" s="14" customFormat="1" x14ac:dyDescent="0.25"/>
    <row r="2582" s="14" customFormat="1" x14ac:dyDescent="0.25"/>
    <row r="2583" s="14" customFormat="1" x14ac:dyDescent="0.25"/>
    <row r="2584" s="14" customFormat="1" x14ac:dyDescent="0.25"/>
    <row r="2585" s="14" customFormat="1" x14ac:dyDescent="0.25"/>
    <row r="2586" s="14" customFormat="1" x14ac:dyDescent="0.25"/>
    <row r="2587" s="14" customFormat="1" x14ac:dyDescent="0.25"/>
    <row r="2588" s="14" customFormat="1" x14ac:dyDescent="0.25"/>
    <row r="2589" s="14" customFormat="1" x14ac:dyDescent="0.25"/>
    <row r="2590" s="14" customFormat="1" x14ac:dyDescent="0.25"/>
    <row r="2591" s="14" customFormat="1" x14ac:dyDescent="0.25"/>
    <row r="2592" s="14" customFormat="1" x14ac:dyDescent="0.25"/>
    <row r="2593" s="14" customFormat="1" x14ac:dyDescent="0.25"/>
    <row r="2594" s="14" customFormat="1" x14ac:dyDescent="0.25"/>
    <row r="2595" s="14" customFormat="1" x14ac:dyDescent="0.25"/>
    <row r="2596" s="14" customFormat="1" x14ac:dyDescent="0.25"/>
    <row r="2597" s="14" customFormat="1" x14ac:dyDescent="0.25"/>
    <row r="2598" s="14" customFormat="1" x14ac:dyDescent="0.25"/>
    <row r="2599" s="14" customFormat="1" x14ac:dyDescent="0.25"/>
    <row r="2600" s="14" customFormat="1" x14ac:dyDescent="0.25"/>
    <row r="2601" s="14" customFormat="1" x14ac:dyDescent="0.25"/>
    <row r="2602" s="14" customFormat="1" x14ac:dyDescent="0.25"/>
    <row r="2603" s="14" customFormat="1" x14ac:dyDescent="0.25"/>
    <row r="2604" s="14" customFormat="1" x14ac:dyDescent="0.25"/>
    <row r="2605" s="14" customFormat="1" x14ac:dyDescent="0.25"/>
    <row r="2606" s="14" customFormat="1" x14ac:dyDescent="0.25"/>
    <row r="2607" s="14" customFormat="1" x14ac:dyDescent="0.25"/>
    <row r="2608" s="14" customFormat="1" x14ac:dyDescent="0.25"/>
    <row r="2609" s="14" customFormat="1" x14ac:dyDescent="0.25"/>
    <row r="2610" s="14" customFormat="1" x14ac:dyDescent="0.25"/>
    <row r="2611" s="14" customFormat="1" x14ac:dyDescent="0.25"/>
    <row r="2612" s="14" customFormat="1" x14ac:dyDescent="0.25"/>
    <row r="2613" s="14" customFormat="1" x14ac:dyDescent="0.25"/>
    <row r="2614" s="14" customFormat="1" x14ac:dyDescent="0.25"/>
    <row r="2615" s="14" customFormat="1" x14ac:dyDescent="0.25"/>
    <row r="2616" s="14" customFormat="1" x14ac:dyDescent="0.25"/>
    <row r="2617" s="14" customFormat="1" x14ac:dyDescent="0.25"/>
    <row r="2618" s="14" customFormat="1" x14ac:dyDescent="0.25"/>
    <row r="2619" s="14" customFormat="1" x14ac:dyDescent="0.25"/>
    <row r="2620" s="14" customFormat="1" x14ac:dyDescent="0.25"/>
    <row r="2621" s="14" customFormat="1" x14ac:dyDescent="0.25"/>
    <row r="2622" s="14" customFormat="1" x14ac:dyDescent="0.25"/>
    <row r="2623" s="14" customFormat="1" x14ac:dyDescent="0.25"/>
    <row r="2624" s="14" customFormat="1" x14ac:dyDescent="0.25"/>
    <row r="2625" s="14" customFormat="1" x14ac:dyDescent="0.25"/>
    <row r="2626" s="14" customFormat="1" x14ac:dyDescent="0.25"/>
    <row r="2627" s="14" customFormat="1" x14ac:dyDescent="0.25"/>
    <row r="2628" s="14" customFormat="1" x14ac:dyDescent="0.25"/>
    <row r="2629" s="14" customFormat="1" x14ac:dyDescent="0.25"/>
    <row r="2630" s="14" customFormat="1" x14ac:dyDescent="0.25"/>
    <row r="2631" s="14" customFormat="1" x14ac:dyDescent="0.25"/>
    <row r="2632" s="14" customFormat="1" x14ac:dyDescent="0.25"/>
    <row r="2633" s="14" customFormat="1" x14ac:dyDescent="0.25"/>
    <row r="2634" s="14" customFormat="1" x14ac:dyDescent="0.25"/>
    <row r="2635" s="14" customFormat="1" x14ac:dyDescent="0.25"/>
    <row r="2636" s="14" customFormat="1" x14ac:dyDescent="0.25"/>
    <row r="2637" s="14" customFormat="1" x14ac:dyDescent="0.25"/>
    <row r="2638" s="14" customFormat="1" x14ac:dyDescent="0.25"/>
    <row r="2639" s="14" customFormat="1" x14ac:dyDescent="0.25"/>
    <row r="2640" s="14" customFormat="1" x14ac:dyDescent="0.25"/>
    <row r="2641" s="14" customFormat="1" x14ac:dyDescent="0.25"/>
    <row r="2642" s="14" customFormat="1" x14ac:dyDescent="0.25"/>
    <row r="2643" s="14" customFormat="1" x14ac:dyDescent="0.25"/>
    <row r="2644" s="14" customFormat="1" x14ac:dyDescent="0.25"/>
    <row r="2645" s="14" customFormat="1" x14ac:dyDescent="0.25"/>
    <row r="2646" s="14" customFormat="1" x14ac:dyDescent="0.25"/>
    <row r="2647" s="14" customFormat="1" x14ac:dyDescent="0.25"/>
    <row r="2648" s="14" customFormat="1" x14ac:dyDescent="0.25"/>
    <row r="2649" s="14" customFormat="1" x14ac:dyDescent="0.25"/>
    <row r="2650" s="14" customFormat="1" x14ac:dyDescent="0.25"/>
    <row r="2651" s="14" customFormat="1" x14ac:dyDescent="0.25"/>
    <row r="2652" s="14" customFormat="1" x14ac:dyDescent="0.25"/>
    <row r="2653" s="14" customFormat="1" x14ac:dyDescent="0.25"/>
    <row r="2654" s="14" customFormat="1" x14ac:dyDescent="0.25"/>
    <row r="2655" s="14" customFormat="1" x14ac:dyDescent="0.25"/>
    <row r="2656" s="14" customFormat="1" x14ac:dyDescent="0.25"/>
    <row r="2657" s="14" customFormat="1" x14ac:dyDescent="0.25"/>
    <row r="2658" s="14" customFormat="1" x14ac:dyDescent="0.25"/>
    <row r="2659" s="14" customFormat="1" x14ac:dyDescent="0.25"/>
    <row r="2660" s="14" customFormat="1" x14ac:dyDescent="0.25"/>
    <row r="2661" s="14" customFormat="1" x14ac:dyDescent="0.25"/>
    <row r="2662" s="14" customFormat="1" x14ac:dyDescent="0.25"/>
    <row r="2663" s="14" customFormat="1" x14ac:dyDescent="0.25"/>
    <row r="2664" s="14" customFormat="1" x14ac:dyDescent="0.25"/>
    <row r="2665" s="14" customFormat="1" x14ac:dyDescent="0.25"/>
    <row r="2666" s="14" customFormat="1" x14ac:dyDescent="0.25"/>
    <row r="2667" s="14" customFormat="1" x14ac:dyDescent="0.25"/>
    <row r="2668" s="14" customFormat="1" x14ac:dyDescent="0.25"/>
    <row r="2669" s="14" customFormat="1" x14ac:dyDescent="0.25"/>
    <row r="2670" s="14" customFormat="1" x14ac:dyDescent="0.25"/>
    <row r="2671" s="14" customFormat="1" x14ac:dyDescent="0.25"/>
    <row r="2672" s="14" customFormat="1" x14ac:dyDescent="0.25"/>
    <row r="2673" s="14" customFormat="1" x14ac:dyDescent="0.25"/>
    <row r="2674" s="14" customFormat="1" x14ac:dyDescent="0.25"/>
    <row r="2675" s="14" customFormat="1" x14ac:dyDescent="0.25"/>
    <row r="2676" s="14" customFormat="1" x14ac:dyDescent="0.25"/>
    <row r="2677" s="14" customFormat="1" x14ac:dyDescent="0.25"/>
    <row r="2678" s="14" customFormat="1" x14ac:dyDescent="0.25"/>
    <row r="2679" s="14" customFormat="1" x14ac:dyDescent="0.25"/>
    <row r="2680" s="14" customFormat="1" x14ac:dyDescent="0.25"/>
    <row r="2681" s="14" customFormat="1" x14ac:dyDescent="0.25"/>
    <row r="2682" s="14" customFormat="1" x14ac:dyDescent="0.25"/>
    <row r="2683" s="14" customFormat="1" x14ac:dyDescent="0.25"/>
    <row r="2684" s="14" customFormat="1" x14ac:dyDescent="0.25"/>
    <row r="2685" s="14" customFormat="1" x14ac:dyDescent="0.25"/>
    <row r="2686" s="14" customFormat="1" x14ac:dyDescent="0.25"/>
    <row r="2687" s="14" customFormat="1" x14ac:dyDescent="0.25"/>
    <row r="2688" s="14" customFormat="1" x14ac:dyDescent="0.25"/>
    <row r="2689" s="14" customFormat="1" x14ac:dyDescent="0.25"/>
    <row r="2690" s="14" customFormat="1" x14ac:dyDescent="0.25"/>
    <row r="2691" s="14" customFormat="1" x14ac:dyDescent="0.25"/>
    <row r="2692" s="14" customFormat="1" x14ac:dyDescent="0.25"/>
    <row r="2693" s="14" customFormat="1" x14ac:dyDescent="0.25"/>
    <row r="2694" s="14" customFormat="1" x14ac:dyDescent="0.25"/>
    <row r="2695" s="14" customFormat="1" x14ac:dyDescent="0.25"/>
    <row r="2696" s="14" customFormat="1" x14ac:dyDescent="0.25"/>
    <row r="2697" s="14" customFormat="1" x14ac:dyDescent="0.25"/>
    <row r="2698" s="14" customFormat="1" x14ac:dyDescent="0.25"/>
    <row r="2699" s="14" customFormat="1" x14ac:dyDescent="0.25"/>
    <row r="2700" s="14" customFormat="1" x14ac:dyDescent="0.25"/>
    <row r="2701" s="14" customFormat="1" x14ac:dyDescent="0.25"/>
    <row r="2702" s="14" customFormat="1" x14ac:dyDescent="0.25"/>
    <row r="2703" s="14" customFormat="1" x14ac:dyDescent="0.25"/>
    <row r="2704" s="14" customFormat="1" x14ac:dyDescent="0.25"/>
    <row r="2705" s="14" customFormat="1" x14ac:dyDescent="0.25"/>
    <row r="2706" s="14" customFormat="1" x14ac:dyDescent="0.25"/>
    <row r="2707" s="14" customFormat="1" x14ac:dyDescent="0.25"/>
    <row r="2708" s="14" customFormat="1" x14ac:dyDescent="0.25"/>
    <row r="2709" s="14" customFormat="1" x14ac:dyDescent="0.25"/>
    <row r="2710" s="14" customFormat="1" x14ac:dyDescent="0.25"/>
    <row r="2711" s="14" customFormat="1" x14ac:dyDescent="0.25"/>
    <row r="2712" s="14" customFormat="1" x14ac:dyDescent="0.25"/>
    <row r="2713" s="14" customFormat="1" x14ac:dyDescent="0.25"/>
    <row r="2714" s="14" customFormat="1" x14ac:dyDescent="0.25"/>
    <row r="2715" s="14" customFormat="1" x14ac:dyDescent="0.25"/>
    <row r="2716" s="14" customFormat="1" x14ac:dyDescent="0.25"/>
    <row r="2717" s="14" customFormat="1" x14ac:dyDescent="0.25"/>
    <row r="2718" s="14" customFormat="1" x14ac:dyDescent="0.25"/>
    <row r="2719" s="14" customFormat="1" x14ac:dyDescent="0.25"/>
    <row r="2720" s="14" customFormat="1" x14ac:dyDescent="0.25"/>
    <row r="2721" s="14" customFormat="1" x14ac:dyDescent="0.25"/>
    <row r="2722" s="14" customFormat="1" x14ac:dyDescent="0.25"/>
    <row r="2723" s="14" customFormat="1" x14ac:dyDescent="0.25"/>
    <row r="2724" s="14" customFormat="1" x14ac:dyDescent="0.25"/>
    <row r="2725" s="14" customFormat="1" x14ac:dyDescent="0.25"/>
    <row r="2726" s="14" customFormat="1" x14ac:dyDescent="0.25"/>
    <row r="2727" s="14" customFormat="1" x14ac:dyDescent="0.25"/>
    <row r="2728" s="14" customFormat="1" x14ac:dyDescent="0.25"/>
    <row r="2729" s="14" customFormat="1" x14ac:dyDescent="0.25"/>
    <row r="2730" s="14" customFormat="1" x14ac:dyDescent="0.25"/>
    <row r="2731" s="14" customFormat="1" x14ac:dyDescent="0.25"/>
    <row r="2732" s="14" customFormat="1" x14ac:dyDescent="0.25"/>
    <row r="2733" s="14" customFormat="1" x14ac:dyDescent="0.25"/>
    <row r="2734" s="14" customFormat="1" x14ac:dyDescent="0.25"/>
    <row r="2735" s="14" customFormat="1" x14ac:dyDescent="0.25"/>
    <row r="2736" s="14" customFormat="1" x14ac:dyDescent="0.25"/>
    <row r="2737" s="14" customFormat="1" x14ac:dyDescent="0.25"/>
    <row r="2738" s="14" customFormat="1" x14ac:dyDescent="0.25"/>
    <row r="2739" s="14" customFormat="1" x14ac:dyDescent="0.25"/>
    <row r="2740" s="14" customFormat="1" x14ac:dyDescent="0.25"/>
    <row r="2741" s="14" customFormat="1" x14ac:dyDescent="0.25"/>
    <row r="2742" s="14" customFormat="1" x14ac:dyDescent="0.25"/>
    <row r="2743" s="14" customFormat="1" x14ac:dyDescent="0.25"/>
    <row r="2744" s="14" customFormat="1" x14ac:dyDescent="0.25"/>
    <row r="2745" s="14" customFormat="1" x14ac:dyDescent="0.25"/>
    <row r="2746" s="14" customFormat="1" x14ac:dyDescent="0.25"/>
    <row r="2747" s="14" customFormat="1" x14ac:dyDescent="0.25"/>
    <row r="2748" s="14" customFormat="1" x14ac:dyDescent="0.25"/>
    <row r="2749" s="14" customFormat="1" x14ac:dyDescent="0.25"/>
    <row r="2750" s="14" customFormat="1" x14ac:dyDescent="0.25"/>
    <row r="2751" s="14" customFormat="1" x14ac:dyDescent="0.25"/>
    <row r="2752" s="14" customFormat="1" x14ac:dyDescent="0.25"/>
    <row r="2753" s="14" customFormat="1" x14ac:dyDescent="0.25"/>
    <row r="2754" s="14" customFormat="1" x14ac:dyDescent="0.25"/>
    <row r="2755" s="14" customFormat="1" x14ac:dyDescent="0.25"/>
    <row r="2756" s="14" customFormat="1" x14ac:dyDescent="0.25"/>
    <row r="2757" s="14" customFormat="1" x14ac:dyDescent="0.25"/>
    <row r="2758" s="14" customFormat="1" x14ac:dyDescent="0.25"/>
    <row r="2759" s="14" customFormat="1" x14ac:dyDescent="0.25"/>
    <row r="2760" s="14" customFormat="1" x14ac:dyDescent="0.25"/>
    <row r="2761" s="14" customFormat="1" x14ac:dyDescent="0.25"/>
    <row r="2762" s="14" customFormat="1" x14ac:dyDescent="0.25"/>
    <row r="2763" s="14" customFormat="1" x14ac:dyDescent="0.25"/>
    <row r="2764" s="14" customFormat="1" x14ac:dyDescent="0.25"/>
    <row r="2765" s="14" customFormat="1" x14ac:dyDescent="0.25"/>
    <row r="2766" s="14" customFormat="1" x14ac:dyDescent="0.25"/>
    <row r="2767" s="14" customFormat="1" x14ac:dyDescent="0.25"/>
    <row r="2768" s="14" customFormat="1" x14ac:dyDescent="0.25"/>
    <row r="2769" s="14" customFormat="1" x14ac:dyDescent="0.25"/>
    <row r="2770" s="14" customFormat="1" x14ac:dyDescent="0.25"/>
    <row r="2771" s="14" customFormat="1" x14ac:dyDescent="0.25"/>
    <row r="2772" s="14" customFormat="1" x14ac:dyDescent="0.25"/>
    <row r="2773" s="14" customFormat="1" x14ac:dyDescent="0.25"/>
    <row r="2774" s="14" customFormat="1" x14ac:dyDescent="0.25"/>
    <row r="2775" s="14" customFormat="1" x14ac:dyDescent="0.25"/>
    <row r="2776" s="14" customFormat="1" x14ac:dyDescent="0.25"/>
    <row r="2777" s="14" customFormat="1" x14ac:dyDescent="0.25"/>
    <row r="2778" s="14" customFormat="1" x14ac:dyDescent="0.25"/>
    <row r="2779" s="14" customFormat="1" x14ac:dyDescent="0.25"/>
    <row r="2780" s="14" customFormat="1" x14ac:dyDescent="0.25"/>
    <row r="2781" s="14" customFormat="1" x14ac:dyDescent="0.25"/>
    <row r="2782" s="14" customFormat="1" x14ac:dyDescent="0.25"/>
    <row r="2783" s="14" customFormat="1" x14ac:dyDescent="0.25"/>
    <row r="2784" s="14" customFormat="1" x14ac:dyDescent="0.25"/>
    <row r="2785" s="14" customFormat="1" x14ac:dyDescent="0.25"/>
    <row r="2786" s="14" customFormat="1" x14ac:dyDescent="0.25"/>
    <row r="2787" s="14" customFormat="1" x14ac:dyDescent="0.25"/>
    <row r="2788" s="14" customFormat="1" x14ac:dyDescent="0.25"/>
    <row r="2789" s="14" customFormat="1" x14ac:dyDescent="0.25"/>
    <row r="2790" s="14" customFormat="1" x14ac:dyDescent="0.25"/>
    <row r="2791" s="14" customFormat="1" x14ac:dyDescent="0.25"/>
    <row r="2792" s="14" customFormat="1" x14ac:dyDescent="0.25"/>
    <row r="2793" s="14" customFormat="1" x14ac:dyDescent="0.25"/>
    <row r="2794" s="14" customFormat="1" x14ac:dyDescent="0.25"/>
    <row r="2795" s="14" customFormat="1" x14ac:dyDescent="0.25"/>
    <row r="2796" s="14" customFormat="1" x14ac:dyDescent="0.25"/>
    <row r="2797" s="14" customFormat="1" x14ac:dyDescent="0.25"/>
    <row r="2798" s="14" customFormat="1" x14ac:dyDescent="0.25"/>
    <row r="2799" s="14" customFormat="1" x14ac:dyDescent="0.25"/>
    <row r="2800" s="14" customFormat="1" x14ac:dyDescent="0.25"/>
    <row r="2801" s="14" customFormat="1" x14ac:dyDescent="0.25"/>
    <row r="2802" s="14" customFormat="1" x14ac:dyDescent="0.25"/>
    <row r="2803" s="14" customFormat="1" x14ac:dyDescent="0.25"/>
    <row r="2804" s="14" customFormat="1" x14ac:dyDescent="0.25"/>
    <row r="2805" s="14" customFormat="1" x14ac:dyDescent="0.25"/>
    <row r="2806" s="14" customFormat="1" x14ac:dyDescent="0.25"/>
    <row r="2807" s="14" customFormat="1" x14ac:dyDescent="0.25"/>
    <row r="2808" s="14" customFormat="1" x14ac:dyDescent="0.25"/>
    <row r="2809" s="14" customFormat="1" x14ac:dyDescent="0.25"/>
    <row r="2810" s="14" customFormat="1" x14ac:dyDescent="0.25"/>
    <row r="2811" s="14" customFormat="1" x14ac:dyDescent="0.25"/>
    <row r="2812" s="14" customFormat="1" x14ac:dyDescent="0.25"/>
    <row r="2813" s="14" customFormat="1" x14ac:dyDescent="0.25"/>
    <row r="2814" s="14" customFormat="1" x14ac:dyDescent="0.25"/>
    <row r="2815" s="14" customFormat="1" x14ac:dyDescent="0.25"/>
    <row r="2816" s="14" customFormat="1" x14ac:dyDescent="0.25"/>
    <row r="2817" s="14" customFormat="1" x14ac:dyDescent="0.25"/>
    <row r="2818" s="14" customFormat="1" x14ac:dyDescent="0.25"/>
    <row r="2819" s="14" customFormat="1" x14ac:dyDescent="0.25"/>
    <row r="2820" s="14" customFormat="1" x14ac:dyDescent="0.25"/>
    <row r="2821" s="14" customFormat="1" x14ac:dyDescent="0.25"/>
    <row r="2822" s="14" customFormat="1" x14ac:dyDescent="0.25"/>
    <row r="2823" s="14" customFormat="1" x14ac:dyDescent="0.25"/>
    <row r="2824" s="14" customFormat="1" x14ac:dyDescent="0.25"/>
    <row r="2825" s="14" customFormat="1" x14ac:dyDescent="0.25"/>
    <row r="2826" s="14" customFormat="1" x14ac:dyDescent="0.25"/>
    <row r="2827" s="14" customFormat="1" x14ac:dyDescent="0.25"/>
    <row r="2828" s="14" customFormat="1" x14ac:dyDescent="0.25"/>
    <row r="2829" s="14" customFormat="1" x14ac:dyDescent="0.25"/>
    <row r="2830" s="14" customFormat="1" x14ac:dyDescent="0.25"/>
    <row r="2831" s="14" customFormat="1" x14ac:dyDescent="0.25"/>
    <row r="2832" s="14" customFormat="1" x14ac:dyDescent="0.25"/>
    <row r="2833" s="14" customFormat="1" x14ac:dyDescent="0.25"/>
    <row r="2834" s="14" customFormat="1" x14ac:dyDescent="0.25"/>
    <row r="2835" s="14" customFormat="1" x14ac:dyDescent="0.25"/>
    <row r="2836" s="14" customFormat="1" x14ac:dyDescent="0.25"/>
    <row r="2837" s="14" customFormat="1" x14ac:dyDescent="0.25"/>
    <row r="2838" s="14" customFormat="1" x14ac:dyDescent="0.25"/>
    <row r="2839" s="14" customFormat="1" x14ac:dyDescent="0.25"/>
    <row r="2840" s="14" customFormat="1" x14ac:dyDescent="0.25"/>
    <row r="2841" s="14" customFormat="1" x14ac:dyDescent="0.25"/>
    <row r="2842" s="14" customFormat="1" x14ac:dyDescent="0.25"/>
    <row r="2843" s="14" customFormat="1" x14ac:dyDescent="0.25"/>
    <row r="2844" s="14" customFormat="1" x14ac:dyDescent="0.25"/>
    <row r="2845" s="14" customFormat="1" x14ac:dyDescent="0.25"/>
    <row r="2846" s="14" customFormat="1" x14ac:dyDescent="0.25"/>
    <row r="2847" s="14" customFormat="1" x14ac:dyDescent="0.25"/>
    <row r="2848" s="14" customFormat="1" x14ac:dyDescent="0.25"/>
    <row r="2849" s="14" customFormat="1" x14ac:dyDescent="0.25"/>
    <row r="2850" s="14" customFormat="1" x14ac:dyDescent="0.25"/>
    <row r="2851" s="14" customFormat="1" x14ac:dyDescent="0.25"/>
    <row r="2852" s="14" customFormat="1" x14ac:dyDescent="0.25"/>
    <row r="2853" s="14" customFormat="1" x14ac:dyDescent="0.25"/>
    <row r="2854" s="14" customFormat="1" x14ac:dyDescent="0.25"/>
    <row r="2855" s="14" customFormat="1" x14ac:dyDescent="0.25"/>
    <row r="2856" s="14" customFormat="1" x14ac:dyDescent="0.25"/>
    <row r="2857" s="14" customFormat="1" x14ac:dyDescent="0.25"/>
    <row r="2858" s="14" customFormat="1" x14ac:dyDescent="0.25"/>
    <row r="2859" s="14" customFormat="1" x14ac:dyDescent="0.25"/>
    <row r="2860" s="14" customFormat="1" x14ac:dyDescent="0.25"/>
    <row r="2861" s="14" customFormat="1" x14ac:dyDescent="0.25"/>
    <row r="2862" s="14" customFormat="1" x14ac:dyDescent="0.25"/>
    <row r="2863" s="14" customFormat="1" x14ac:dyDescent="0.25"/>
    <row r="2864" s="14" customFormat="1" x14ac:dyDescent="0.25"/>
    <row r="2865" s="14" customFormat="1" x14ac:dyDescent="0.25"/>
    <row r="2866" s="14" customFormat="1" x14ac:dyDescent="0.25"/>
    <row r="2867" s="14" customFormat="1" x14ac:dyDescent="0.25"/>
    <row r="2868" s="14" customFormat="1" x14ac:dyDescent="0.25"/>
    <row r="2869" s="14" customFormat="1" x14ac:dyDescent="0.25"/>
    <row r="2870" s="14" customFormat="1" x14ac:dyDescent="0.25"/>
    <row r="2871" s="14" customFormat="1" x14ac:dyDescent="0.25"/>
    <row r="2872" s="14" customFormat="1" x14ac:dyDescent="0.25"/>
    <row r="2873" s="14" customFormat="1" x14ac:dyDescent="0.25"/>
    <row r="2874" s="14" customFormat="1" x14ac:dyDescent="0.25"/>
    <row r="2875" s="14" customFormat="1" x14ac:dyDescent="0.25"/>
    <row r="2876" s="14" customFormat="1" x14ac:dyDescent="0.25"/>
    <row r="2877" s="14" customFormat="1" x14ac:dyDescent="0.25"/>
    <row r="2878" s="14" customFormat="1" x14ac:dyDescent="0.25"/>
    <row r="2879" s="14" customFormat="1" x14ac:dyDescent="0.25"/>
    <row r="2880" s="14" customFormat="1" x14ac:dyDescent="0.25"/>
    <row r="2881" s="14" customFormat="1" x14ac:dyDescent="0.25"/>
    <row r="2882" s="14" customFormat="1" x14ac:dyDescent="0.25"/>
    <row r="2883" s="14" customFormat="1" x14ac:dyDescent="0.25"/>
    <row r="2884" s="14" customFormat="1" x14ac:dyDescent="0.25"/>
    <row r="2885" s="14" customFormat="1" x14ac:dyDescent="0.25"/>
    <row r="2886" s="14" customFormat="1" x14ac:dyDescent="0.25"/>
    <row r="2887" s="14" customFormat="1" x14ac:dyDescent="0.25"/>
    <row r="2888" s="14" customFormat="1" x14ac:dyDescent="0.25"/>
    <row r="2889" s="14" customFormat="1" x14ac:dyDescent="0.25"/>
    <row r="2890" s="14" customFormat="1" x14ac:dyDescent="0.25"/>
    <row r="2891" s="14" customFormat="1" x14ac:dyDescent="0.25"/>
    <row r="2892" s="14" customFormat="1" x14ac:dyDescent="0.25"/>
    <row r="2893" s="14" customFormat="1" x14ac:dyDescent="0.25"/>
    <row r="2894" s="14" customFormat="1" x14ac:dyDescent="0.25"/>
    <row r="2895" s="14" customFormat="1" x14ac:dyDescent="0.25"/>
    <row r="2896" s="14" customFormat="1" x14ac:dyDescent="0.25"/>
    <row r="2897" s="14" customFormat="1" x14ac:dyDescent="0.25"/>
    <row r="2898" s="14" customFormat="1" x14ac:dyDescent="0.25"/>
    <row r="2899" s="14" customFormat="1" x14ac:dyDescent="0.25"/>
    <row r="2900" s="14" customFormat="1" x14ac:dyDescent="0.25"/>
    <row r="2901" s="14" customFormat="1" x14ac:dyDescent="0.25"/>
    <row r="2902" s="14" customFormat="1" x14ac:dyDescent="0.25"/>
    <row r="2903" s="14" customFormat="1" x14ac:dyDescent="0.25"/>
    <row r="2904" s="14" customFormat="1" x14ac:dyDescent="0.25"/>
    <row r="2905" s="14" customFormat="1" x14ac:dyDescent="0.25"/>
    <row r="2906" s="14" customFormat="1" x14ac:dyDescent="0.25"/>
    <row r="2907" s="14" customFormat="1" x14ac:dyDescent="0.25"/>
    <row r="2908" s="14" customFormat="1" x14ac:dyDescent="0.25"/>
    <row r="2909" s="14" customFormat="1" x14ac:dyDescent="0.25"/>
    <row r="2910" s="14" customFormat="1" x14ac:dyDescent="0.25"/>
    <row r="2911" s="14" customFormat="1" x14ac:dyDescent="0.25"/>
    <row r="2912" s="14" customFormat="1" x14ac:dyDescent="0.25"/>
    <row r="2913" s="14" customFormat="1" x14ac:dyDescent="0.25"/>
    <row r="2914" s="14" customFormat="1" x14ac:dyDescent="0.25"/>
    <row r="2915" s="14" customFormat="1" x14ac:dyDescent="0.25"/>
    <row r="2916" s="14" customFormat="1" x14ac:dyDescent="0.25"/>
    <row r="2917" s="14" customFormat="1" x14ac:dyDescent="0.25"/>
    <row r="2918" s="14" customFormat="1" x14ac:dyDescent="0.25"/>
    <row r="2919" s="14" customFormat="1" x14ac:dyDescent="0.25"/>
    <row r="2920" s="14" customFormat="1" x14ac:dyDescent="0.25"/>
    <row r="2921" s="14" customFormat="1" x14ac:dyDescent="0.25"/>
    <row r="2922" s="14" customFormat="1" x14ac:dyDescent="0.25"/>
    <row r="2923" s="14" customFormat="1" x14ac:dyDescent="0.25"/>
    <row r="2924" s="14" customFormat="1" x14ac:dyDescent="0.25"/>
    <row r="2925" s="14" customFormat="1" x14ac:dyDescent="0.25"/>
    <row r="2926" s="14" customFormat="1" x14ac:dyDescent="0.25"/>
    <row r="2927" s="14" customFormat="1" x14ac:dyDescent="0.25"/>
    <row r="2928" s="14" customFormat="1" x14ac:dyDescent="0.25"/>
    <row r="2929" s="14" customFormat="1" x14ac:dyDescent="0.25"/>
    <row r="2930" s="14" customFormat="1" x14ac:dyDescent="0.25"/>
    <row r="2931" s="14" customFormat="1" x14ac:dyDescent="0.25"/>
    <row r="2932" s="14" customFormat="1" x14ac:dyDescent="0.25"/>
    <row r="2933" s="14" customFormat="1" x14ac:dyDescent="0.25"/>
    <row r="2934" s="14" customFormat="1" x14ac:dyDescent="0.25"/>
    <row r="2935" s="14" customFormat="1" x14ac:dyDescent="0.25"/>
    <row r="2936" s="14" customFormat="1" x14ac:dyDescent="0.25"/>
    <row r="2937" s="14" customFormat="1" x14ac:dyDescent="0.25"/>
    <row r="2938" s="14" customFormat="1" x14ac:dyDescent="0.25"/>
    <row r="2939" s="14" customFormat="1" x14ac:dyDescent="0.25"/>
    <row r="2940" s="14" customFormat="1" x14ac:dyDescent="0.25"/>
    <row r="2941" s="14" customFormat="1" x14ac:dyDescent="0.25"/>
    <row r="2942" s="14" customFormat="1" x14ac:dyDescent="0.25"/>
    <row r="2943" s="14" customFormat="1" x14ac:dyDescent="0.25"/>
    <row r="2944" s="14" customFormat="1" x14ac:dyDescent="0.25"/>
    <row r="2945" s="14" customFormat="1" x14ac:dyDescent="0.25"/>
    <row r="2946" s="14" customFormat="1" x14ac:dyDescent="0.25"/>
    <row r="2947" s="14" customFormat="1" x14ac:dyDescent="0.25"/>
    <row r="2948" s="14" customFormat="1" x14ac:dyDescent="0.25"/>
    <row r="2949" s="14" customFormat="1" x14ac:dyDescent="0.25"/>
    <row r="2950" s="14" customFormat="1" x14ac:dyDescent="0.25"/>
    <row r="2951" s="14" customFormat="1" x14ac:dyDescent="0.25"/>
    <row r="2952" s="14" customFormat="1" x14ac:dyDescent="0.25"/>
    <row r="2953" s="14" customFormat="1" x14ac:dyDescent="0.25"/>
    <row r="2954" s="14" customFormat="1" x14ac:dyDescent="0.25"/>
    <row r="2955" s="14" customFormat="1" x14ac:dyDescent="0.25"/>
    <row r="2956" s="14" customFormat="1" x14ac:dyDescent="0.25"/>
    <row r="2957" s="14" customFormat="1" x14ac:dyDescent="0.25"/>
    <row r="2958" s="14" customFormat="1" x14ac:dyDescent="0.25"/>
    <row r="2959" s="14" customFormat="1" x14ac:dyDescent="0.25"/>
    <row r="2960" s="14" customFormat="1" x14ac:dyDescent="0.25"/>
    <row r="2961" s="14" customFormat="1" x14ac:dyDescent="0.25"/>
    <row r="2962" s="14" customFormat="1" x14ac:dyDescent="0.25"/>
    <row r="2963" s="14" customFormat="1" x14ac:dyDescent="0.25"/>
    <row r="2964" s="14" customFormat="1" x14ac:dyDescent="0.25"/>
    <row r="2965" s="14" customFormat="1" x14ac:dyDescent="0.25"/>
    <row r="2966" s="14" customFormat="1" x14ac:dyDescent="0.25"/>
    <row r="2967" s="14" customFormat="1" x14ac:dyDescent="0.25"/>
    <row r="2968" s="14" customFormat="1" x14ac:dyDescent="0.25"/>
    <row r="2969" s="14" customFormat="1" x14ac:dyDescent="0.25"/>
    <row r="2970" s="14" customFormat="1" x14ac:dyDescent="0.25"/>
    <row r="2971" s="14" customFormat="1" x14ac:dyDescent="0.25"/>
    <row r="2972" s="14" customFormat="1" x14ac:dyDescent="0.25"/>
    <row r="2973" s="14" customFormat="1" x14ac:dyDescent="0.25"/>
    <row r="2974" s="14" customFormat="1" x14ac:dyDescent="0.25"/>
    <row r="2975" s="14" customFormat="1" x14ac:dyDescent="0.25"/>
    <row r="2976" s="14" customFormat="1" x14ac:dyDescent="0.25"/>
    <row r="2977" s="14" customFormat="1" x14ac:dyDescent="0.25"/>
    <row r="2978" s="14" customFormat="1" x14ac:dyDescent="0.25"/>
    <row r="2979" s="14" customFormat="1" x14ac:dyDescent="0.25"/>
    <row r="2980" s="14" customFormat="1" x14ac:dyDescent="0.25"/>
    <row r="2981" s="14" customFormat="1" x14ac:dyDescent="0.25"/>
    <row r="2982" s="14" customFormat="1" x14ac:dyDescent="0.25"/>
    <row r="2983" s="14" customFormat="1" x14ac:dyDescent="0.25"/>
    <row r="2984" s="14" customFormat="1" x14ac:dyDescent="0.25"/>
    <row r="2985" s="14" customFormat="1" x14ac:dyDescent="0.25"/>
    <row r="2986" s="14" customFormat="1" x14ac:dyDescent="0.25"/>
    <row r="2987" s="14" customFormat="1" x14ac:dyDescent="0.25"/>
    <row r="2988" s="14" customFormat="1" x14ac:dyDescent="0.25"/>
    <row r="2989" s="14" customFormat="1" x14ac:dyDescent="0.25"/>
    <row r="2990" s="14" customFormat="1" x14ac:dyDescent="0.25"/>
    <row r="2991" s="14" customFormat="1" x14ac:dyDescent="0.25"/>
    <row r="2992" s="14" customFormat="1" x14ac:dyDescent="0.25"/>
    <row r="2993" s="14" customFormat="1" x14ac:dyDescent="0.25"/>
    <row r="2994" s="14" customFormat="1" x14ac:dyDescent="0.25"/>
    <row r="2995" s="14" customFormat="1" x14ac:dyDescent="0.25"/>
    <row r="2996" s="14" customFormat="1" x14ac:dyDescent="0.25"/>
    <row r="2997" s="14" customFormat="1" x14ac:dyDescent="0.25"/>
    <row r="2998" s="14" customFormat="1" x14ac:dyDescent="0.25"/>
    <row r="2999" s="14" customFormat="1" x14ac:dyDescent="0.25"/>
    <row r="3000" s="14" customFormat="1" x14ac:dyDescent="0.25"/>
    <row r="3001" s="14" customFormat="1" x14ac:dyDescent="0.25"/>
    <row r="3002" s="14" customFormat="1" x14ac:dyDescent="0.25"/>
    <row r="3003" s="14" customFormat="1" x14ac:dyDescent="0.25"/>
    <row r="3004" s="14" customFormat="1" x14ac:dyDescent="0.25"/>
    <row r="3005" s="14" customFormat="1" x14ac:dyDescent="0.25"/>
    <row r="3006" s="14" customFormat="1" x14ac:dyDescent="0.25"/>
    <row r="3007" s="14" customFormat="1" x14ac:dyDescent="0.25"/>
    <row r="3008" s="14" customFormat="1" x14ac:dyDescent="0.25"/>
    <row r="3009" s="14" customFormat="1" x14ac:dyDescent="0.25"/>
    <row r="3010" s="14" customFormat="1" x14ac:dyDescent="0.25"/>
    <row r="3011" s="14" customFormat="1" x14ac:dyDescent="0.25"/>
    <row r="3012" s="14" customFormat="1" x14ac:dyDescent="0.25"/>
    <row r="3013" s="14" customFormat="1" x14ac:dyDescent="0.25"/>
    <row r="3014" s="14" customFormat="1" x14ac:dyDescent="0.25"/>
    <row r="3015" s="14" customFormat="1" x14ac:dyDescent="0.25"/>
    <row r="3016" s="14" customFormat="1" x14ac:dyDescent="0.25"/>
    <row r="3017" s="14" customFormat="1" x14ac:dyDescent="0.25"/>
    <row r="3018" s="14" customFormat="1" x14ac:dyDescent="0.25"/>
    <row r="3019" s="14" customFormat="1" x14ac:dyDescent="0.25"/>
    <row r="3020" s="14" customFormat="1" x14ac:dyDescent="0.25"/>
    <row r="3021" s="14" customFormat="1" x14ac:dyDescent="0.25"/>
    <row r="3022" s="14" customFormat="1" x14ac:dyDescent="0.25"/>
    <row r="3023" s="14" customFormat="1" x14ac:dyDescent="0.25"/>
    <row r="3024" s="14" customFormat="1" x14ac:dyDescent="0.25"/>
    <row r="3025" s="14" customFormat="1" x14ac:dyDescent="0.25"/>
    <row r="3026" s="14" customFormat="1" x14ac:dyDescent="0.25"/>
    <row r="3027" s="14" customFormat="1" x14ac:dyDescent="0.25"/>
    <row r="3028" s="14" customFormat="1" x14ac:dyDescent="0.25"/>
    <row r="3029" s="14" customFormat="1" x14ac:dyDescent="0.25"/>
    <row r="3030" s="14" customFormat="1" x14ac:dyDescent="0.25"/>
    <row r="3031" s="14" customFormat="1" x14ac:dyDescent="0.25"/>
    <row r="3032" s="14" customFormat="1" x14ac:dyDescent="0.25"/>
    <row r="3033" s="14" customFormat="1" x14ac:dyDescent="0.25"/>
    <row r="3034" s="14" customFormat="1" x14ac:dyDescent="0.25"/>
    <row r="3035" s="14" customFormat="1" x14ac:dyDescent="0.25"/>
    <row r="3036" s="14" customFormat="1" x14ac:dyDescent="0.25"/>
    <row r="3037" s="14" customFormat="1" x14ac:dyDescent="0.25"/>
    <row r="3038" s="14" customFormat="1" x14ac:dyDescent="0.25"/>
    <row r="3039" s="14" customFormat="1" x14ac:dyDescent="0.25"/>
    <row r="3040" s="14" customFormat="1" x14ac:dyDescent="0.25"/>
    <row r="3041" s="14" customFormat="1" x14ac:dyDescent="0.25"/>
    <row r="3042" s="14" customFormat="1" x14ac:dyDescent="0.25"/>
    <row r="3043" s="14" customFormat="1" x14ac:dyDescent="0.25"/>
    <row r="3044" s="14" customFormat="1" x14ac:dyDescent="0.25"/>
    <row r="3045" s="14" customFormat="1" x14ac:dyDescent="0.25"/>
    <row r="3046" s="14" customFormat="1" x14ac:dyDescent="0.25"/>
    <row r="3047" s="14" customFormat="1" x14ac:dyDescent="0.25"/>
    <row r="3048" s="14" customFormat="1" x14ac:dyDescent="0.25"/>
    <row r="3049" s="14" customFormat="1" x14ac:dyDescent="0.25"/>
    <row r="3050" s="14" customFormat="1" x14ac:dyDescent="0.25"/>
    <row r="3051" s="14" customFormat="1" x14ac:dyDescent="0.25"/>
    <row r="3052" s="14" customFormat="1" x14ac:dyDescent="0.25"/>
    <row r="3053" s="14" customFormat="1" x14ac:dyDescent="0.25"/>
    <row r="3054" s="14" customFormat="1" x14ac:dyDescent="0.25"/>
    <row r="3055" s="14" customFormat="1" x14ac:dyDescent="0.25"/>
    <row r="3056" s="14" customFormat="1" x14ac:dyDescent="0.25"/>
    <row r="3057" s="14" customFormat="1" x14ac:dyDescent="0.25"/>
    <row r="3058" s="14" customFormat="1" x14ac:dyDescent="0.25"/>
    <row r="3059" s="14" customFormat="1" x14ac:dyDescent="0.25"/>
    <row r="3060" s="14" customFormat="1" x14ac:dyDescent="0.25"/>
    <row r="3061" s="14" customFormat="1" x14ac:dyDescent="0.25"/>
    <row r="3062" s="14" customFormat="1" x14ac:dyDescent="0.25"/>
    <row r="3063" s="14" customFormat="1" x14ac:dyDescent="0.25"/>
    <row r="3064" s="14" customFormat="1" x14ac:dyDescent="0.25"/>
    <row r="3065" s="14" customFormat="1" x14ac:dyDescent="0.25"/>
    <row r="3066" s="14" customFormat="1" x14ac:dyDescent="0.25"/>
    <row r="3067" s="14" customFormat="1" x14ac:dyDescent="0.25"/>
    <row r="3068" s="14" customFormat="1" x14ac:dyDescent="0.25"/>
    <row r="3069" s="14" customFormat="1" x14ac:dyDescent="0.25"/>
    <row r="3070" s="14" customFormat="1" x14ac:dyDescent="0.25"/>
    <row r="3071" s="14" customFormat="1" x14ac:dyDescent="0.25"/>
    <row r="3072" s="14" customFormat="1" x14ac:dyDescent="0.25"/>
    <row r="3073" s="14" customFormat="1" x14ac:dyDescent="0.25"/>
    <row r="3074" s="14" customFormat="1" x14ac:dyDescent="0.25"/>
    <row r="3075" s="14" customFormat="1" x14ac:dyDescent="0.25"/>
    <row r="3076" s="14" customFormat="1" x14ac:dyDescent="0.25"/>
    <row r="3077" s="14" customFormat="1" x14ac:dyDescent="0.25"/>
    <row r="3078" s="14" customFormat="1" x14ac:dyDescent="0.25"/>
    <row r="3079" s="14" customFormat="1" x14ac:dyDescent="0.25"/>
    <row r="3080" s="14" customFormat="1" x14ac:dyDescent="0.25"/>
    <row r="3081" s="14" customFormat="1" x14ac:dyDescent="0.25"/>
    <row r="3082" s="14" customFormat="1" x14ac:dyDescent="0.25"/>
    <row r="3083" s="14" customFormat="1" x14ac:dyDescent="0.25"/>
    <row r="3084" s="14" customFormat="1" x14ac:dyDescent="0.25"/>
    <row r="3085" s="14" customFormat="1" x14ac:dyDescent="0.25"/>
    <row r="3086" s="14" customFormat="1" x14ac:dyDescent="0.25"/>
    <row r="3087" s="14" customFormat="1" x14ac:dyDescent="0.25"/>
    <row r="3088" s="14" customFormat="1" x14ac:dyDescent="0.25"/>
    <row r="3089" s="14" customFormat="1" x14ac:dyDescent="0.25"/>
    <row r="3090" s="14" customFormat="1" x14ac:dyDescent="0.25"/>
    <row r="3091" s="14" customFormat="1" x14ac:dyDescent="0.25"/>
    <row r="3092" s="14" customFormat="1" x14ac:dyDescent="0.25"/>
    <row r="3093" s="14" customFormat="1" x14ac:dyDescent="0.25"/>
    <row r="3094" s="14" customFormat="1" x14ac:dyDescent="0.25"/>
    <row r="3095" s="14" customFormat="1" x14ac:dyDescent="0.25"/>
    <row r="3096" s="14" customFormat="1" x14ac:dyDescent="0.25"/>
    <row r="3097" s="14" customFormat="1" x14ac:dyDescent="0.25"/>
    <row r="3098" s="14" customFormat="1" x14ac:dyDescent="0.25"/>
    <row r="3099" s="14" customFormat="1" x14ac:dyDescent="0.25"/>
    <row r="3100" s="14" customFormat="1" x14ac:dyDescent="0.25"/>
    <row r="3101" s="14" customFormat="1" x14ac:dyDescent="0.25"/>
    <row r="3102" s="14" customFormat="1" x14ac:dyDescent="0.25"/>
    <row r="3103" s="14" customFormat="1" x14ac:dyDescent="0.25"/>
    <row r="3104" s="14" customFormat="1" x14ac:dyDescent="0.25"/>
    <row r="3105" s="14" customFormat="1" x14ac:dyDescent="0.25"/>
    <row r="3106" s="14" customFormat="1" x14ac:dyDescent="0.25"/>
    <row r="3107" s="14" customFormat="1" x14ac:dyDescent="0.25"/>
    <row r="3108" s="14" customFormat="1" x14ac:dyDescent="0.25"/>
    <row r="3109" s="14" customFormat="1" x14ac:dyDescent="0.25"/>
    <row r="3110" s="14" customFormat="1" x14ac:dyDescent="0.25"/>
    <row r="3111" s="14" customFormat="1" x14ac:dyDescent="0.25"/>
    <row r="3112" s="14" customFormat="1" x14ac:dyDescent="0.25"/>
    <row r="3113" s="14" customFormat="1" x14ac:dyDescent="0.25"/>
    <row r="3114" s="14" customFormat="1" x14ac:dyDescent="0.25"/>
    <row r="3115" s="14" customFormat="1" x14ac:dyDescent="0.25"/>
    <row r="3116" s="14" customFormat="1" x14ac:dyDescent="0.25"/>
    <row r="3117" s="14" customFormat="1" x14ac:dyDescent="0.25"/>
    <row r="3118" s="14" customFormat="1" x14ac:dyDescent="0.25"/>
    <row r="3119" s="14" customFormat="1" x14ac:dyDescent="0.25"/>
    <row r="3120" s="14" customFormat="1" x14ac:dyDescent="0.25"/>
    <row r="3121" s="14" customFormat="1" x14ac:dyDescent="0.25"/>
    <row r="3122" s="14" customFormat="1" x14ac:dyDescent="0.25"/>
    <row r="3123" s="14" customFormat="1" x14ac:dyDescent="0.25"/>
    <row r="3124" s="14" customFormat="1" x14ac:dyDescent="0.25"/>
    <row r="3125" s="14" customFormat="1" x14ac:dyDescent="0.25"/>
    <row r="3126" s="14" customFormat="1" x14ac:dyDescent="0.25"/>
    <row r="3127" s="14" customFormat="1" x14ac:dyDescent="0.25"/>
    <row r="3128" s="14" customFormat="1" x14ac:dyDescent="0.25"/>
    <row r="3129" s="14" customFormat="1" x14ac:dyDescent="0.25"/>
    <row r="3130" s="14" customFormat="1" x14ac:dyDescent="0.25"/>
    <row r="3131" s="14" customFormat="1" x14ac:dyDescent="0.25"/>
    <row r="3132" s="14" customFormat="1" x14ac:dyDescent="0.25"/>
    <row r="3133" s="14" customFormat="1" x14ac:dyDescent="0.25"/>
    <row r="3134" s="14" customFormat="1" x14ac:dyDescent="0.25"/>
    <row r="3135" s="14" customFormat="1" x14ac:dyDescent="0.25"/>
    <row r="3136" s="14" customFormat="1" x14ac:dyDescent="0.25"/>
    <row r="3137" s="14" customFormat="1" x14ac:dyDescent="0.25"/>
    <row r="3138" s="14" customFormat="1" x14ac:dyDescent="0.25"/>
    <row r="3139" s="14" customFormat="1" x14ac:dyDescent="0.25"/>
    <row r="3140" s="14" customFormat="1" x14ac:dyDescent="0.25"/>
    <row r="3141" s="14" customFormat="1" x14ac:dyDescent="0.25"/>
    <row r="3142" s="14" customFormat="1" x14ac:dyDescent="0.25"/>
    <row r="3143" s="14" customFormat="1" x14ac:dyDescent="0.25"/>
    <row r="3144" s="14" customFormat="1" x14ac:dyDescent="0.25"/>
    <row r="3145" s="14" customFormat="1" x14ac:dyDescent="0.25"/>
    <row r="3146" s="14" customFormat="1" x14ac:dyDescent="0.25"/>
    <row r="3147" s="14" customFormat="1" x14ac:dyDescent="0.25"/>
    <row r="3148" s="14" customFormat="1" x14ac:dyDescent="0.25"/>
    <row r="3149" s="14" customFormat="1" x14ac:dyDescent="0.25"/>
    <row r="3150" s="14" customFormat="1" x14ac:dyDescent="0.25"/>
    <row r="3151" s="14" customFormat="1" x14ac:dyDescent="0.25"/>
    <row r="3152" s="14" customFormat="1" x14ac:dyDescent="0.25"/>
    <row r="3153" s="14" customFormat="1" x14ac:dyDescent="0.25"/>
    <row r="3154" s="14" customFormat="1" x14ac:dyDescent="0.25"/>
    <row r="3155" s="14" customFormat="1" x14ac:dyDescent="0.25"/>
    <row r="3156" s="14" customFormat="1" x14ac:dyDescent="0.25"/>
    <row r="3157" s="14" customFormat="1" x14ac:dyDescent="0.25"/>
    <row r="3158" s="14" customFormat="1" x14ac:dyDescent="0.25"/>
    <row r="3159" s="14" customFormat="1" x14ac:dyDescent="0.25"/>
    <row r="3160" s="14" customFormat="1" x14ac:dyDescent="0.25"/>
    <row r="3161" s="14" customFormat="1" x14ac:dyDescent="0.25"/>
    <row r="3162" s="14" customFormat="1" x14ac:dyDescent="0.25"/>
    <row r="3163" s="14" customFormat="1" x14ac:dyDescent="0.25"/>
    <row r="3164" s="14" customFormat="1" x14ac:dyDescent="0.25"/>
    <row r="3165" s="14" customFormat="1" x14ac:dyDescent="0.25"/>
    <row r="3166" s="14" customFormat="1" x14ac:dyDescent="0.25"/>
    <row r="3167" s="14" customFormat="1" x14ac:dyDescent="0.25"/>
    <row r="3168" s="14" customFormat="1" x14ac:dyDescent="0.25"/>
    <row r="3169" s="14" customFormat="1" x14ac:dyDescent="0.25"/>
    <row r="3170" s="14" customFormat="1" x14ac:dyDescent="0.25"/>
    <row r="3171" s="14" customFormat="1" x14ac:dyDescent="0.25"/>
    <row r="3172" s="14" customFormat="1" x14ac:dyDescent="0.25"/>
    <row r="3173" s="14" customFormat="1" x14ac:dyDescent="0.25"/>
    <row r="3174" s="14" customFormat="1" x14ac:dyDescent="0.25"/>
    <row r="3175" s="14" customFormat="1" x14ac:dyDescent="0.25"/>
    <row r="3176" s="14" customFormat="1" x14ac:dyDescent="0.25"/>
    <row r="3177" s="14" customFormat="1" x14ac:dyDescent="0.25"/>
    <row r="3178" s="14" customFormat="1" x14ac:dyDescent="0.25"/>
    <row r="3179" s="14" customFormat="1" x14ac:dyDescent="0.25"/>
    <row r="3180" s="14" customFormat="1" x14ac:dyDescent="0.25"/>
    <row r="3181" s="14" customFormat="1" x14ac:dyDescent="0.25"/>
    <row r="3182" s="14" customFormat="1" x14ac:dyDescent="0.25"/>
    <row r="3183" s="14" customFormat="1" x14ac:dyDescent="0.25"/>
    <row r="3184" s="14" customFormat="1" x14ac:dyDescent="0.25"/>
    <row r="3185" s="14" customFormat="1" x14ac:dyDescent="0.25"/>
    <row r="3186" s="14" customFormat="1" x14ac:dyDescent="0.25"/>
    <row r="3187" s="14" customFormat="1" x14ac:dyDescent="0.25"/>
    <row r="3188" s="14" customFormat="1" x14ac:dyDescent="0.25"/>
    <row r="3189" s="14" customFormat="1" x14ac:dyDescent="0.25"/>
    <row r="3190" s="14" customFormat="1" x14ac:dyDescent="0.25"/>
    <row r="3191" s="14" customFormat="1" x14ac:dyDescent="0.25"/>
    <row r="3192" s="14" customFormat="1" x14ac:dyDescent="0.25"/>
    <row r="3193" s="14" customFormat="1" x14ac:dyDescent="0.25"/>
    <row r="3194" s="14" customFormat="1" x14ac:dyDescent="0.25"/>
    <row r="3195" s="14" customFormat="1" x14ac:dyDescent="0.25"/>
    <row r="3196" s="14" customFormat="1" x14ac:dyDescent="0.25"/>
    <row r="3197" s="14" customFormat="1" x14ac:dyDescent="0.25"/>
    <row r="3198" s="14" customFormat="1" x14ac:dyDescent="0.25"/>
    <row r="3199" s="14" customFormat="1" x14ac:dyDescent="0.25"/>
    <row r="3200" s="14" customFormat="1" x14ac:dyDescent="0.25"/>
    <row r="3201" s="14" customFormat="1" x14ac:dyDescent="0.25"/>
    <row r="3202" s="14" customFormat="1" x14ac:dyDescent="0.25"/>
    <row r="3203" s="14" customFormat="1" x14ac:dyDescent="0.25"/>
    <row r="3204" s="14" customFormat="1" x14ac:dyDescent="0.25"/>
    <row r="3205" s="14" customFormat="1" x14ac:dyDescent="0.25"/>
    <row r="3206" s="14" customFormat="1" x14ac:dyDescent="0.25"/>
    <row r="3207" s="14" customFormat="1" x14ac:dyDescent="0.25"/>
    <row r="3208" s="14" customFormat="1" x14ac:dyDescent="0.25"/>
    <row r="3209" s="14" customFormat="1" x14ac:dyDescent="0.25"/>
    <row r="3210" s="14" customFormat="1" x14ac:dyDescent="0.25"/>
    <row r="3211" s="14" customFormat="1" x14ac:dyDescent="0.25"/>
    <row r="3212" s="14" customFormat="1" x14ac:dyDescent="0.25"/>
    <row r="3213" s="14" customFormat="1" x14ac:dyDescent="0.25"/>
    <row r="3214" s="14" customFormat="1" x14ac:dyDescent="0.25"/>
    <row r="3215" s="14" customFormat="1" x14ac:dyDescent="0.25"/>
    <row r="3216" s="14" customFormat="1" x14ac:dyDescent="0.25"/>
    <row r="3217" s="14" customFormat="1" x14ac:dyDescent="0.25"/>
    <row r="3218" s="14" customFormat="1" x14ac:dyDescent="0.25"/>
    <row r="3219" s="14" customFormat="1" x14ac:dyDescent="0.25"/>
    <row r="3220" s="14" customFormat="1" x14ac:dyDescent="0.25"/>
    <row r="3221" s="14" customFormat="1" x14ac:dyDescent="0.25"/>
    <row r="3222" s="14" customFormat="1" x14ac:dyDescent="0.25"/>
    <row r="3223" s="14" customFormat="1" x14ac:dyDescent="0.25"/>
    <row r="3224" s="14" customFormat="1" x14ac:dyDescent="0.25"/>
    <row r="3225" s="14" customFormat="1" x14ac:dyDescent="0.25"/>
    <row r="3226" s="14" customFormat="1" x14ac:dyDescent="0.25"/>
    <row r="3227" s="14" customFormat="1" x14ac:dyDescent="0.25"/>
    <row r="3228" s="14" customFormat="1" x14ac:dyDescent="0.25"/>
    <row r="3229" s="14" customFormat="1" x14ac:dyDescent="0.25"/>
    <row r="3230" s="14" customFormat="1" x14ac:dyDescent="0.25"/>
    <row r="3231" s="14" customFormat="1" x14ac:dyDescent="0.25"/>
    <row r="3232" s="14" customFormat="1" x14ac:dyDescent="0.25"/>
    <row r="3233" s="14" customFormat="1" x14ac:dyDescent="0.25"/>
    <row r="3234" s="14" customFormat="1" x14ac:dyDescent="0.25"/>
    <row r="3235" s="14" customFormat="1" x14ac:dyDescent="0.25"/>
    <row r="3236" s="14" customFormat="1" x14ac:dyDescent="0.25"/>
    <row r="3237" s="14" customFormat="1" x14ac:dyDescent="0.25"/>
    <row r="3238" s="14" customFormat="1" x14ac:dyDescent="0.25"/>
    <row r="3239" s="14" customFormat="1" x14ac:dyDescent="0.25"/>
    <row r="3240" s="14" customFormat="1" x14ac:dyDescent="0.25"/>
    <row r="3241" s="14" customFormat="1" x14ac:dyDescent="0.25"/>
    <row r="3242" s="14" customFormat="1" x14ac:dyDescent="0.25"/>
    <row r="3243" s="14" customFormat="1" x14ac:dyDescent="0.25"/>
    <row r="3244" s="14" customFormat="1" x14ac:dyDescent="0.25"/>
    <row r="3245" s="14" customFormat="1" x14ac:dyDescent="0.25"/>
    <row r="3246" s="14" customFormat="1" x14ac:dyDescent="0.25"/>
    <row r="3247" s="14" customFormat="1" x14ac:dyDescent="0.25"/>
    <row r="3248" s="14" customFormat="1" x14ac:dyDescent="0.25"/>
    <row r="3249" s="14" customFormat="1" x14ac:dyDescent="0.25"/>
    <row r="3250" s="14" customFormat="1" x14ac:dyDescent="0.25"/>
    <row r="3251" s="14" customFormat="1" x14ac:dyDescent="0.25"/>
    <row r="3252" s="14" customFormat="1" x14ac:dyDescent="0.25"/>
    <row r="3253" s="14" customFormat="1" x14ac:dyDescent="0.25"/>
    <row r="3254" s="14" customFormat="1" x14ac:dyDescent="0.25"/>
    <row r="3255" s="14" customFormat="1" x14ac:dyDescent="0.25"/>
    <row r="3256" s="14" customFormat="1" x14ac:dyDescent="0.25"/>
    <row r="3257" s="14" customFormat="1" x14ac:dyDescent="0.25"/>
    <row r="3258" s="14" customFormat="1" x14ac:dyDescent="0.25"/>
    <row r="3259" s="14" customFormat="1" x14ac:dyDescent="0.25"/>
    <row r="3260" s="14" customFormat="1" x14ac:dyDescent="0.25"/>
    <row r="3261" s="14" customFormat="1" x14ac:dyDescent="0.25"/>
    <row r="3262" s="14" customFormat="1" x14ac:dyDescent="0.25"/>
    <row r="3263" s="14" customFormat="1" x14ac:dyDescent="0.25"/>
    <row r="3264" s="14" customFormat="1" x14ac:dyDescent="0.25"/>
    <row r="3265" s="14" customFormat="1" x14ac:dyDescent="0.25"/>
    <row r="3266" s="14" customFormat="1" x14ac:dyDescent="0.25"/>
    <row r="3267" s="14" customFormat="1" x14ac:dyDescent="0.25"/>
    <row r="3268" s="14" customFormat="1" x14ac:dyDescent="0.25"/>
    <row r="3269" s="14" customFormat="1" x14ac:dyDescent="0.25"/>
    <row r="3270" s="14" customFormat="1" x14ac:dyDescent="0.25"/>
    <row r="3271" s="14" customFormat="1" x14ac:dyDescent="0.25"/>
    <row r="3272" s="14" customFormat="1" x14ac:dyDescent="0.25"/>
    <row r="3273" s="14" customFormat="1" x14ac:dyDescent="0.25"/>
    <row r="3274" s="14" customFormat="1" x14ac:dyDescent="0.25"/>
    <row r="3275" s="14" customFormat="1" x14ac:dyDescent="0.25"/>
    <row r="3276" s="14" customFormat="1" x14ac:dyDescent="0.25"/>
    <row r="3277" s="14" customFormat="1" x14ac:dyDescent="0.25"/>
    <row r="3278" s="14" customFormat="1" x14ac:dyDescent="0.25"/>
    <row r="3279" s="14" customFormat="1" x14ac:dyDescent="0.25"/>
    <row r="3280" s="14" customFormat="1" x14ac:dyDescent="0.25"/>
    <row r="3281" s="14" customFormat="1" x14ac:dyDescent="0.25"/>
    <row r="3282" s="14" customFormat="1" x14ac:dyDescent="0.25"/>
    <row r="3283" s="14" customFormat="1" x14ac:dyDescent="0.25"/>
    <row r="3284" s="14" customFormat="1" x14ac:dyDescent="0.25"/>
    <row r="3285" s="14" customFormat="1" x14ac:dyDescent="0.25"/>
    <row r="3286" s="14" customFormat="1" x14ac:dyDescent="0.25"/>
    <row r="3287" s="14" customFormat="1" x14ac:dyDescent="0.25"/>
    <row r="3288" s="14" customFormat="1" x14ac:dyDescent="0.25"/>
    <row r="3289" s="14" customFormat="1" x14ac:dyDescent="0.25"/>
    <row r="3290" s="14" customFormat="1" x14ac:dyDescent="0.25"/>
    <row r="3291" s="14" customFormat="1" x14ac:dyDescent="0.25"/>
    <row r="3292" s="14" customFormat="1" x14ac:dyDescent="0.25"/>
    <row r="3293" s="14" customFormat="1" x14ac:dyDescent="0.25"/>
    <row r="3294" s="14" customFormat="1" x14ac:dyDescent="0.25"/>
    <row r="3295" s="14" customFormat="1" x14ac:dyDescent="0.25"/>
    <row r="3296" s="14" customFormat="1" x14ac:dyDescent="0.25"/>
    <row r="3297" s="14" customFormat="1" x14ac:dyDescent="0.25"/>
    <row r="3298" s="14" customFormat="1" x14ac:dyDescent="0.25"/>
    <row r="3299" s="14" customFormat="1" x14ac:dyDescent="0.25"/>
    <row r="3300" s="14" customFormat="1" x14ac:dyDescent="0.25"/>
    <row r="3301" s="14" customFormat="1" x14ac:dyDescent="0.25"/>
    <row r="3302" s="14" customFormat="1" x14ac:dyDescent="0.25"/>
    <row r="3303" s="14" customFormat="1" x14ac:dyDescent="0.25"/>
    <row r="3304" s="14" customFormat="1" x14ac:dyDescent="0.25"/>
    <row r="3305" s="14" customFormat="1" x14ac:dyDescent="0.25"/>
    <row r="3306" s="14" customFormat="1" x14ac:dyDescent="0.25"/>
    <row r="3307" s="14" customFormat="1" x14ac:dyDescent="0.25"/>
    <row r="3308" s="14" customFormat="1" x14ac:dyDescent="0.25"/>
    <row r="3309" s="14" customFormat="1" x14ac:dyDescent="0.25"/>
    <row r="3310" s="14" customFormat="1" x14ac:dyDescent="0.25"/>
    <row r="3311" s="14" customFormat="1" x14ac:dyDescent="0.25"/>
    <row r="3312" s="14" customFormat="1" x14ac:dyDescent="0.25"/>
    <row r="3313" s="14" customFormat="1" x14ac:dyDescent="0.25"/>
    <row r="3314" s="14" customFormat="1" x14ac:dyDescent="0.25"/>
    <row r="3315" s="14" customFormat="1" x14ac:dyDescent="0.25"/>
    <row r="3316" s="14" customFormat="1" x14ac:dyDescent="0.25"/>
    <row r="3317" s="14" customFormat="1" x14ac:dyDescent="0.25"/>
    <row r="3318" s="14" customFormat="1" x14ac:dyDescent="0.25"/>
    <row r="3319" s="14" customFormat="1" x14ac:dyDescent="0.25"/>
    <row r="3320" s="14" customFormat="1" x14ac:dyDescent="0.25"/>
    <row r="3321" s="14" customFormat="1" x14ac:dyDescent="0.25"/>
    <row r="3322" s="14" customFormat="1" x14ac:dyDescent="0.25"/>
    <row r="3323" s="14" customFormat="1" x14ac:dyDescent="0.25"/>
    <row r="3324" s="14" customFormat="1" x14ac:dyDescent="0.25"/>
    <row r="3325" s="14" customFormat="1" x14ac:dyDescent="0.25"/>
    <row r="3326" s="14" customFormat="1" x14ac:dyDescent="0.25"/>
    <row r="3327" s="14" customFormat="1" x14ac:dyDescent="0.25"/>
    <row r="3328" s="14" customFormat="1" x14ac:dyDescent="0.25"/>
    <row r="3329" s="14" customFormat="1" x14ac:dyDescent="0.25"/>
    <row r="3330" s="14" customFormat="1" x14ac:dyDescent="0.25"/>
    <row r="3331" s="14" customFormat="1" x14ac:dyDescent="0.25"/>
    <row r="3332" s="14" customFormat="1" x14ac:dyDescent="0.25"/>
    <row r="3333" s="14" customFormat="1" x14ac:dyDescent="0.25"/>
    <row r="3334" s="14" customFormat="1" x14ac:dyDescent="0.25"/>
    <row r="3335" s="14" customFormat="1" x14ac:dyDescent="0.25"/>
    <row r="3336" s="14" customFormat="1" x14ac:dyDescent="0.25"/>
    <row r="3337" s="14" customFormat="1" x14ac:dyDescent="0.25"/>
    <row r="3338" s="14" customFormat="1" x14ac:dyDescent="0.25"/>
    <row r="3339" s="14" customFormat="1" x14ac:dyDescent="0.25"/>
    <row r="3340" s="14" customFormat="1" x14ac:dyDescent="0.25"/>
    <row r="3341" s="14" customFormat="1" x14ac:dyDescent="0.25"/>
    <row r="3342" s="14" customFormat="1" x14ac:dyDescent="0.25"/>
    <row r="3343" s="14" customFormat="1" x14ac:dyDescent="0.25"/>
    <row r="3344" s="14" customFormat="1" x14ac:dyDescent="0.25"/>
    <row r="3345" s="14" customFormat="1" x14ac:dyDescent="0.25"/>
    <row r="3346" s="14" customFormat="1" x14ac:dyDescent="0.25"/>
    <row r="3347" s="14" customFormat="1" x14ac:dyDescent="0.25"/>
    <row r="3348" s="14" customFormat="1" x14ac:dyDescent="0.25"/>
    <row r="3349" s="14" customFormat="1" x14ac:dyDescent="0.25"/>
    <row r="3350" s="14" customFormat="1" x14ac:dyDescent="0.25"/>
    <row r="3351" s="14" customFormat="1" x14ac:dyDescent="0.25"/>
    <row r="3352" s="14" customFormat="1" x14ac:dyDescent="0.25"/>
    <row r="3353" s="14" customFormat="1" x14ac:dyDescent="0.25"/>
    <row r="3354" s="14" customFormat="1" x14ac:dyDescent="0.25"/>
    <row r="3355" s="14" customFormat="1" x14ac:dyDescent="0.25"/>
    <row r="3356" s="14" customFormat="1" x14ac:dyDescent="0.25"/>
    <row r="3357" s="14" customFormat="1" x14ac:dyDescent="0.25"/>
    <row r="3358" s="14" customFormat="1" x14ac:dyDescent="0.25"/>
    <row r="3359" s="14" customFormat="1" x14ac:dyDescent="0.25"/>
    <row r="3360" s="14" customFormat="1" x14ac:dyDescent="0.25"/>
    <row r="3361" s="14" customFormat="1" x14ac:dyDescent="0.25"/>
    <row r="3362" s="14" customFormat="1" x14ac:dyDescent="0.25"/>
    <row r="3363" s="14" customFormat="1" x14ac:dyDescent="0.25"/>
    <row r="3364" s="14" customFormat="1" x14ac:dyDescent="0.25"/>
    <row r="3365" s="14" customFormat="1" x14ac:dyDescent="0.25"/>
    <row r="3366" s="14" customFormat="1" x14ac:dyDescent="0.25"/>
    <row r="3367" s="14" customFormat="1" x14ac:dyDescent="0.25"/>
    <row r="3368" s="14" customFormat="1" x14ac:dyDescent="0.25"/>
    <row r="3369" s="14" customFormat="1" x14ac:dyDescent="0.25"/>
    <row r="3370" s="14" customFormat="1" x14ac:dyDescent="0.25"/>
    <row r="3371" s="14" customFormat="1" x14ac:dyDescent="0.25"/>
    <row r="3372" s="14" customFormat="1" x14ac:dyDescent="0.25"/>
    <row r="3373" s="14" customFormat="1" x14ac:dyDescent="0.25"/>
    <row r="3374" s="14" customFormat="1" x14ac:dyDescent="0.25"/>
    <row r="3375" s="14" customFormat="1" x14ac:dyDescent="0.25"/>
    <row r="3376" s="14" customFormat="1" x14ac:dyDescent="0.25"/>
    <row r="3377" s="14" customFormat="1" x14ac:dyDescent="0.25"/>
    <row r="3378" s="14" customFormat="1" x14ac:dyDescent="0.25"/>
    <row r="3379" s="14" customFormat="1" x14ac:dyDescent="0.25"/>
    <row r="3380" s="14" customFormat="1" x14ac:dyDescent="0.25"/>
    <row r="3381" s="14" customFormat="1" x14ac:dyDescent="0.25"/>
    <row r="3382" s="14" customFormat="1" x14ac:dyDescent="0.25"/>
    <row r="3383" s="14" customFormat="1" x14ac:dyDescent="0.25"/>
    <row r="3384" s="14" customFormat="1" x14ac:dyDescent="0.25"/>
    <row r="3385" s="14" customFormat="1" x14ac:dyDescent="0.25"/>
    <row r="3386" s="14" customFormat="1" x14ac:dyDescent="0.25"/>
    <row r="3387" s="14" customFormat="1" x14ac:dyDescent="0.25"/>
    <row r="3388" s="14" customFormat="1" x14ac:dyDescent="0.25"/>
    <row r="3389" s="14" customFormat="1" x14ac:dyDescent="0.25"/>
    <row r="3390" s="14" customFormat="1" x14ac:dyDescent="0.25"/>
    <row r="3391" s="14" customFormat="1" x14ac:dyDescent="0.25"/>
    <row r="3392" s="14" customFormat="1" x14ac:dyDescent="0.25"/>
    <row r="3393" s="14" customFormat="1" x14ac:dyDescent="0.25"/>
    <row r="3394" s="14" customFormat="1" x14ac:dyDescent="0.25"/>
    <row r="3395" s="14" customFormat="1" x14ac:dyDescent="0.25"/>
    <row r="3396" s="14" customFormat="1" x14ac:dyDescent="0.25"/>
    <row r="3397" s="14" customFormat="1" x14ac:dyDescent="0.25"/>
    <row r="3398" s="14" customFormat="1" x14ac:dyDescent="0.25"/>
    <row r="3399" s="14" customFormat="1" x14ac:dyDescent="0.25"/>
    <row r="3400" s="14" customFormat="1" x14ac:dyDescent="0.25"/>
    <row r="3401" s="14" customFormat="1" x14ac:dyDescent="0.25"/>
    <row r="3402" s="14" customFormat="1" x14ac:dyDescent="0.25"/>
    <row r="3403" s="14" customFormat="1" x14ac:dyDescent="0.25"/>
    <row r="3404" s="14" customFormat="1" x14ac:dyDescent="0.25"/>
    <row r="3405" s="14" customFormat="1" x14ac:dyDescent="0.25"/>
    <row r="3406" s="14" customFormat="1" x14ac:dyDescent="0.25"/>
    <row r="3407" s="14" customFormat="1" x14ac:dyDescent="0.25"/>
    <row r="3408" s="14" customFormat="1" x14ac:dyDescent="0.25"/>
    <row r="3409" s="14" customFormat="1" x14ac:dyDescent="0.25"/>
    <row r="3410" s="14" customFormat="1" x14ac:dyDescent="0.25"/>
    <row r="3411" s="14" customFormat="1" x14ac:dyDescent="0.25"/>
    <row r="3412" s="14" customFormat="1" x14ac:dyDescent="0.25"/>
    <row r="3413" s="14" customFormat="1" x14ac:dyDescent="0.25"/>
    <row r="3414" s="14" customFormat="1" x14ac:dyDescent="0.25"/>
    <row r="3415" s="14" customFormat="1" x14ac:dyDescent="0.25"/>
    <row r="3416" s="14" customFormat="1" x14ac:dyDescent="0.25"/>
    <row r="3417" s="14" customFormat="1" x14ac:dyDescent="0.25"/>
    <row r="3418" s="14" customFormat="1" x14ac:dyDescent="0.25"/>
    <row r="3419" s="14" customFormat="1" x14ac:dyDescent="0.25"/>
    <row r="3420" s="14" customFormat="1" x14ac:dyDescent="0.25"/>
    <row r="3421" s="14" customFormat="1" x14ac:dyDescent="0.25"/>
    <row r="3422" s="14" customFormat="1" x14ac:dyDescent="0.25"/>
    <row r="3423" s="14" customFormat="1" x14ac:dyDescent="0.25"/>
    <row r="3424" s="14" customFormat="1" x14ac:dyDescent="0.25"/>
    <row r="3425" s="14" customFormat="1" x14ac:dyDescent="0.25"/>
    <row r="3426" s="14" customFormat="1" x14ac:dyDescent="0.25"/>
    <row r="3427" s="14" customFormat="1" x14ac:dyDescent="0.25"/>
    <row r="3428" s="14" customFormat="1" x14ac:dyDescent="0.25"/>
    <row r="3429" s="14" customFormat="1" x14ac:dyDescent="0.25"/>
    <row r="3430" s="14" customFormat="1" x14ac:dyDescent="0.25"/>
    <row r="3431" s="14" customFormat="1" x14ac:dyDescent="0.25"/>
    <row r="3432" s="14" customFormat="1" x14ac:dyDescent="0.25"/>
    <row r="3433" s="14" customFormat="1" x14ac:dyDescent="0.25"/>
    <row r="3434" s="14" customFormat="1" x14ac:dyDescent="0.25"/>
    <row r="3435" s="14" customFormat="1" x14ac:dyDescent="0.25"/>
    <row r="3436" s="14" customFormat="1" x14ac:dyDescent="0.25"/>
    <row r="3437" s="14" customFormat="1" x14ac:dyDescent="0.25"/>
    <row r="3438" s="14" customFormat="1" x14ac:dyDescent="0.25"/>
    <row r="3439" s="14" customFormat="1" x14ac:dyDescent="0.25"/>
    <row r="3440" s="14" customFormat="1" x14ac:dyDescent="0.25"/>
    <row r="3441" s="14" customFormat="1" x14ac:dyDescent="0.25"/>
    <row r="3442" s="14" customFormat="1" x14ac:dyDescent="0.25"/>
    <row r="3443" s="14" customFormat="1" x14ac:dyDescent="0.25"/>
    <row r="3444" s="14" customFormat="1" x14ac:dyDescent="0.25"/>
    <row r="3445" s="14" customFormat="1" x14ac:dyDescent="0.25"/>
    <row r="3446" s="14" customFormat="1" x14ac:dyDescent="0.25"/>
    <row r="3447" s="14" customFormat="1" x14ac:dyDescent="0.25"/>
    <row r="3448" s="14" customFormat="1" x14ac:dyDescent="0.25"/>
    <row r="3449" s="14" customFormat="1" x14ac:dyDescent="0.25"/>
    <row r="3450" s="14" customFormat="1" x14ac:dyDescent="0.25"/>
    <row r="3451" s="14" customFormat="1" x14ac:dyDescent="0.25"/>
    <row r="3452" s="14" customFormat="1" x14ac:dyDescent="0.25"/>
    <row r="3453" s="14" customFormat="1" x14ac:dyDescent="0.25"/>
    <row r="3454" s="14" customFormat="1" x14ac:dyDescent="0.25"/>
    <row r="3455" s="14" customFormat="1" x14ac:dyDescent="0.25"/>
    <row r="3456" s="14" customFormat="1" x14ac:dyDescent="0.25"/>
    <row r="3457" s="14" customFormat="1" x14ac:dyDescent="0.25"/>
    <row r="3458" s="14" customFormat="1" x14ac:dyDescent="0.25"/>
    <row r="3459" s="14" customFormat="1" x14ac:dyDescent="0.25"/>
    <row r="3460" s="14" customFormat="1" x14ac:dyDescent="0.25"/>
    <row r="3461" s="14" customFormat="1" x14ac:dyDescent="0.25"/>
    <row r="3462" s="14" customFormat="1" x14ac:dyDescent="0.25"/>
    <row r="3463" s="14" customFormat="1" x14ac:dyDescent="0.25"/>
    <row r="3464" s="14" customFormat="1" x14ac:dyDescent="0.25"/>
    <row r="3465" s="14" customFormat="1" x14ac:dyDescent="0.25"/>
    <row r="3466" s="14" customFormat="1" x14ac:dyDescent="0.25"/>
    <row r="3467" s="14" customFormat="1" x14ac:dyDescent="0.25"/>
    <row r="3468" s="14" customFormat="1" x14ac:dyDescent="0.25"/>
    <row r="3469" s="14" customFormat="1" x14ac:dyDescent="0.25"/>
    <row r="3470" s="14" customFormat="1" x14ac:dyDescent="0.25"/>
    <row r="3471" s="14" customFormat="1" x14ac:dyDescent="0.25"/>
    <row r="3472" s="14" customFormat="1" x14ac:dyDescent="0.25"/>
    <row r="3473" s="14" customFormat="1" x14ac:dyDescent="0.25"/>
    <row r="3474" s="14" customFormat="1" x14ac:dyDescent="0.25"/>
    <row r="3475" s="14" customFormat="1" x14ac:dyDescent="0.25"/>
    <row r="3476" s="14" customFormat="1" x14ac:dyDescent="0.25"/>
    <row r="3477" s="14" customFormat="1" x14ac:dyDescent="0.25"/>
    <row r="3478" s="14" customFormat="1" x14ac:dyDescent="0.25"/>
    <row r="3479" s="14" customFormat="1" x14ac:dyDescent="0.25"/>
    <row r="3480" s="14" customFormat="1" x14ac:dyDescent="0.25"/>
    <row r="3481" s="14" customFormat="1" x14ac:dyDescent="0.25"/>
    <row r="3482" s="14" customFormat="1" x14ac:dyDescent="0.25"/>
    <row r="3483" s="14" customFormat="1" x14ac:dyDescent="0.25"/>
    <row r="3484" s="14" customFormat="1" x14ac:dyDescent="0.25"/>
    <row r="3485" s="14" customFormat="1" x14ac:dyDescent="0.25"/>
    <row r="3486" s="14" customFormat="1" x14ac:dyDescent="0.25"/>
    <row r="3487" s="14" customFormat="1" x14ac:dyDescent="0.25"/>
    <row r="3488" s="14" customFormat="1" x14ac:dyDescent="0.25"/>
    <row r="3489" s="14" customFormat="1" x14ac:dyDescent="0.25"/>
    <row r="3490" s="14" customFormat="1" x14ac:dyDescent="0.25"/>
    <row r="3491" s="14" customFormat="1" x14ac:dyDescent="0.25"/>
    <row r="3492" s="14" customFormat="1" x14ac:dyDescent="0.25"/>
    <row r="3493" s="14" customFormat="1" x14ac:dyDescent="0.25"/>
    <row r="3494" s="14" customFormat="1" x14ac:dyDescent="0.25"/>
    <row r="3495" s="14" customFormat="1" x14ac:dyDescent="0.25"/>
    <row r="3496" s="14" customFormat="1" x14ac:dyDescent="0.25"/>
    <row r="3497" s="14" customFormat="1" x14ac:dyDescent="0.25"/>
    <row r="3498" s="14" customFormat="1" x14ac:dyDescent="0.25"/>
    <row r="3499" s="14" customFormat="1" x14ac:dyDescent="0.25"/>
    <row r="3500" s="14" customFormat="1" x14ac:dyDescent="0.25"/>
    <row r="3501" s="14" customFormat="1" x14ac:dyDescent="0.25"/>
    <row r="3502" s="14" customFormat="1" x14ac:dyDescent="0.25"/>
    <row r="3503" s="14" customFormat="1" x14ac:dyDescent="0.25"/>
    <row r="3504" s="14" customFormat="1" x14ac:dyDescent="0.25"/>
    <row r="3505" s="14" customFormat="1" x14ac:dyDescent="0.25"/>
    <row r="3506" s="14" customFormat="1" x14ac:dyDescent="0.25"/>
    <row r="3507" s="14" customFormat="1" x14ac:dyDescent="0.25"/>
    <row r="3508" s="14" customFormat="1" x14ac:dyDescent="0.25"/>
    <row r="3509" s="14" customFormat="1" x14ac:dyDescent="0.25"/>
    <row r="3510" s="14" customFormat="1" x14ac:dyDescent="0.25"/>
    <row r="3511" s="14" customFormat="1" x14ac:dyDescent="0.25"/>
    <row r="3512" s="14" customFormat="1" x14ac:dyDescent="0.25"/>
    <row r="3513" s="14" customFormat="1" x14ac:dyDescent="0.25"/>
    <row r="3514" s="14" customFormat="1" x14ac:dyDescent="0.25"/>
    <row r="3515" s="14" customFormat="1" x14ac:dyDescent="0.25"/>
    <row r="3516" s="14" customFormat="1" x14ac:dyDescent="0.25"/>
    <row r="3517" s="14" customFormat="1" x14ac:dyDescent="0.25"/>
    <row r="3518" s="14" customFormat="1" x14ac:dyDescent="0.25"/>
    <row r="3519" s="14" customFormat="1" x14ac:dyDescent="0.25"/>
    <row r="3520" s="14" customFormat="1" x14ac:dyDescent="0.25"/>
    <row r="3521" s="14" customFormat="1" x14ac:dyDescent="0.25"/>
    <row r="3522" s="14" customFormat="1" x14ac:dyDescent="0.25"/>
    <row r="3523" s="14" customFormat="1" x14ac:dyDescent="0.25"/>
    <row r="3524" s="14" customFormat="1" x14ac:dyDescent="0.25"/>
    <row r="3525" s="14" customFormat="1" x14ac:dyDescent="0.25"/>
    <row r="3526" s="14" customFormat="1" x14ac:dyDescent="0.25"/>
    <row r="3527" s="14" customFormat="1" x14ac:dyDescent="0.25"/>
    <row r="3528" s="14" customFormat="1" x14ac:dyDescent="0.25"/>
    <row r="3529" s="14" customFormat="1" x14ac:dyDescent="0.25"/>
    <row r="3530" s="14" customFormat="1" x14ac:dyDescent="0.25"/>
    <row r="3531" s="14" customFormat="1" x14ac:dyDescent="0.25"/>
    <row r="3532" s="14" customFormat="1" x14ac:dyDescent="0.25"/>
    <row r="3533" s="14" customFormat="1" x14ac:dyDescent="0.25"/>
    <row r="3534" s="14" customFormat="1" x14ac:dyDescent="0.25"/>
    <row r="3535" s="14" customFormat="1" x14ac:dyDescent="0.25"/>
    <row r="3536" s="14" customFormat="1" x14ac:dyDescent="0.25"/>
    <row r="3537" s="14" customFormat="1" x14ac:dyDescent="0.25"/>
    <row r="3538" s="14" customFormat="1" x14ac:dyDescent="0.25"/>
    <row r="3539" s="14" customFormat="1" x14ac:dyDescent="0.25"/>
    <row r="3540" s="14" customFormat="1" x14ac:dyDescent="0.25"/>
    <row r="3541" s="14" customFormat="1" x14ac:dyDescent="0.25"/>
    <row r="3542" s="14" customFormat="1" x14ac:dyDescent="0.25"/>
    <row r="3543" s="14" customFormat="1" x14ac:dyDescent="0.25"/>
    <row r="3544" s="14" customFormat="1" x14ac:dyDescent="0.25"/>
    <row r="3545" s="14" customFormat="1" x14ac:dyDescent="0.25"/>
    <row r="3546" s="14" customFormat="1" x14ac:dyDescent="0.25"/>
    <row r="3547" s="14" customFormat="1" x14ac:dyDescent="0.25"/>
    <row r="3548" s="14" customFormat="1" x14ac:dyDescent="0.25"/>
    <row r="3549" s="14" customFormat="1" x14ac:dyDescent="0.25"/>
    <row r="3550" s="14" customFormat="1" x14ac:dyDescent="0.25"/>
    <row r="3551" s="14" customFormat="1" x14ac:dyDescent="0.25"/>
    <row r="3552" s="14" customFormat="1" x14ac:dyDescent="0.25"/>
    <row r="3553" s="14" customFormat="1" x14ac:dyDescent="0.25"/>
    <row r="3554" s="14" customFormat="1" x14ac:dyDescent="0.25"/>
    <row r="3555" s="14" customFormat="1" x14ac:dyDescent="0.25"/>
    <row r="3556" s="14" customFormat="1" x14ac:dyDescent="0.25"/>
    <row r="3557" s="14" customFormat="1" x14ac:dyDescent="0.25"/>
    <row r="3558" s="14" customFormat="1" x14ac:dyDescent="0.25"/>
    <row r="3559" s="14" customFormat="1" x14ac:dyDescent="0.25"/>
    <row r="3560" s="14" customFormat="1" x14ac:dyDescent="0.25"/>
    <row r="3561" s="14" customFormat="1" x14ac:dyDescent="0.25"/>
    <row r="3562" s="14" customFormat="1" x14ac:dyDescent="0.25"/>
    <row r="3563" s="14" customFormat="1" x14ac:dyDescent="0.25"/>
    <row r="3564" s="14" customFormat="1" x14ac:dyDescent="0.25"/>
    <row r="3565" s="14" customFormat="1" x14ac:dyDescent="0.25"/>
    <row r="3566" s="14" customFormat="1" x14ac:dyDescent="0.25"/>
    <row r="3567" s="14" customFormat="1" x14ac:dyDescent="0.25"/>
    <row r="3568" s="14" customFormat="1" x14ac:dyDescent="0.25"/>
    <row r="3569" s="14" customFormat="1" x14ac:dyDescent="0.25"/>
    <row r="3570" s="14" customFormat="1" x14ac:dyDescent="0.25"/>
    <row r="3571" s="14" customFormat="1" x14ac:dyDescent="0.25"/>
    <row r="3572" s="14" customFormat="1" x14ac:dyDescent="0.25"/>
    <row r="3573" s="14" customFormat="1" x14ac:dyDescent="0.25"/>
    <row r="3574" s="14" customFormat="1" x14ac:dyDescent="0.25"/>
    <row r="3575" s="14" customFormat="1" x14ac:dyDescent="0.25"/>
    <row r="3576" s="14" customFormat="1" x14ac:dyDescent="0.25"/>
    <row r="3577" s="14" customFormat="1" x14ac:dyDescent="0.25"/>
    <row r="3578" s="14" customFormat="1" x14ac:dyDescent="0.25"/>
    <row r="3579" s="14" customFormat="1" x14ac:dyDescent="0.25"/>
    <row r="3580" s="14" customFormat="1" x14ac:dyDescent="0.25"/>
    <row r="3581" s="14" customFormat="1" x14ac:dyDescent="0.25"/>
    <row r="3582" s="14" customFormat="1" x14ac:dyDescent="0.25"/>
    <row r="3583" s="14" customFormat="1" x14ac:dyDescent="0.25"/>
    <row r="3584" s="14" customFormat="1" x14ac:dyDescent="0.25"/>
    <row r="3585" s="14" customFormat="1" x14ac:dyDescent="0.25"/>
    <row r="3586" s="14" customFormat="1" x14ac:dyDescent="0.25"/>
    <row r="3587" s="14" customFormat="1" x14ac:dyDescent="0.25"/>
    <row r="3588" s="14" customFormat="1" x14ac:dyDescent="0.25"/>
    <row r="3589" s="14" customFormat="1" x14ac:dyDescent="0.25"/>
    <row r="3590" s="14" customFormat="1" x14ac:dyDescent="0.25"/>
    <row r="3591" s="14" customFormat="1" x14ac:dyDescent="0.25"/>
    <row r="3592" s="14" customFormat="1" x14ac:dyDescent="0.25"/>
    <row r="3593" s="14" customFormat="1" x14ac:dyDescent="0.25"/>
    <row r="3594" s="14" customFormat="1" x14ac:dyDescent="0.25"/>
    <row r="3595" s="14" customFormat="1" x14ac:dyDescent="0.25"/>
    <row r="3596" s="14" customFormat="1" x14ac:dyDescent="0.25"/>
    <row r="3597" s="14" customFormat="1" x14ac:dyDescent="0.25"/>
    <row r="3598" s="14" customFormat="1" x14ac:dyDescent="0.25"/>
    <row r="3599" s="14" customFormat="1" x14ac:dyDescent="0.25"/>
    <row r="3600" s="14" customFormat="1" x14ac:dyDescent="0.25"/>
    <row r="3601" s="14" customFormat="1" x14ac:dyDescent="0.25"/>
    <row r="3602" s="14" customFormat="1" x14ac:dyDescent="0.25"/>
    <row r="3603" s="14" customFormat="1" x14ac:dyDescent="0.25"/>
    <row r="3604" s="14" customFormat="1" x14ac:dyDescent="0.25"/>
    <row r="3605" s="14" customFormat="1" x14ac:dyDescent="0.25"/>
    <row r="3606" s="14" customFormat="1" x14ac:dyDescent="0.25"/>
    <row r="3607" s="14" customFormat="1" x14ac:dyDescent="0.25"/>
    <row r="3608" s="14" customFormat="1" x14ac:dyDescent="0.25"/>
    <row r="3609" s="14" customFormat="1" x14ac:dyDescent="0.25"/>
    <row r="3610" s="14" customFormat="1" x14ac:dyDescent="0.25"/>
    <row r="3611" s="14" customFormat="1" x14ac:dyDescent="0.25"/>
    <row r="3612" s="14" customFormat="1" x14ac:dyDescent="0.25"/>
    <row r="3613" s="14" customFormat="1" x14ac:dyDescent="0.25"/>
    <row r="3614" s="14" customFormat="1" x14ac:dyDescent="0.25"/>
    <row r="3615" s="14" customFormat="1" x14ac:dyDescent="0.25"/>
    <row r="3616" s="14" customFormat="1" x14ac:dyDescent="0.25"/>
    <row r="3617" s="14" customFormat="1" x14ac:dyDescent="0.25"/>
    <row r="3618" s="14" customFormat="1" x14ac:dyDescent="0.25"/>
    <row r="3619" s="14" customFormat="1" x14ac:dyDescent="0.25"/>
    <row r="3620" s="14" customFormat="1" x14ac:dyDescent="0.25"/>
    <row r="3621" s="14" customFormat="1" x14ac:dyDescent="0.25"/>
    <row r="3622" s="14" customFormat="1" x14ac:dyDescent="0.25"/>
    <row r="3623" s="14" customFormat="1" x14ac:dyDescent="0.25"/>
    <row r="3624" s="14" customFormat="1" x14ac:dyDescent="0.25"/>
    <row r="3625" s="14" customFormat="1" x14ac:dyDescent="0.25"/>
    <row r="3626" s="14" customFormat="1" x14ac:dyDescent="0.25"/>
    <row r="3627" s="14" customFormat="1" x14ac:dyDescent="0.25"/>
    <row r="3628" s="14" customFormat="1" x14ac:dyDescent="0.25"/>
    <row r="3629" s="14" customFormat="1" x14ac:dyDescent="0.25"/>
    <row r="3630" s="14" customFormat="1" x14ac:dyDescent="0.25"/>
    <row r="3631" s="14" customFormat="1" x14ac:dyDescent="0.25"/>
    <row r="3632" s="14" customFormat="1" x14ac:dyDescent="0.25"/>
    <row r="3633" s="14" customFormat="1" x14ac:dyDescent="0.25"/>
    <row r="3634" s="14" customFormat="1" x14ac:dyDescent="0.25"/>
    <row r="3635" s="14" customFormat="1" x14ac:dyDescent="0.25"/>
    <row r="3636" s="14" customFormat="1" x14ac:dyDescent="0.25"/>
    <row r="3637" s="14" customFormat="1" x14ac:dyDescent="0.25"/>
    <row r="3638" s="14" customFormat="1" x14ac:dyDescent="0.25"/>
    <row r="3639" s="14" customFormat="1" x14ac:dyDescent="0.25"/>
    <row r="3640" s="14" customFormat="1" x14ac:dyDescent="0.25"/>
    <row r="3641" s="14" customFormat="1" x14ac:dyDescent="0.25"/>
    <row r="3642" s="14" customFormat="1" x14ac:dyDescent="0.25"/>
    <row r="3643" s="14" customFormat="1" x14ac:dyDescent="0.25"/>
    <row r="3644" s="14" customFormat="1" x14ac:dyDescent="0.25"/>
    <row r="3645" s="14" customFormat="1" x14ac:dyDescent="0.25"/>
    <row r="3646" s="14" customFormat="1" x14ac:dyDescent="0.25"/>
    <row r="3647" s="14" customFormat="1" x14ac:dyDescent="0.25"/>
    <row r="3648" s="14" customFormat="1" x14ac:dyDescent="0.25"/>
    <row r="3649" s="14" customFormat="1" x14ac:dyDescent="0.25"/>
    <row r="3650" s="14" customFormat="1" x14ac:dyDescent="0.25"/>
    <row r="3651" s="14" customFormat="1" x14ac:dyDescent="0.25"/>
    <row r="3652" s="14" customFormat="1" x14ac:dyDescent="0.25"/>
    <row r="3653" s="14" customFormat="1" x14ac:dyDescent="0.25"/>
    <row r="3654" s="14" customFormat="1" x14ac:dyDescent="0.25"/>
    <row r="3655" s="14" customFormat="1" x14ac:dyDescent="0.25"/>
    <row r="3656" s="14" customFormat="1" x14ac:dyDescent="0.25"/>
    <row r="3657" s="14" customFormat="1" x14ac:dyDescent="0.25"/>
    <row r="3658" s="14" customFormat="1" x14ac:dyDescent="0.25"/>
    <row r="3659" s="14" customFormat="1" x14ac:dyDescent="0.25"/>
    <row r="3660" s="14" customFormat="1" x14ac:dyDescent="0.25"/>
    <row r="3661" s="14" customFormat="1" x14ac:dyDescent="0.25"/>
    <row r="3662" s="14" customFormat="1" x14ac:dyDescent="0.25"/>
    <row r="3663" s="14" customFormat="1" x14ac:dyDescent="0.25"/>
    <row r="3664" s="14" customFormat="1" x14ac:dyDescent="0.25"/>
    <row r="3665" s="14" customFormat="1" x14ac:dyDescent="0.25"/>
    <row r="3666" s="14" customFormat="1" x14ac:dyDescent="0.25"/>
    <row r="3667" s="14" customFormat="1" x14ac:dyDescent="0.25"/>
    <row r="3668" s="14" customFormat="1" x14ac:dyDescent="0.25"/>
    <row r="3669" s="14" customFormat="1" x14ac:dyDescent="0.25"/>
    <row r="3670" s="14" customFormat="1" x14ac:dyDescent="0.25"/>
    <row r="3671" s="14" customFormat="1" x14ac:dyDescent="0.25"/>
    <row r="3672" s="14" customFormat="1" x14ac:dyDescent="0.25"/>
    <row r="3673" s="14" customFormat="1" x14ac:dyDescent="0.25"/>
    <row r="3674" s="14" customFormat="1" x14ac:dyDescent="0.25"/>
    <row r="3675" s="14" customFormat="1" x14ac:dyDescent="0.25"/>
    <row r="3676" s="14" customFormat="1" x14ac:dyDescent="0.25"/>
    <row r="3677" s="14" customFormat="1" x14ac:dyDescent="0.25"/>
    <row r="3678" s="14" customFormat="1" x14ac:dyDescent="0.25"/>
    <row r="3679" s="14" customFormat="1" x14ac:dyDescent="0.25"/>
    <row r="3680" s="14" customFormat="1" x14ac:dyDescent="0.25"/>
    <row r="3681" s="14" customFormat="1" x14ac:dyDescent="0.25"/>
    <row r="3682" s="14" customFormat="1" x14ac:dyDescent="0.25"/>
    <row r="3683" s="14" customFormat="1" x14ac:dyDescent="0.25"/>
    <row r="3684" s="14" customFormat="1" x14ac:dyDescent="0.25"/>
    <row r="3685" s="14" customFormat="1" x14ac:dyDescent="0.25"/>
    <row r="3686" s="14" customFormat="1" x14ac:dyDescent="0.25"/>
    <row r="3687" s="14" customFormat="1" x14ac:dyDescent="0.25"/>
    <row r="3688" s="14" customFormat="1" x14ac:dyDescent="0.25"/>
    <row r="3689" s="14" customFormat="1" x14ac:dyDescent="0.25"/>
    <row r="3690" s="14" customFormat="1" x14ac:dyDescent="0.25"/>
    <row r="3691" s="14" customFormat="1" x14ac:dyDescent="0.25"/>
    <row r="3692" s="14" customFormat="1" x14ac:dyDescent="0.25"/>
    <row r="3693" s="14" customFormat="1" x14ac:dyDescent="0.25"/>
    <row r="3694" s="14" customFormat="1" x14ac:dyDescent="0.25"/>
    <row r="3695" s="14" customFormat="1" x14ac:dyDescent="0.25"/>
    <row r="3696" s="14" customFormat="1" x14ac:dyDescent="0.25"/>
    <row r="3697" s="14" customFormat="1" x14ac:dyDescent="0.25"/>
    <row r="3698" s="14" customFormat="1" x14ac:dyDescent="0.25"/>
    <row r="3699" s="14" customFormat="1" x14ac:dyDescent="0.25"/>
    <row r="3700" s="14" customFormat="1" x14ac:dyDescent="0.25"/>
    <row r="3701" s="14" customFormat="1" x14ac:dyDescent="0.25"/>
    <row r="3702" s="14" customFormat="1" x14ac:dyDescent="0.25"/>
    <row r="3703" s="14" customFormat="1" x14ac:dyDescent="0.25"/>
    <row r="3704" s="14" customFormat="1" x14ac:dyDescent="0.25"/>
    <row r="3705" s="14" customFormat="1" x14ac:dyDescent="0.25"/>
    <row r="3706" s="14" customFormat="1" x14ac:dyDescent="0.25"/>
    <row r="3707" s="14" customFormat="1" x14ac:dyDescent="0.25"/>
    <row r="3708" s="14" customFormat="1" x14ac:dyDescent="0.25"/>
    <row r="3709" s="14" customFormat="1" x14ac:dyDescent="0.25"/>
    <row r="3710" s="14" customFormat="1" x14ac:dyDescent="0.25"/>
    <row r="3711" s="14" customFormat="1" x14ac:dyDescent="0.25"/>
    <row r="3712" s="14" customFormat="1" x14ac:dyDescent="0.25"/>
    <row r="3713" s="14" customFormat="1" x14ac:dyDescent="0.25"/>
    <row r="3714" s="14" customFormat="1" x14ac:dyDescent="0.25"/>
    <row r="3715" s="14" customFormat="1" x14ac:dyDescent="0.25"/>
    <row r="3716" s="14" customFormat="1" x14ac:dyDescent="0.25"/>
    <row r="3717" s="14" customFormat="1" x14ac:dyDescent="0.25"/>
    <row r="3718" s="14" customFormat="1" x14ac:dyDescent="0.25"/>
    <row r="3719" s="14" customFormat="1" x14ac:dyDescent="0.25"/>
    <row r="3720" s="14" customFormat="1" x14ac:dyDescent="0.25"/>
    <row r="3721" s="14" customFormat="1" x14ac:dyDescent="0.25"/>
    <row r="3722" s="14" customFormat="1" x14ac:dyDescent="0.25"/>
    <row r="3723" s="14" customFormat="1" x14ac:dyDescent="0.25"/>
    <row r="3724" s="14" customFormat="1" x14ac:dyDescent="0.25"/>
    <row r="3725" s="14" customFormat="1" x14ac:dyDescent="0.25"/>
    <row r="3726" s="14" customFormat="1" x14ac:dyDescent="0.25"/>
    <row r="3727" s="14" customFormat="1" x14ac:dyDescent="0.25"/>
    <row r="3728" s="14" customFormat="1" x14ac:dyDescent="0.25"/>
    <row r="3729" s="14" customFormat="1" x14ac:dyDescent="0.25"/>
    <row r="3730" s="14" customFormat="1" x14ac:dyDescent="0.25"/>
    <row r="3731" s="14" customFormat="1" x14ac:dyDescent="0.25"/>
    <row r="3732" s="14" customFormat="1" x14ac:dyDescent="0.25"/>
    <row r="3733" s="14" customFormat="1" x14ac:dyDescent="0.25"/>
    <row r="3734" s="14" customFormat="1" x14ac:dyDescent="0.25"/>
    <row r="3735" s="14" customFormat="1" x14ac:dyDescent="0.25"/>
    <row r="3736" s="14" customFormat="1" x14ac:dyDescent="0.25"/>
    <row r="3737" s="14" customFormat="1" x14ac:dyDescent="0.25"/>
    <row r="3738" s="14" customFormat="1" x14ac:dyDescent="0.25"/>
    <row r="3739" s="14" customFormat="1" x14ac:dyDescent="0.25"/>
    <row r="3740" s="14" customFormat="1" x14ac:dyDescent="0.25"/>
    <row r="3741" s="14" customFormat="1" x14ac:dyDescent="0.25"/>
    <row r="3742" s="14" customFormat="1" x14ac:dyDescent="0.25"/>
    <row r="3743" s="14" customFormat="1" x14ac:dyDescent="0.25"/>
    <row r="3744" s="14" customFormat="1" x14ac:dyDescent="0.25"/>
    <row r="3745" s="14" customFormat="1" x14ac:dyDescent="0.25"/>
    <row r="3746" s="14" customFormat="1" x14ac:dyDescent="0.25"/>
    <row r="3747" s="14" customFormat="1" x14ac:dyDescent="0.25"/>
    <row r="3748" s="14" customFormat="1" x14ac:dyDescent="0.25"/>
    <row r="3749" s="14" customFormat="1" x14ac:dyDescent="0.25"/>
    <row r="3750" s="14" customFormat="1" x14ac:dyDescent="0.25"/>
    <row r="3751" s="14" customFormat="1" x14ac:dyDescent="0.25"/>
    <row r="3752" s="14" customFormat="1" x14ac:dyDescent="0.25"/>
    <row r="3753" s="14" customFormat="1" x14ac:dyDescent="0.25"/>
    <row r="3754" s="14" customFormat="1" x14ac:dyDescent="0.25"/>
    <row r="3755" s="14" customFormat="1" x14ac:dyDescent="0.25"/>
    <row r="3756" s="14" customFormat="1" x14ac:dyDescent="0.25"/>
    <row r="3757" s="14" customFormat="1" x14ac:dyDescent="0.25"/>
    <row r="3758" s="14" customFormat="1" x14ac:dyDescent="0.25"/>
    <row r="3759" s="14" customFormat="1" x14ac:dyDescent="0.25"/>
    <row r="3760" s="14" customFormat="1" x14ac:dyDescent="0.25"/>
    <row r="3761" s="14" customFormat="1" x14ac:dyDescent="0.25"/>
    <row r="3762" s="14" customFormat="1" x14ac:dyDescent="0.25"/>
    <row r="3763" s="14" customFormat="1" x14ac:dyDescent="0.25"/>
    <row r="3764" s="14" customFormat="1" x14ac:dyDescent="0.25"/>
    <row r="3765" s="14" customFormat="1" x14ac:dyDescent="0.25"/>
    <row r="3766" s="14" customFormat="1" x14ac:dyDescent="0.25"/>
    <row r="3767" s="14" customFormat="1" x14ac:dyDescent="0.25"/>
    <row r="3768" s="14" customFormat="1" x14ac:dyDescent="0.25"/>
    <row r="3769" s="14" customFormat="1" x14ac:dyDescent="0.25"/>
    <row r="3770" s="14" customFormat="1" x14ac:dyDescent="0.25"/>
    <row r="3771" s="14" customFormat="1" x14ac:dyDescent="0.25"/>
    <row r="3772" s="14" customFormat="1" x14ac:dyDescent="0.25"/>
    <row r="3773" s="14" customFormat="1" x14ac:dyDescent="0.25"/>
    <row r="3774" s="14" customFormat="1" x14ac:dyDescent="0.25"/>
    <row r="3775" s="14" customFormat="1" x14ac:dyDescent="0.25"/>
    <row r="3776" s="14" customFormat="1" x14ac:dyDescent="0.25"/>
    <row r="3777" s="14" customFormat="1" x14ac:dyDescent="0.25"/>
    <row r="3778" s="14" customFormat="1" x14ac:dyDescent="0.25"/>
    <row r="3779" s="14" customFormat="1" x14ac:dyDescent="0.25"/>
    <row r="3780" s="14" customFormat="1" x14ac:dyDescent="0.25"/>
    <row r="3781" s="14" customFormat="1" x14ac:dyDescent="0.25"/>
    <row r="3782" s="14" customFormat="1" x14ac:dyDescent="0.25"/>
    <row r="3783" s="14" customFormat="1" x14ac:dyDescent="0.25"/>
    <row r="3784" s="14" customFormat="1" x14ac:dyDescent="0.25"/>
    <row r="3785" s="14" customFormat="1" x14ac:dyDescent="0.25"/>
    <row r="3786" s="14" customFormat="1" x14ac:dyDescent="0.25"/>
    <row r="3787" s="14" customFormat="1" x14ac:dyDescent="0.25"/>
    <row r="3788" s="14" customFormat="1" x14ac:dyDescent="0.25"/>
    <row r="3789" s="14" customFormat="1" x14ac:dyDescent="0.25"/>
    <row r="3790" s="14" customFormat="1" x14ac:dyDescent="0.25"/>
    <row r="3791" s="14" customFormat="1" x14ac:dyDescent="0.25"/>
    <row r="3792" s="14" customFormat="1" x14ac:dyDescent="0.25"/>
    <row r="3793" s="14" customFormat="1" x14ac:dyDescent="0.25"/>
    <row r="3794" s="14" customFormat="1" x14ac:dyDescent="0.25"/>
    <row r="3795" s="14" customFormat="1" x14ac:dyDescent="0.25"/>
    <row r="3796" s="14" customFormat="1" x14ac:dyDescent="0.25"/>
    <row r="3797" s="14" customFormat="1" x14ac:dyDescent="0.25"/>
    <row r="3798" s="14" customFormat="1" x14ac:dyDescent="0.25"/>
    <row r="3799" s="14" customFormat="1" x14ac:dyDescent="0.25"/>
    <row r="3800" s="14" customFormat="1" x14ac:dyDescent="0.25"/>
    <row r="3801" s="14" customFormat="1" x14ac:dyDescent="0.25"/>
    <row r="3802" s="14" customFormat="1" x14ac:dyDescent="0.25"/>
    <row r="3803" s="14" customFormat="1" x14ac:dyDescent="0.25"/>
    <row r="3804" s="14" customFormat="1" x14ac:dyDescent="0.25"/>
    <row r="3805" s="14" customFormat="1" x14ac:dyDescent="0.25"/>
    <row r="3806" s="14" customFormat="1" x14ac:dyDescent="0.25"/>
    <row r="3807" s="14" customFormat="1" x14ac:dyDescent="0.25"/>
    <row r="3808" s="14" customFormat="1" x14ac:dyDescent="0.25"/>
    <row r="3809" s="14" customFormat="1" x14ac:dyDescent="0.25"/>
    <row r="3810" s="14" customFormat="1" x14ac:dyDescent="0.25"/>
    <row r="3811" s="14" customFormat="1" x14ac:dyDescent="0.25"/>
    <row r="3812" s="14" customFormat="1" x14ac:dyDescent="0.25"/>
    <row r="3813" s="14" customFormat="1" x14ac:dyDescent="0.25"/>
    <row r="3814" s="14" customFormat="1" x14ac:dyDescent="0.25"/>
    <row r="3815" s="14" customFormat="1" x14ac:dyDescent="0.25"/>
    <row r="3816" s="14" customFormat="1" x14ac:dyDescent="0.25"/>
    <row r="3817" s="14" customFormat="1" x14ac:dyDescent="0.25"/>
    <row r="3818" s="14" customFormat="1" x14ac:dyDescent="0.25"/>
    <row r="3819" s="14" customFormat="1" x14ac:dyDescent="0.25"/>
    <row r="3820" s="14" customFormat="1" x14ac:dyDescent="0.25"/>
    <row r="3821" s="14" customFormat="1" x14ac:dyDescent="0.25"/>
    <row r="3822" s="14" customFormat="1" x14ac:dyDescent="0.25"/>
    <row r="3823" s="14" customFormat="1" x14ac:dyDescent="0.25"/>
    <row r="3824" s="14" customFormat="1" x14ac:dyDescent="0.25"/>
    <row r="3825" s="14" customFormat="1" x14ac:dyDescent="0.25"/>
    <row r="3826" s="14" customFormat="1" x14ac:dyDescent="0.25"/>
    <row r="3827" s="14" customFormat="1" x14ac:dyDescent="0.25"/>
    <row r="3828" s="14" customFormat="1" x14ac:dyDescent="0.25"/>
    <row r="3829" s="14" customFormat="1" x14ac:dyDescent="0.25"/>
    <row r="3830" s="14" customFormat="1" x14ac:dyDescent="0.25"/>
    <row r="3831" s="14" customFormat="1" x14ac:dyDescent="0.25"/>
    <row r="3832" s="14" customFormat="1" x14ac:dyDescent="0.25"/>
    <row r="3833" s="14" customFormat="1" x14ac:dyDescent="0.25"/>
    <row r="3834" s="14" customFormat="1" x14ac:dyDescent="0.25"/>
    <row r="3835" s="14" customFormat="1" x14ac:dyDescent="0.25"/>
    <row r="3836" s="14" customFormat="1" x14ac:dyDescent="0.25"/>
    <row r="3837" s="14" customFormat="1" x14ac:dyDescent="0.25"/>
    <row r="3838" s="14" customFormat="1" x14ac:dyDescent="0.25"/>
    <row r="3839" s="14" customFormat="1" x14ac:dyDescent="0.25"/>
    <row r="3840" s="14" customFormat="1" x14ac:dyDescent="0.25"/>
    <row r="3841" s="14" customFormat="1" x14ac:dyDescent="0.25"/>
    <row r="3842" s="14" customFormat="1" x14ac:dyDescent="0.25"/>
    <row r="3843" s="14" customFormat="1" x14ac:dyDescent="0.25"/>
    <row r="3844" s="14" customFormat="1" x14ac:dyDescent="0.25"/>
    <row r="3845" s="14" customFormat="1" x14ac:dyDescent="0.25"/>
    <row r="3846" s="14" customFormat="1" x14ac:dyDescent="0.25"/>
    <row r="3847" s="14" customFormat="1" x14ac:dyDescent="0.25"/>
    <row r="3848" s="14" customFormat="1" x14ac:dyDescent="0.25"/>
    <row r="3849" s="14" customFormat="1" x14ac:dyDescent="0.25"/>
    <row r="3850" s="14" customFormat="1" x14ac:dyDescent="0.25"/>
    <row r="3851" s="14" customFormat="1" x14ac:dyDescent="0.25"/>
    <row r="3852" s="14" customFormat="1" x14ac:dyDescent="0.25"/>
    <row r="3853" s="14" customFormat="1" x14ac:dyDescent="0.25"/>
    <row r="3854" s="14" customFormat="1" x14ac:dyDescent="0.25"/>
    <row r="3855" s="14" customFormat="1" x14ac:dyDescent="0.25"/>
    <row r="3856" s="14" customFormat="1" x14ac:dyDescent="0.25"/>
    <row r="3857" s="14" customFormat="1" x14ac:dyDescent="0.25"/>
    <row r="3858" s="14" customFormat="1" x14ac:dyDescent="0.25"/>
    <row r="3859" s="14" customFormat="1" x14ac:dyDescent="0.25"/>
    <row r="3860" s="14" customFormat="1" x14ac:dyDescent="0.25"/>
    <row r="3861" s="14" customFormat="1" x14ac:dyDescent="0.25"/>
    <row r="3862" s="14" customFormat="1" x14ac:dyDescent="0.25"/>
    <row r="3863" s="14" customFormat="1" x14ac:dyDescent="0.25"/>
    <row r="3864" s="14" customFormat="1" x14ac:dyDescent="0.25"/>
    <row r="3865" s="14" customFormat="1" x14ac:dyDescent="0.25"/>
    <row r="3866" s="14" customFormat="1" x14ac:dyDescent="0.25"/>
    <row r="3867" s="14" customFormat="1" x14ac:dyDescent="0.25"/>
    <row r="3868" s="14" customFormat="1" x14ac:dyDescent="0.25"/>
    <row r="3869" s="14" customFormat="1" x14ac:dyDescent="0.25"/>
    <row r="3870" s="14" customFormat="1" x14ac:dyDescent="0.25"/>
    <row r="3871" s="14" customFormat="1" x14ac:dyDescent="0.25"/>
    <row r="3872" s="14" customFormat="1" x14ac:dyDescent="0.25"/>
    <row r="3873" s="14" customFormat="1" x14ac:dyDescent="0.25"/>
    <row r="3874" s="14" customFormat="1" x14ac:dyDescent="0.25"/>
    <row r="3875" s="14" customFormat="1" x14ac:dyDescent="0.25"/>
    <row r="3876" s="14" customFormat="1" x14ac:dyDescent="0.25"/>
    <row r="3877" s="14" customFormat="1" x14ac:dyDescent="0.25"/>
    <row r="3878" s="14" customFormat="1" x14ac:dyDescent="0.25"/>
    <row r="3879" s="14" customFormat="1" x14ac:dyDescent="0.25"/>
    <row r="3880" s="14" customFormat="1" x14ac:dyDescent="0.25"/>
    <row r="3881" s="14" customFormat="1" x14ac:dyDescent="0.25"/>
    <row r="3882" s="14" customFormat="1" x14ac:dyDescent="0.25"/>
    <row r="3883" s="14" customFormat="1" x14ac:dyDescent="0.25"/>
    <row r="3884" s="14" customFormat="1" x14ac:dyDescent="0.25"/>
    <row r="3885" s="14" customFormat="1" x14ac:dyDescent="0.25"/>
    <row r="3886" s="14" customFormat="1" x14ac:dyDescent="0.25"/>
    <row r="3887" s="14" customFormat="1" x14ac:dyDescent="0.25"/>
    <row r="3888" s="14" customFormat="1" x14ac:dyDescent="0.25"/>
    <row r="3889" s="14" customFormat="1" x14ac:dyDescent="0.25"/>
    <row r="3890" s="14" customFormat="1" x14ac:dyDescent="0.25"/>
    <row r="3891" s="14" customFormat="1" x14ac:dyDescent="0.25"/>
    <row r="3892" s="14" customFormat="1" x14ac:dyDescent="0.25"/>
    <row r="3893" s="14" customFormat="1" x14ac:dyDescent="0.25"/>
    <row r="3894" s="14" customFormat="1" x14ac:dyDescent="0.25"/>
    <row r="3895" s="14" customFormat="1" x14ac:dyDescent="0.25"/>
    <row r="3896" s="14" customFormat="1" x14ac:dyDescent="0.25"/>
    <row r="3897" s="14" customFormat="1" x14ac:dyDescent="0.25"/>
    <row r="3898" s="14" customFormat="1" x14ac:dyDescent="0.25"/>
    <row r="3899" s="14" customFormat="1" x14ac:dyDescent="0.25"/>
    <row r="3900" s="14" customFormat="1" x14ac:dyDescent="0.25"/>
    <row r="3901" s="14" customFormat="1" x14ac:dyDescent="0.25"/>
    <row r="3902" s="14" customFormat="1" x14ac:dyDescent="0.25"/>
    <row r="3903" s="14" customFormat="1" x14ac:dyDescent="0.25"/>
    <row r="3904" s="14" customFormat="1" x14ac:dyDescent="0.25"/>
    <row r="3905" s="14" customFormat="1" x14ac:dyDescent="0.25"/>
    <row r="3906" s="14" customFormat="1" x14ac:dyDescent="0.25"/>
    <row r="3907" s="14" customFormat="1" x14ac:dyDescent="0.25"/>
    <row r="3908" s="14" customFormat="1" x14ac:dyDescent="0.25"/>
    <row r="3909" s="14" customFormat="1" x14ac:dyDescent="0.25"/>
    <row r="3910" s="14" customFormat="1" x14ac:dyDescent="0.25"/>
    <row r="3911" s="14" customFormat="1" x14ac:dyDescent="0.25"/>
    <row r="3912" s="14" customFormat="1" x14ac:dyDescent="0.25"/>
    <row r="3913" s="14" customFormat="1" x14ac:dyDescent="0.25"/>
    <row r="3914" s="14" customFormat="1" x14ac:dyDescent="0.25"/>
    <row r="3915" s="14" customFormat="1" x14ac:dyDescent="0.25"/>
    <row r="3916" s="14" customFormat="1" x14ac:dyDescent="0.25"/>
    <row r="3917" s="14" customFormat="1" x14ac:dyDescent="0.25"/>
    <row r="3918" s="14" customFormat="1" x14ac:dyDescent="0.25"/>
    <row r="3919" s="14" customFormat="1" x14ac:dyDescent="0.25"/>
    <row r="3920" s="14" customFormat="1" x14ac:dyDescent="0.25"/>
    <row r="3921" s="14" customFormat="1" x14ac:dyDescent="0.25"/>
    <row r="3922" s="14" customFormat="1" x14ac:dyDescent="0.25"/>
    <row r="3923" s="14" customFormat="1" x14ac:dyDescent="0.25"/>
    <row r="3924" s="14" customFormat="1" x14ac:dyDescent="0.25"/>
    <row r="3925" s="14" customFormat="1" x14ac:dyDescent="0.25"/>
    <row r="3926" s="14" customFormat="1" x14ac:dyDescent="0.25"/>
    <row r="3927" s="14" customFormat="1" x14ac:dyDescent="0.25"/>
    <row r="3928" s="14" customFormat="1" x14ac:dyDescent="0.25"/>
    <row r="3929" s="14" customFormat="1" x14ac:dyDescent="0.25"/>
    <row r="3930" s="14" customFormat="1" x14ac:dyDescent="0.25"/>
    <row r="3931" s="14" customFormat="1" x14ac:dyDescent="0.25"/>
    <row r="3932" s="14" customFormat="1" x14ac:dyDescent="0.25"/>
    <row r="3933" s="14" customFormat="1" x14ac:dyDescent="0.25"/>
    <row r="3934" s="14" customFormat="1" x14ac:dyDescent="0.25"/>
    <row r="3935" s="14" customFormat="1" x14ac:dyDescent="0.25"/>
    <row r="3936" s="14" customFormat="1" x14ac:dyDescent="0.25"/>
    <row r="3937" s="14" customFormat="1" x14ac:dyDescent="0.25"/>
    <row r="3938" s="14" customFormat="1" x14ac:dyDescent="0.25"/>
    <row r="3939" s="14" customFormat="1" x14ac:dyDescent="0.25"/>
    <row r="3940" s="14" customFormat="1" x14ac:dyDescent="0.25"/>
    <row r="3941" s="14" customFormat="1" x14ac:dyDescent="0.25"/>
    <row r="3942" s="14" customFormat="1" x14ac:dyDescent="0.25"/>
    <row r="3943" s="14" customFormat="1" x14ac:dyDescent="0.25"/>
    <row r="3944" s="14" customFormat="1" x14ac:dyDescent="0.25"/>
    <row r="3945" s="14" customFormat="1" x14ac:dyDescent="0.25"/>
    <row r="3946" s="14" customFormat="1" x14ac:dyDescent="0.25"/>
    <row r="3947" s="14" customFormat="1" x14ac:dyDescent="0.25"/>
    <row r="3948" s="14" customFormat="1" x14ac:dyDescent="0.25"/>
    <row r="3949" s="14" customFormat="1" x14ac:dyDescent="0.25"/>
    <row r="3950" s="14" customFormat="1" x14ac:dyDescent="0.25"/>
    <row r="3951" s="14" customFormat="1" x14ac:dyDescent="0.25"/>
    <row r="3952" s="14" customFormat="1" x14ac:dyDescent="0.25"/>
    <row r="3953" s="14" customFormat="1" x14ac:dyDescent="0.25"/>
    <row r="3954" s="14" customFormat="1" x14ac:dyDescent="0.25"/>
    <row r="3955" s="14" customFormat="1" x14ac:dyDescent="0.25"/>
    <row r="3956" s="14" customFormat="1" x14ac:dyDescent="0.25"/>
    <row r="3957" s="14" customFormat="1" x14ac:dyDescent="0.25"/>
    <row r="3958" s="14" customFormat="1" x14ac:dyDescent="0.25"/>
    <row r="3959" s="14" customFormat="1" x14ac:dyDescent="0.25"/>
    <row r="3960" s="14" customFormat="1" x14ac:dyDescent="0.25"/>
    <row r="3961" s="14" customFormat="1" x14ac:dyDescent="0.25"/>
    <row r="3962" s="14" customFormat="1" x14ac:dyDescent="0.25"/>
    <row r="3963" s="14" customFormat="1" x14ac:dyDescent="0.25"/>
    <row r="3964" s="14" customFormat="1" x14ac:dyDescent="0.25"/>
    <row r="3965" s="14" customFormat="1" x14ac:dyDescent="0.25"/>
    <row r="3966" s="14" customFormat="1" x14ac:dyDescent="0.25"/>
    <row r="3967" s="14" customFormat="1" x14ac:dyDescent="0.25"/>
    <row r="3968" s="14" customFormat="1" x14ac:dyDescent="0.25"/>
    <row r="3969" s="14" customFormat="1" x14ac:dyDescent="0.25"/>
    <row r="3970" s="14" customFormat="1" x14ac:dyDescent="0.25"/>
    <row r="3971" s="14" customFormat="1" x14ac:dyDescent="0.25"/>
    <row r="3972" s="14" customFormat="1" x14ac:dyDescent="0.25"/>
    <row r="3973" s="14" customFormat="1" x14ac:dyDescent="0.25"/>
    <row r="3974" s="14" customFormat="1" x14ac:dyDescent="0.25"/>
    <row r="3975" s="14" customFormat="1" x14ac:dyDescent="0.25"/>
    <row r="3976" s="14" customFormat="1" x14ac:dyDescent="0.25"/>
    <row r="3977" s="14" customFormat="1" x14ac:dyDescent="0.25"/>
    <row r="3978" s="14" customFormat="1" x14ac:dyDescent="0.25"/>
    <row r="3979" s="14" customFormat="1" x14ac:dyDescent="0.25"/>
    <row r="3980" s="14" customFormat="1" x14ac:dyDescent="0.25"/>
    <row r="3981" s="14" customFormat="1" x14ac:dyDescent="0.25"/>
    <row r="3982" s="14" customFormat="1" x14ac:dyDescent="0.25"/>
    <row r="3983" s="14" customFormat="1" x14ac:dyDescent="0.25"/>
    <row r="3984" s="14" customFormat="1" x14ac:dyDescent="0.25"/>
    <row r="3985" s="14" customFormat="1" x14ac:dyDescent="0.25"/>
    <row r="3986" s="14" customFormat="1" x14ac:dyDescent="0.25"/>
    <row r="3987" s="14" customFormat="1" x14ac:dyDescent="0.25"/>
    <row r="3988" s="14" customFormat="1" x14ac:dyDescent="0.25"/>
    <row r="3989" s="14" customFormat="1" x14ac:dyDescent="0.25"/>
    <row r="3990" s="14" customFormat="1" x14ac:dyDescent="0.25"/>
    <row r="3991" s="14" customFormat="1" x14ac:dyDescent="0.25"/>
    <row r="3992" s="14" customFormat="1" x14ac:dyDescent="0.25"/>
    <row r="3993" s="14" customFormat="1" x14ac:dyDescent="0.25"/>
    <row r="3994" s="14" customFormat="1" x14ac:dyDescent="0.25"/>
    <row r="3995" s="14" customFormat="1" x14ac:dyDescent="0.25"/>
    <row r="3996" s="14" customFormat="1" x14ac:dyDescent="0.25"/>
    <row r="3997" s="14" customFormat="1" x14ac:dyDescent="0.25"/>
    <row r="3998" s="14" customFormat="1" x14ac:dyDescent="0.25"/>
    <row r="3999" s="14" customFormat="1" x14ac:dyDescent="0.25"/>
    <row r="4000" s="14" customFormat="1" x14ac:dyDescent="0.25"/>
    <row r="4001" s="14" customFormat="1" x14ac:dyDescent="0.25"/>
    <row r="4002" s="14" customFormat="1" x14ac:dyDescent="0.25"/>
    <row r="4003" s="14" customFormat="1" x14ac:dyDescent="0.25"/>
    <row r="4004" s="14" customFormat="1" x14ac:dyDescent="0.25"/>
    <row r="4005" s="14" customFormat="1" x14ac:dyDescent="0.25"/>
    <row r="4006" s="14" customFormat="1" x14ac:dyDescent="0.25"/>
    <row r="4007" s="14" customFormat="1" x14ac:dyDescent="0.25"/>
    <row r="4008" s="14" customFormat="1" x14ac:dyDescent="0.25"/>
    <row r="4009" s="14" customFormat="1" x14ac:dyDescent="0.25"/>
    <row r="4010" s="14" customFormat="1" x14ac:dyDescent="0.25"/>
    <row r="4011" s="14" customFormat="1" x14ac:dyDescent="0.25"/>
    <row r="4012" s="14" customFormat="1" x14ac:dyDescent="0.25"/>
    <row r="4013" s="14" customFormat="1" x14ac:dyDescent="0.25"/>
    <row r="4014" s="14" customFormat="1" x14ac:dyDescent="0.25"/>
    <row r="4015" s="14" customFormat="1" x14ac:dyDescent="0.25"/>
    <row r="4016" s="14" customFormat="1" x14ac:dyDescent="0.25"/>
    <row r="4017" s="14" customFormat="1" x14ac:dyDescent="0.25"/>
    <row r="4018" s="14" customFormat="1" x14ac:dyDescent="0.25"/>
    <row r="4019" s="14" customFormat="1" x14ac:dyDescent="0.25"/>
    <row r="4020" s="14" customFormat="1" x14ac:dyDescent="0.25"/>
    <row r="4021" s="14" customFormat="1" x14ac:dyDescent="0.25"/>
    <row r="4022" s="14" customFormat="1" x14ac:dyDescent="0.25"/>
    <row r="4023" s="14" customFormat="1" x14ac:dyDescent="0.25"/>
    <row r="4024" s="14" customFormat="1" x14ac:dyDescent="0.25"/>
    <row r="4025" s="14" customFormat="1" x14ac:dyDescent="0.25"/>
    <row r="4026" s="14" customFormat="1" x14ac:dyDescent="0.25"/>
    <row r="4027" s="14" customFormat="1" x14ac:dyDescent="0.25"/>
    <row r="4028" s="14" customFormat="1" x14ac:dyDescent="0.25"/>
    <row r="4029" s="14" customFormat="1" x14ac:dyDescent="0.25"/>
    <row r="4030" s="14" customFormat="1" x14ac:dyDescent="0.25"/>
    <row r="4031" s="14" customFormat="1" x14ac:dyDescent="0.25"/>
    <row r="4032" s="14" customFormat="1" x14ac:dyDescent="0.25"/>
  </sheetData>
  <sheetProtection selectLockedCells="1" selectUnlockedCells="1"/>
  <sortState xmlns:xlrd2="http://schemas.microsoft.com/office/spreadsheetml/2017/richdata2" ref="A3:S1862">
    <sortCondition ref="K3:K186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037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"21165"</f>
        <v>21165</v>
      </c>
      <c r="B3" s="14" t="str">
        <f>"01695"</f>
        <v>01695</v>
      </c>
      <c r="C3" s="14" t="str">
        <f>"1600"</f>
        <v>1600</v>
      </c>
      <c r="D3" s="14" t="str">
        <f>"21165"</f>
        <v>21165</v>
      </c>
      <c r="E3" s="14" t="s">
        <v>847</v>
      </c>
      <c r="F3" s="14" t="s">
        <v>155</v>
      </c>
      <c r="G3" s="14" t="str">
        <f>"GR0021161"</f>
        <v>GR0021161</v>
      </c>
      <c r="H3" s="14" t="str">
        <f>" 10"</f>
        <v xml:space="preserve"> 10</v>
      </c>
      <c r="I3" s="14">
        <v>0.01</v>
      </c>
      <c r="J3" s="14">
        <v>500</v>
      </c>
      <c r="K3" s="14" t="s">
        <v>146</v>
      </c>
      <c r="L3" s="14" t="s">
        <v>147</v>
      </c>
      <c r="M3" s="14" t="s">
        <v>156</v>
      </c>
      <c r="O3" s="14" t="s">
        <v>156</v>
      </c>
      <c r="P3" s="14" t="s">
        <v>701</v>
      </c>
      <c r="Q3" s="14" t="s">
        <v>701</v>
      </c>
      <c r="R3" s="14" t="s">
        <v>146</v>
      </c>
    </row>
    <row r="4" spans="1:19" s="14" customFormat="1" x14ac:dyDescent="0.25">
      <c r="A4" s="14" t="str">
        <f>"21165"</f>
        <v>21165</v>
      </c>
      <c r="B4" s="14" t="str">
        <f>"01695"</f>
        <v>01695</v>
      </c>
      <c r="C4" s="14" t="str">
        <f>"1600"</f>
        <v>1600</v>
      </c>
      <c r="D4" s="14" t="str">
        <f>"21165"</f>
        <v>21165</v>
      </c>
      <c r="E4" s="14" t="s">
        <v>847</v>
      </c>
      <c r="F4" s="14" t="s">
        <v>155</v>
      </c>
      <c r="G4" s="14" t="str">
        <f>"GR0021161"</f>
        <v>GR0021161</v>
      </c>
      <c r="H4" s="14" t="str">
        <f>" 20"</f>
        <v xml:space="preserve"> 20</v>
      </c>
      <c r="I4" s="14">
        <v>500.01</v>
      </c>
      <c r="J4" s="14">
        <v>9999999.9900000002</v>
      </c>
      <c r="K4" s="14" t="s">
        <v>147</v>
      </c>
      <c r="L4" s="14" t="s">
        <v>156</v>
      </c>
      <c r="O4" s="14" t="s">
        <v>156</v>
      </c>
      <c r="P4" s="14" t="s">
        <v>701</v>
      </c>
      <c r="Q4" s="14" t="s">
        <v>701</v>
      </c>
      <c r="R4" s="14" t="s">
        <v>146</v>
      </c>
    </row>
    <row r="5" spans="1:19" s="14" customFormat="1" x14ac:dyDescent="0.25">
      <c r="A5" s="14" t="str">
        <f>"21174"</f>
        <v>21174</v>
      </c>
      <c r="B5" s="14" t="str">
        <f>"01260"</f>
        <v>01260</v>
      </c>
      <c r="C5" s="14" t="str">
        <f>"1300"</f>
        <v>1300</v>
      </c>
      <c r="D5" s="14" t="str">
        <f>"21174"</f>
        <v>21174</v>
      </c>
      <c r="E5" s="14" t="s">
        <v>848</v>
      </c>
      <c r="F5" s="14" t="s">
        <v>87</v>
      </c>
      <c r="G5" s="14" t="str">
        <f>"GR0021174"</f>
        <v>GR0021174</v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849</v>
      </c>
      <c r="L5" s="14" t="s">
        <v>90</v>
      </c>
      <c r="O5" s="14" t="s">
        <v>849</v>
      </c>
      <c r="P5" s="14" t="s">
        <v>701</v>
      </c>
      <c r="Q5" s="14" t="s">
        <v>701</v>
      </c>
      <c r="R5" s="14" t="s">
        <v>89</v>
      </c>
    </row>
    <row r="6" spans="1:19" s="14" customFormat="1" x14ac:dyDescent="0.25">
      <c r="A6" s="14" t="str">
        <f>"21175"</f>
        <v>21175</v>
      </c>
      <c r="B6" s="14" t="str">
        <f>"01260"</f>
        <v>01260</v>
      </c>
      <c r="C6" s="14" t="str">
        <f>"1300"</f>
        <v>1300</v>
      </c>
      <c r="D6" s="14" t="str">
        <f>"21175"</f>
        <v>21175</v>
      </c>
      <c r="E6" s="14" t="s">
        <v>850</v>
      </c>
      <c r="F6" s="14" t="s">
        <v>87</v>
      </c>
      <c r="G6" s="14" t="str">
        <f>"GR0021174"</f>
        <v>GR0021174</v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849</v>
      </c>
      <c r="L6" s="14" t="s">
        <v>90</v>
      </c>
      <c r="O6" s="14" t="s">
        <v>849</v>
      </c>
      <c r="P6" s="14" t="s">
        <v>701</v>
      </c>
      <c r="Q6" s="14" t="s">
        <v>701</v>
      </c>
      <c r="R6" s="14" t="s">
        <v>89</v>
      </c>
    </row>
    <row r="7" spans="1:19" s="14" customFormat="1" x14ac:dyDescent="0.25">
      <c r="A7" s="14" t="str">
        <f>"21183"</f>
        <v>21183</v>
      </c>
      <c r="B7" s="14" t="str">
        <f>"01695"</f>
        <v>01695</v>
      </c>
      <c r="C7" s="14" t="str">
        <f>"1600"</f>
        <v>1600</v>
      </c>
      <c r="D7" s="14" t="str">
        <f>"21183"</f>
        <v>21183</v>
      </c>
      <c r="E7" s="14" t="s">
        <v>851</v>
      </c>
      <c r="F7" s="14" t="s">
        <v>155</v>
      </c>
      <c r="G7" s="14" t="str">
        <f>"GR0021161"</f>
        <v>GR0021161</v>
      </c>
      <c r="H7" s="14" t="str">
        <f>" 10"</f>
        <v xml:space="preserve"> 10</v>
      </c>
      <c r="I7" s="14">
        <v>0.01</v>
      </c>
      <c r="J7" s="14">
        <v>500</v>
      </c>
      <c r="K7" s="14" t="s">
        <v>146</v>
      </c>
      <c r="L7" s="14" t="s">
        <v>147</v>
      </c>
      <c r="M7" s="14" t="s">
        <v>156</v>
      </c>
      <c r="O7" s="14" t="s">
        <v>156</v>
      </c>
      <c r="P7" s="14" t="s">
        <v>701</v>
      </c>
      <c r="Q7" s="14" t="s">
        <v>701</v>
      </c>
      <c r="R7" s="14" t="s">
        <v>146</v>
      </c>
    </row>
    <row r="8" spans="1:19" s="14" customFormat="1" x14ac:dyDescent="0.25">
      <c r="A8" s="14" t="str">
        <f>"21183"</f>
        <v>21183</v>
      </c>
      <c r="B8" s="14" t="str">
        <f>"01695"</f>
        <v>01695</v>
      </c>
      <c r="C8" s="14" t="str">
        <f>"1600"</f>
        <v>1600</v>
      </c>
      <c r="D8" s="14" t="str">
        <f>"21183"</f>
        <v>21183</v>
      </c>
      <c r="E8" s="14" t="s">
        <v>851</v>
      </c>
      <c r="F8" s="14" t="s">
        <v>155</v>
      </c>
      <c r="G8" s="14" t="str">
        <f>"GR0021161"</f>
        <v>GR0021161</v>
      </c>
      <c r="H8" s="14" t="str">
        <f>" 20"</f>
        <v xml:space="preserve"> 20</v>
      </c>
      <c r="I8" s="14">
        <v>500.01</v>
      </c>
      <c r="J8" s="14">
        <v>9999999.9900000002</v>
      </c>
      <c r="K8" s="14" t="s">
        <v>147</v>
      </c>
      <c r="L8" s="14" t="s">
        <v>156</v>
      </c>
      <c r="O8" s="14" t="s">
        <v>156</v>
      </c>
      <c r="P8" s="14" t="s">
        <v>701</v>
      </c>
      <c r="Q8" s="14" t="s">
        <v>701</v>
      </c>
      <c r="R8" s="14" t="s">
        <v>146</v>
      </c>
    </row>
    <row r="9" spans="1:19" s="14" customFormat="1" x14ac:dyDescent="0.25">
      <c r="A9" s="14" t="str">
        <f>"21186"</f>
        <v>21186</v>
      </c>
      <c r="B9" s="14" t="str">
        <f>"01830"</f>
        <v>01830</v>
      </c>
      <c r="C9" s="14" t="str">
        <f>"1200"</f>
        <v>1200</v>
      </c>
      <c r="D9" s="14" t="str">
        <f>"21186"</f>
        <v>21186</v>
      </c>
      <c r="E9" s="14" t="s">
        <v>852</v>
      </c>
      <c r="F9" s="14" t="s">
        <v>187</v>
      </c>
      <c r="G9" s="14" t="str">
        <f>"GR0021186"</f>
        <v>GR0021186</v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112</v>
      </c>
      <c r="L9" s="14" t="s">
        <v>113</v>
      </c>
      <c r="O9" s="14" t="s">
        <v>853</v>
      </c>
      <c r="P9" s="14" t="s">
        <v>701</v>
      </c>
      <c r="Q9" s="14" t="s">
        <v>701</v>
      </c>
      <c r="R9" s="14" t="s">
        <v>115</v>
      </c>
    </row>
    <row r="10" spans="1:19" s="14" customFormat="1" x14ac:dyDescent="0.25">
      <c r="A10" s="14" t="str">
        <f>"21187"</f>
        <v>21187</v>
      </c>
      <c r="B10" s="14" t="str">
        <f>"01830"</f>
        <v>01830</v>
      </c>
      <c r="C10" s="14" t="str">
        <f>"1200"</f>
        <v>1200</v>
      </c>
      <c r="D10" s="14" t="str">
        <f>"21187"</f>
        <v>21187</v>
      </c>
      <c r="E10" s="14" t="s">
        <v>854</v>
      </c>
      <c r="F10" s="14" t="s">
        <v>187</v>
      </c>
      <c r="G10" s="14" t="str">
        <f>"GR0021186"</f>
        <v>GR0021186</v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112</v>
      </c>
      <c r="L10" s="14" t="s">
        <v>113</v>
      </c>
      <c r="O10" s="14" t="s">
        <v>853</v>
      </c>
      <c r="P10" s="14" t="s">
        <v>701</v>
      </c>
      <c r="Q10" s="14" t="s">
        <v>701</v>
      </c>
      <c r="R10" s="14" t="s">
        <v>115</v>
      </c>
    </row>
    <row r="11" spans="1:19" s="14" customFormat="1" x14ac:dyDescent="0.25">
      <c r="A11" s="14" t="str">
        <f>"21189"</f>
        <v>21189</v>
      </c>
      <c r="B11" s="14" t="str">
        <f>"01670"</f>
        <v>01670</v>
      </c>
      <c r="C11" s="14" t="str">
        <f>"1600"</f>
        <v>1600</v>
      </c>
      <c r="D11" s="14" t="str">
        <f>"21189"</f>
        <v>21189</v>
      </c>
      <c r="E11" s="14" t="s">
        <v>855</v>
      </c>
      <c r="F11" s="14" t="s">
        <v>151</v>
      </c>
      <c r="G11" s="14" t="str">
        <f>"GR0021157"</f>
        <v>GR0021157</v>
      </c>
      <c r="H11" s="14" t="str">
        <f>" 10"</f>
        <v xml:space="preserve"> 10</v>
      </c>
      <c r="I11" s="14">
        <v>0.01</v>
      </c>
      <c r="J11" s="14">
        <v>500</v>
      </c>
      <c r="K11" s="14" t="s">
        <v>146</v>
      </c>
      <c r="L11" s="14" t="s">
        <v>147</v>
      </c>
      <c r="O11" s="14" t="s">
        <v>856</v>
      </c>
      <c r="P11" s="14" t="s">
        <v>701</v>
      </c>
      <c r="Q11" s="14" t="s">
        <v>701</v>
      </c>
      <c r="R11" s="14" t="s">
        <v>146</v>
      </c>
    </row>
    <row r="12" spans="1:19" s="14" customFormat="1" x14ac:dyDescent="0.25">
      <c r="A12" s="14" t="str">
        <f>"21189"</f>
        <v>21189</v>
      </c>
      <c r="B12" s="14" t="str">
        <f>"01670"</f>
        <v>01670</v>
      </c>
      <c r="C12" s="14" t="str">
        <f>"1600"</f>
        <v>1600</v>
      </c>
      <c r="D12" s="14" t="str">
        <f>"21189"</f>
        <v>21189</v>
      </c>
      <c r="E12" s="14" t="s">
        <v>855</v>
      </c>
      <c r="F12" s="14" t="s">
        <v>151</v>
      </c>
      <c r="G12" s="14" t="str">
        <f>"GR0021157"</f>
        <v>GR0021157</v>
      </c>
      <c r="H12" s="14" t="str">
        <f>" 20"</f>
        <v xml:space="preserve"> 20</v>
      </c>
      <c r="I12" s="14">
        <v>500.01</v>
      </c>
      <c r="J12" s="14">
        <v>9999999.9900000002</v>
      </c>
      <c r="K12" s="14" t="s">
        <v>147</v>
      </c>
      <c r="L12" s="14" t="s">
        <v>856</v>
      </c>
      <c r="M12" s="14" t="s">
        <v>661</v>
      </c>
      <c r="O12" s="14" t="s">
        <v>856</v>
      </c>
      <c r="P12" s="14" t="s">
        <v>701</v>
      </c>
      <c r="Q12" s="14" t="s">
        <v>701</v>
      </c>
      <c r="R12" s="14" t="s">
        <v>146</v>
      </c>
    </row>
    <row r="13" spans="1:19" s="14" customFormat="1" x14ac:dyDescent="0.25">
      <c r="A13" s="14" t="str">
        <f>"21190"</f>
        <v>21190</v>
      </c>
      <c r="B13" s="14" t="str">
        <f>"01670"</f>
        <v>01670</v>
      </c>
      <c r="C13" s="14" t="str">
        <f>"1600"</f>
        <v>1600</v>
      </c>
      <c r="D13" s="14" t="str">
        <f>"21190"</f>
        <v>21190</v>
      </c>
      <c r="E13" s="14" t="s">
        <v>857</v>
      </c>
      <c r="F13" s="14" t="s">
        <v>151</v>
      </c>
      <c r="G13" s="14" t="str">
        <f>"GR0021157"</f>
        <v>GR0021157</v>
      </c>
      <c r="H13" s="14" t="str">
        <f>" 10"</f>
        <v xml:space="preserve"> 10</v>
      </c>
      <c r="I13" s="14">
        <v>0.01</v>
      </c>
      <c r="J13" s="14">
        <v>500</v>
      </c>
      <c r="K13" s="14" t="s">
        <v>146</v>
      </c>
      <c r="L13" s="14" t="s">
        <v>147</v>
      </c>
      <c r="O13" s="14" t="s">
        <v>856</v>
      </c>
      <c r="P13" s="14" t="s">
        <v>701</v>
      </c>
      <c r="Q13" s="14" t="s">
        <v>701</v>
      </c>
      <c r="R13" s="14" t="s">
        <v>146</v>
      </c>
    </row>
    <row r="14" spans="1:19" s="14" customFormat="1" x14ac:dyDescent="0.25">
      <c r="A14" s="14" t="str">
        <f>"21190"</f>
        <v>21190</v>
      </c>
      <c r="B14" s="14" t="str">
        <f>"01670"</f>
        <v>01670</v>
      </c>
      <c r="C14" s="14" t="str">
        <f>"1600"</f>
        <v>1600</v>
      </c>
      <c r="D14" s="14" t="str">
        <f>"21190"</f>
        <v>21190</v>
      </c>
      <c r="E14" s="14" t="s">
        <v>857</v>
      </c>
      <c r="F14" s="14" t="s">
        <v>151</v>
      </c>
      <c r="G14" s="14" t="str">
        <f>"GR0021157"</f>
        <v>GR0021157</v>
      </c>
      <c r="H14" s="14" t="str">
        <f>" 20"</f>
        <v xml:space="preserve"> 20</v>
      </c>
      <c r="I14" s="14">
        <v>500.01</v>
      </c>
      <c r="J14" s="14">
        <v>9999999.9900000002</v>
      </c>
      <c r="K14" s="14" t="s">
        <v>147</v>
      </c>
      <c r="L14" s="14" t="s">
        <v>856</v>
      </c>
      <c r="M14" s="14" t="s">
        <v>661</v>
      </c>
      <c r="O14" s="14" t="s">
        <v>856</v>
      </c>
      <c r="P14" s="14" t="s">
        <v>701</v>
      </c>
      <c r="Q14" s="14" t="s">
        <v>701</v>
      </c>
      <c r="R14" s="14" t="s">
        <v>146</v>
      </c>
    </row>
    <row r="15" spans="1:19" s="14" customFormat="1" x14ac:dyDescent="0.25">
      <c r="A15" s="14" t="str">
        <f>"21191"</f>
        <v>21191</v>
      </c>
      <c r="B15" s="14" t="str">
        <f>"01695"</f>
        <v>01695</v>
      </c>
      <c r="C15" s="14" t="str">
        <f>"1600"</f>
        <v>1600</v>
      </c>
      <c r="D15" s="14" t="str">
        <f>"21191"</f>
        <v>21191</v>
      </c>
      <c r="E15" s="14" t="s">
        <v>858</v>
      </c>
      <c r="F15" s="14" t="s">
        <v>155</v>
      </c>
      <c r="G15" s="14" t="str">
        <f>"GR0021161"</f>
        <v>GR0021161</v>
      </c>
      <c r="H15" s="14" t="str">
        <f>" 10"</f>
        <v xml:space="preserve"> 10</v>
      </c>
      <c r="I15" s="14">
        <v>0.01</v>
      </c>
      <c r="J15" s="14">
        <v>500</v>
      </c>
      <c r="K15" s="14" t="s">
        <v>146</v>
      </c>
      <c r="L15" s="14" t="s">
        <v>147</v>
      </c>
      <c r="M15" s="14" t="s">
        <v>156</v>
      </c>
      <c r="O15" s="14" t="s">
        <v>156</v>
      </c>
      <c r="P15" s="14" t="s">
        <v>701</v>
      </c>
      <c r="Q15" s="14" t="s">
        <v>701</v>
      </c>
      <c r="R15" s="14" t="s">
        <v>146</v>
      </c>
    </row>
    <row r="16" spans="1:19" s="14" customFormat="1" x14ac:dyDescent="0.25">
      <c r="A16" s="14" t="str">
        <f>"21191"</f>
        <v>21191</v>
      </c>
      <c r="B16" s="14" t="str">
        <f>"01695"</f>
        <v>01695</v>
      </c>
      <c r="C16" s="14" t="str">
        <f>"1600"</f>
        <v>1600</v>
      </c>
      <c r="D16" s="14" t="str">
        <f>"21191"</f>
        <v>21191</v>
      </c>
      <c r="E16" s="14" t="s">
        <v>858</v>
      </c>
      <c r="F16" s="14" t="s">
        <v>155</v>
      </c>
      <c r="G16" s="14" t="str">
        <f>"GR0021161"</f>
        <v>GR0021161</v>
      </c>
      <c r="H16" s="14" t="str">
        <f>" 20"</f>
        <v xml:space="preserve"> 20</v>
      </c>
      <c r="I16" s="14">
        <v>500.01</v>
      </c>
      <c r="J16" s="14">
        <v>9999999.9900000002</v>
      </c>
      <c r="K16" s="14" t="s">
        <v>147</v>
      </c>
      <c r="L16" s="14" t="s">
        <v>156</v>
      </c>
      <c r="O16" s="14" t="s">
        <v>156</v>
      </c>
      <c r="P16" s="14" t="s">
        <v>701</v>
      </c>
      <c r="Q16" s="14" t="s">
        <v>701</v>
      </c>
      <c r="R16" s="14" t="s">
        <v>146</v>
      </c>
    </row>
    <row r="17" spans="1:18" s="14" customFormat="1" x14ac:dyDescent="0.25">
      <c r="A17" s="14" t="str">
        <f>"21211"</f>
        <v>21211</v>
      </c>
      <c r="B17" s="14" t="str">
        <f>"01290"</f>
        <v>01290</v>
      </c>
      <c r="C17" s="14" t="str">
        <f>"1300"</f>
        <v>1300</v>
      </c>
      <c r="D17" s="14" t="str">
        <f>"21211"</f>
        <v>21211</v>
      </c>
      <c r="E17" s="14" t="s">
        <v>859</v>
      </c>
      <c r="F17" s="14" t="s">
        <v>95</v>
      </c>
      <c r="G17" s="14" t="str">
        <f>"GR0021211"</f>
        <v>GR0021211</v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83</v>
      </c>
      <c r="L17" s="14" t="s">
        <v>37</v>
      </c>
      <c r="M17" s="14" t="s">
        <v>38</v>
      </c>
      <c r="O17" s="14" t="s">
        <v>83</v>
      </c>
      <c r="P17" s="14" t="s">
        <v>701</v>
      </c>
      <c r="Q17" s="14" t="s">
        <v>701</v>
      </c>
      <c r="R17" s="14" t="s">
        <v>38</v>
      </c>
    </row>
    <row r="18" spans="1:18" s="14" customFormat="1" x14ac:dyDescent="0.25">
      <c r="A18" s="14" t="str">
        <f>"21212"</f>
        <v>21212</v>
      </c>
      <c r="B18" s="14" t="str">
        <f>"01290"</f>
        <v>01290</v>
      </c>
      <c r="C18" s="14" t="str">
        <f>"1300"</f>
        <v>1300</v>
      </c>
      <c r="D18" s="14" t="str">
        <f>"21212"</f>
        <v>21212</v>
      </c>
      <c r="E18" s="14" t="s">
        <v>860</v>
      </c>
      <c r="F18" s="14" t="s">
        <v>95</v>
      </c>
      <c r="G18" s="14" t="str">
        <f>"GR0021212"</f>
        <v>GR0021212</v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83</v>
      </c>
      <c r="L18" s="14" t="s">
        <v>37</v>
      </c>
      <c r="M18" s="14" t="s">
        <v>38</v>
      </c>
      <c r="O18" s="14" t="s">
        <v>83</v>
      </c>
      <c r="P18" s="14" t="s">
        <v>701</v>
      </c>
      <c r="Q18" s="14" t="s">
        <v>701</v>
      </c>
      <c r="R18" s="14" t="s">
        <v>38</v>
      </c>
    </row>
    <row r="19" spans="1:18" s="14" customFormat="1" x14ac:dyDescent="0.25">
      <c r="A19" s="14" t="str">
        <f>"21214"</f>
        <v>21214</v>
      </c>
      <c r="B19" s="14" t="str">
        <f>"01620"</f>
        <v>01620</v>
      </c>
      <c r="C19" s="14" t="str">
        <f>"1200"</f>
        <v>1200</v>
      </c>
      <c r="D19" s="14" t="str">
        <f>"21214"</f>
        <v>21214</v>
      </c>
      <c r="E19" s="14" t="s">
        <v>861</v>
      </c>
      <c r="F19" s="14" t="s">
        <v>140</v>
      </c>
      <c r="G19" s="14" t="str">
        <f>"GR0021214"</f>
        <v>GR0021214</v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69</v>
      </c>
      <c r="L19" s="14" t="s">
        <v>70</v>
      </c>
      <c r="M19" s="14" t="s">
        <v>71</v>
      </c>
      <c r="O19" s="14" t="s">
        <v>862</v>
      </c>
      <c r="P19" s="14" t="s">
        <v>701</v>
      </c>
      <c r="Q19" s="14" t="s">
        <v>701</v>
      </c>
      <c r="R19" s="14" t="s">
        <v>141</v>
      </c>
    </row>
    <row r="20" spans="1:18" s="14" customFormat="1" x14ac:dyDescent="0.25">
      <c r="A20" s="14" t="str">
        <f>"21215"</f>
        <v>21215</v>
      </c>
      <c r="B20" s="14" t="str">
        <f>"01810"</f>
        <v>01810</v>
      </c>
      <c r="C20" s="14" t="str">
        <f>"1200"</f>
        <v>1200</v>
      </c>
      <c r="D20" s="14" t="str">
        <f>"21215"</f>
        <v>21215</v>
      </c>
      <c r="E20" s="14" t="s">
        <v>863</v>
      </c>
      <c r="F20" s="14" t="s">
        <v>183</v>
      </c>
      <c r="G20" s="14" t="str">
        <f>"GR0021215"</f>
        <v>GR0021215</v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184</v>
      </c>
      <c r="L20" s="14" t="s">
        <v>112</v>
      </c>
      <c r="M20" s="14" t="s">
        <v>113</v>
      </c>
      <c r="N20" s="14" t="s">
        <v>114</v>
      </c>
      <c r="O20" s="14" t="s">
        <v>184</v>
      </c>
      <c r="P20" s="14" t="s">
        <v>701</v>
      </c>
      <c r="Q20" s="14" t="s">
        <v>701</v>
      </c>
      <c r="R20" s="14" t="s">
        <v>115</v>
      </c>
    </row>
    <row r="21" spans="1:18" s="14" customFormat="1" x14ac:dyDescent="0.25">
      <c r="A21" s="14" t="str">
        <f>"21216"</f>
        <v>21216</v>
      </c>
      <c r="B21" s="14" t="str">
        <f>"01810"</f>
        <v>01810</v>
      </c>
      <c r="C21" s="14" t="str">
        <f>"1200"</f>
        <v>1200</v>
      </c>
      <c r="D21" s="14" t="str">
        <f>"21216"</f>
        <v>21216</v>
      </c>
      <c r="E21" s="14" t="s">
        <v>864</v>
      </c>
      <c r="F21" s="14" t="s">
        <v>183</v>
      </c>
      <c r="G21" s="14" t="str">
        <f>"GR0021215"</f>
        <v>GR0021215</v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184</v>
      </c>
      <c r="L21" s="14" t="s">
        <v>112</v>
      </c>
      <c r="M21" s="14" t="s">
        <v>113</v>
      </c>
      <c r="N21" s="14" t="s">
        <v>114</v>
      </c>
      <c r="O21" s="14" t="s">
        <v>184</v>
      </c>
      <c r="P21" s="14" t="s">
        <v>701</v>
      </c>
      <c r="Q21" s="14" t="s">
        <v>701</v>
      </c>
      <c r="R21" s="14" t="s">
        <v>115</v>
      </c>
    </row>
    <row r="22" spans="1:18" s="14" customFormat="1" x14ac:dyDescent="0.25">
      <c r="A22" s="14" t="str">
        <f>"21217"</f>
        <v>21217</v>
      </c>
      <c r="B22" s="14" t="str">
        <f>"01810"</f>
        <v>01810</v>
      </c>
      <c r="C22" s="14" t="str">
        <f>"1200"</f>
        <v>1200</v>
      </c>
      <c r="D22" s="14" t="str">
        <f>"21217"</f>
        <v>21217</v>
      </c>
      <c r="E22" s="14" t="s">
        <v>865</v>
      </c>
      <c r="F22" s="14" t="s">
        <v>183</v>
      </c>
      <c r="G22" s="14" t="str">
        <f>"GR0021215"</f>
        <v>GR0021215</v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184</v>
      </c>
      <c r="L22" s="14" t="s">
        <v>112</v>
      </c>
      <c r="M22" s="14" t="s">
        <v>113</v>
      </c>
      <c r="N22" s="14" t="s">
        <v>114</v>
      </c>
      <c r="O22" s="14" t="s">
        <v>184</v>
      </c>
      <c r="P22" s="14" t="s">
        <v>701</v>
      </c>
      <c r="Q22" s="14" t="s">
        <v>701</v>
      </c>
      <c r="R22" s="14" t="s">
        <v>115</v>
      </c>
    </row>
    <row r="23" spans="1:18" s="14" customFormat="1" x14ac:dyDescent="0.25">
      <c r="A23" s="14" t="str">
        <f>"21218"</f>
        <v>21218</v>
      </c>
      <c r="B23" s="14" t="str">
        <f>"01810"</f>
        <v>01810</v>
      </c>
      <c r="C23" s="14" t="str">
        <f>"1200"</f>
        <v>1200</v>
      </c>
      <c r="D23" s="14" t="str">
        <f>"21218"</f>
        <v>21218</v>
      </c>
      <c r="E23" s="14" t="s">
        <v>866</v>
      </c>
      <c r="F23" s="14" t="s">
        <v>183</v>
      </c>
      <c r="G23" s="14" t="str">
        <f>"GR0021215"</f>
        <v>GR0021215</v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184</v>
      </c>
      <c r="L23" s="14" t="s">
        <v>112</v>
      </c>
      <c r="M23" s="14" t="s">
        <v>113</v>
      </c>
      <c r="N23" s="14" t="s">
        <v>114</v>
      </c>
      <c r="O23" s="14" t="s">
        <v>184</v>
      </c>
      <c r="P23" s="14" t="s">
        <v>701</v>
      </c>
      <c r="Q23" s="14" t="s">
        <v>701</v>
      </c>
      <c r="R23" s="14" t="s">
        <v>115</v>
      </c>
    </row>
    <row r="24" spans="1:18" s="14" customFormat="1" x14ac:dyDescent="0.25">
      <c r="A24" s="14" t="str">
        <f>"22271"</f>
        <v>22271</v>
      </c>
      <c r="B24" s="14" t="str">
        <f>"01660"</f>
        <v>01660</v>
      </c>
      <c r="C24" s="14" t="str">
        <f>"1600"</f>
        <v>1600</v>
      </c>
      <c r="D24" s="14" t="str">
        <f>"22271"</f>
        <v>22271</v>
      </c>
      <c r="E24" s="14" t="s">
        <v>867</v>
      </c>
      <c r="F24" s="14" t="s">
        <v>145</v>
      </c>
      <c r="G24" s="14" t="str">
        <f>"GR0022271"</f>
        <v>GR0022271</v>
      </c>
      <c r="H24" s="14" t="str">
        <f>" 10"</f>
        <v xml:space="preserve"> 10</v>
      </c>
      <c r="I24" s="14">
        <v>0.01</v>
      </c>
      <c r="J24" s="14">
        <v>500</v>
      </c>
      <c r="K24" s="14" t="s">
        <v>146</v>
      </c>
      <c r="L24" s="14" t="s">
        <v>147</v>
      </c>
      <c r="O24" s="14" t="s">
        <v>661</v>
      </c>
      <c r="P24" s="14" t="s">
        <v>701</v>
      </c>
      <c r="Q24" s="14" t="s">
        <v>701</v>
      </c>
      <c r="R24" s="14" t="s">
        <v>146</v>
      </c>
    </row>
    <row r="25" spans="1:18" s="14" customFormat="1" x14ac:dyDescent="0.25">
      <c r="A25" s="14" t="str">
        <f>"22271"</f>
        <v>22271</v>
      </c>
      <c r="B25" s="14" t="str">
        <f>"01660"</f>
        <v>01660</v>
      </c>
      <c r="C25" s="14" t="str">
        <f>"1600"</f>
        <v>1600</v>
      </c>
      <c r="D25" s="14" t="str">
        <f>"22271"</f>
        <v>22271</v>
      </c>
      <c r="E25" s="14" t="s">
        <v>867</v>
      </c>
      <c r="F25" s="14" t="s">
        <v>145</v>
      </c>
      <c r="G25" s="14" t="str">
        <f>"GR0022271"</f>
        <v>GR0022271</v>
      </c>
      <c r="H25" s="14" t="str">
        <f>" 20"</f>
        <v xml:space="preserve"> 20</v>
      </c>
      <c r="I25" s="14">
        <v>500.01</v>
      </c>
      <c r="J25" s="14">
        <v>9999999.9900000002</v>
      </c>
      <c r="K25" s="14" t="s">
        <v>147</v>
      </c>
      <c r="L25" s="14" t="s">
        <v>661</v>
      </c>
      <c r="O25" s="14" t="s">
        <v>661</v>
      </c>
      <c r="P25" s="14" t="s">
        <v>701</v>
      </c>
      <c r="Q25" s="14" t="s">
        <v>701</v>
      </c>
      <c r="R25" s="14" t="s">
        <v>146</v>
      </c>
    </row>
    <row r="26" spans="1:18" s="14" customFormat="1" x14ac:dyDescent="0.25">
      <c r="A26" s="14" t="str">
        <f>"22275"</f>
        <v>22275</v>
      </c>
      <c r="B26" s="14" t="str">
        <f>"01660"</f>
        <v>01660</v>
      </c>
      <c r="C26" s="14" t="str">
        <f>"1700"</f>
        <v>1700</v>
      </c>
      <c r="D26" s="14" t="str">
        <f>"22275"</f>
        <v>22275</v>
      </c>
      <c r="E26" s="14" t="s">
        <v>868</v>
      </c>
      <c r="F26" s="14" t="s">
        <v>145</v>
      </c>
      <c r="G26" s="14" t="str">
        <f>"GR0022268"</f>
        <v>GR0022268</v>
      </c>
      <c r="H26" s="14" t="str">
        <f>" 10"</f>
        <v xml:space="preserve"> 10</v>
      </c>
      <c r="I26" s="14">
        <v>0.01</v>
      </c>
      <c r="J26" s="14">
        <v>500</v>
      </c>
      <c r="K26" s="14" t="s">
        <v>146</v>
      </c>
      <c r="L26" s="14" t="s">
        <v>147</v>
      </c>
      <c r="O26" s="14" t="s">
        <v>147</v>
      </c>
      <c r="P26" s="14" t="s">
        <v>701</v>
      </c>
      <c r="Q26" s="14" t="s">
        <v>701</v>
      </c>
      <c r="R26" s="14" t="s">
        <v>146</v>
      </c>
    </row>
    <row r="27" spans="1:18" s="14" customFormat="1" x14ac:dyDescent="0.25">
      <c r="A27" s="14" t="str">
        <f>"22275"</f>
        <v>22275</v>
      </c>
      <c r="B27" s="14" t="str">
        <f>"01660"</f>
        <v>01660</v>
      </c>
      <c r="C27" s="14" t="str">
        <f>"1700"</f>
        <v>1700</v>
      </c>
      <c r="D27" s="14" t="str">
        <f>"22275"</f>
        <v>22275</v>
      </c>
      <c r="E27" s="14" t="s">
        <v>868</v>
      </c>
      <c r="F27" s="14" t="s">
        <v>145</v>
      </c>
      <c r="G27" s="14" t="str">
        <f>"GR0022268"</f>
        <v>GR0022268</v>
      </c>
      <c r="H27" s="14" t="str">
        <f>" 20"</f>
        <v xml:space="preserve"> 20</v>
      </c>
      <c r="I27" s="14">
        <v>500.01</v>
      </c>
      <c r="J27" s="14">
        <v>9999999.9900000002</v>
      </c>
      <c r="K27" s="14" t="s">
        <v>147</v>
      </c>
      <c r="L27" s="14" t="s">
        <v>148</v>
      </c>
      <c r="O27" s="14" t="s">
        <v>147</v>
      </c>
      <c r="P27" s="14" t="s">
        <v>701</v>
      </c>
      <c r="Q27" s="14" t="s">
        <v>701</v>
      </c>
      <c r="R27" s="14" t="s">
        <v>146</v>
      </c>
    </row>
    <row r="28" spans="1:18" s="14" customFormat="1" x14ac:dyDescent="0.25">
      <c r="A28" s="14" t="str">
        <f>"22276"</f>
        <v>22276</v>
      </c>
      <c r="B28" s="14" t="str">
        <f>"01660"</f>
        <v>01660</v>
      </c>
      <c r="C28" s="14" t="str">
        <f>"1800"</f>
        <v>1800</v>
      </c>
      <c r="D28" s="14" t="str">
        <f>"22276"</f>
        <v>22276</v>
      </c>
      <c r="E28" s="14" t="s">
        <v>869</v>
      </c>
      <c r="F28" s="14" t="s">
        <v>145</v>
      </c>
      <c r="G28" s="14" t="str">
        <f>"GR0022268"</f>
        <v>GR0022268</v>
      </c>
      <c r="H28" s="14" t="str">
        <f>" 10"</f>
        <v xml:space="preserve"> 10</v>
      </c>
      <c r="I28" s="14">
        <v>0.01</v>
      </c>
      <c r="J28" s="14">
        <v>500</v>
      </c>
      <c r="K28" s="14" t="s">
        <v>146</v>
      </c>
      <c r="L28" s="14" t="s">
        <v>147</v>
      </c>
      <c r="O28" s="14" t="s">
        <v>147</v>
      </c>
      <c r="P28" s="14" t="s">
        <v>701</v>
      </c>
      <c r="Q28" s="14" t="s">
        <v>701</v>
      </c>
      <c r="R28" s="14" t="s">
        <v>146</v>
      </c>
    </row>
    <row r="29" spans="1:18" s="14" customFormat="1" x14ac:dyDescent="0.25">
      <c r="A29" s="14" t="str">
        <f>"22276"</f>
        <v>22276</v>
      </c>
      <c r="B29" s="14" t="str">
        <f>"01660"</f>
        <v>01660</v>
      </c>
      <c r="C29" s="14" t="str">
        <f>"1800"</f>
        <v>1800</v>
      </c>
      <c r="D29" s="14" t="str">
        <f>"22276"</f>
        <v>22276</v>
      </c>
      <c r="E29" s="14" t="s">
        <v>869</v>
      </c>
      <c r="F29" s="14" t="s">
        <v>145</v>
      </c>
      <c r="G29" s="14" t="str">
        <f>"GR0022268"</f>
        <v>GR0022268</v>
      </c>
      <c r="H29" s="14" t="str">
        <f>" 20"</f>
        <v xml:space="preserve"> 20</v>
      </c>
      <c r="I29" s="14">
        <v>500.01</v>
      </c>
      <c r="J29" s="14">
        <v>9999999.9900000002</v>
      </c>
      <c r="K29" s="14" t="s">
        <v>147</v>
      </c>
      <c r="L29" s="14" t="s">
        <v>148</v>
      </c>
      <c r="O29" s="14" t="s">
        <v>147</v>
      </c>
      <c r="P29" s="14" t="s">
        <v>701</v>
      </c>
      <c r="Q29" s="14" t="s">
        <v>701</v>
      </c>
      <c r="R29" s="14" t="s">
        <v>146</v>
      </c>
    </row>
    <row r="30" spans="1:18" s="14" customFormat="1" x14ac:dyDescent="0.25">
      <c r="A30" s="14" t="str">
        <f>"22277"</f>
        <v>22277</v>
      </c>
      <c r="B30" s="14" t="str">
        <f>"01660"</f>
        <v>01660</v>
      </c>
      <c r="C30" s="14" t="str">
        <f>"1600"</f>
        <v>1600</v>
      </c>
      <c r="D30" s="14" t="str">
        <f>"22277"</f>
        <v>22277</v>
      </c>
      <c r="E30" s="14" t="s">
        <v>870</v>
      </c>
      <c r="F30" s="14" t="s">
        <v>145</v>
      </c>
      <c r="G30" s="14" t="str">
        <f>"GR0022274"</f>
        <v>GR0022274</v>
      </c>
      <c r="H30" s="14" t="str">
        <f>" 10"</f>
        <v xml:space="preserve"> 10</v>
      </c>
      <c r="I30" s="14">
        <v>0.01</v>
      </c>
      <c r="J30" s="14">
        <v>500</v>
      </c>
      <c r="K30" s="14" t="s">
        <v>146</v>
      </c>
      <c r="L30" s="14" t="s">
        <v>147</v>
      </c>
      <c r="O30" s="14" t="s">
        <v>661</v>
      </c>
      <c r="P30" s="14" t="s">
        <v>701</v>
      </c>
      <c r="Q30" s="14" t="s">
        <v>701</v>
      </c>
      <c r="R30" s="14" t="s">
        <v>146</v>
      </c>
    </row>
    <row r="31" spans="1:18" s="14" customFormat="1" x14ac:dyDescent="0.25">
      <c r="A31" s="14" t="str">
        <f>"22277"</f>
        <v>22277</v>
      </c>
      <c r="B31" s="14" t="str">
        <f>"01660"</f>
        <v>01660</v>
      </c>
      <c r="C31" s="14" t="str">
        <f>"1600"</f>
        <v>1600</v>
      </c>
      <c r="D31" s="14" t="str">
        <f>"22277"</f>
        <v>22277</v>
      </c>
      <c r="E31" s="14" t="s">
        <v>870</v>
      </c>
      <c r="F31" s="14" t="s">
        <v>145</v>
      </c>
      <c r="G31" s="14" t="str">
        <f>"GR0022274"</f>
        <v>GR0022274</v>
      </c>
      <c r="H31" s="14" t="str">
        <f>" 20"</f>
        <v xml:space="preserve"> 20</v>
      </c>
      <c r="I31" s="14">
        <v>500.01</v>
      </c>
      <c r="J31" s="14">
        <v>9999999.9900000002</v>
      </c>
      <c r="K31" s="14" t="s">
        <v>147</v>
      </c>
      <c r="L31" s="14" t="s">
        <v>661</v>
      </c>
      <c r="O31" s="14" t="s">
        <v>661</v>
      </c>
      <c r="P31" s="14" t="s">
        <v>701</v>
      </c>
      <c r="Q31" s="14" t="s">
        <v>701</v>
      </c>
      <c r="R31" s="14" t="s">
        <v>146</v>
      </c>
    </row>
    <row r="32" spans="1:18" s="14" customFormat="1" x14ac:dyDescent="0.25">
      <c r="A32" s="14" t="str">
        <f>"22650"</f>
        <v>22650</v>
      </c>
      <c r="B32" s="14" t="str">
        <f>"01660"</f>
        <v>01660</v>
      </c>
      <c r="C32" s="14" t="str">
        <f>"1100"</f>
        <v>1100</v>
      </c>
      <c r="D32" s="14" t="str">
        <f>"22650"</f>
        <v>22650</v>
      </c>
      <c r="E32" s="14" t="s">
        <v>871</v>
      </c>
      <c r="F32" s="14" t="s">
        <v>145</v>
      </c>
      <c r="G32" s="14" t="str">
        <f>"GR0022650"</f>
        <v>GR0022650</v>
      </c>
      <c r="H32" s="14" t="str">
        <f>" 10"</f>
        <v xml:space="preserve"> 10</v>
      </c>
      <c r="I32" s="14">
        <v>0.01</v>
      </c>
      <c r="J32" s="14">
        <v>500</v>
      </c>
      <c r="K32" s="14" t="s">
        <v>146</v>
      </c>
      <c r="L32" s="14" t="s">
        <v>147</v>
      </c>
      <c r="O32" s="14" t="s">
        <v>147</v>
      </c>
      <c r="P32" s="14" t="s">
        <v>701</v>
      </c>
      <c r="Q32" s="14" t="s">
        <v>701</v>
      </c>
      <c r="R32" s="14" t="s">
        <v>146</v>
      </c>
    </row>
    <row r="33" spans="1:18" s="14" customFormat="1" x14ac:dyDescent="0.25">
      <c r="A33" s="14" t="str">
        <f>"22650"</f>
        <v>22650</v>
      </c>
      <c r="B33" s="14" t="str">
        <f>"01660"</f>
        <v>01660</v>
      </c>
      <c r="C33" s="14" t="str">
        <f>"1100"</f>
        <v>1100</v>
      </c>
      <c r="D33" s="14" t="str">
        <f>"22650"</f>
        <v>22650</v>
      </c>
      <c r="E33" s="14" t="s">
        <v>871</v>
      </c>
      <c r="F33" s="14" t="s">
        <v>145</v>
      </c>
      <c r="G33" s="14" t="str">
        <f>"GR0022650"</f>
        <v>GR0022650</v>
      </c>
      <c r="H33" s="14" t="str">
        <f>" 20"</f>
        <v xml:space="preserve"> 20</v>
      </c>
      <c r="I33" s="14">
        <v>500.01</v>
      </c>
      <c r="J33" s="14">
        <v>9999999.9900000002</v>
      </c>
      <c r="K33" s="14" t="s">
        <v>147</v>
      </c>
      <c r="L33" s="14" t="s">
        <v>148</v>
      </c>
      <c r="O33" s="14" t="s">
        <v>147</v>
      </c>
      <c r="P33" s="14" t="s">
        <v>701</v>
      </c>
      <c r="Q33" s="14" t="s">
        <v>701</v>
      </c>
      <c r="R33" s="14" t="s">
        <v>146</v>
      </c>
    </row>
    <row r="34" spans="1:18" s="14" customFormat="1" x14ac:dyDescent="0.25">
      <c r="A34" s="14" t="str">
        <f>"22651"</f>
        <v>22651</v>
      </c>
      <c r="B34" s="14" t="str">
        <f>"01800"</f>
        <v>01800</v>
      </c>
      <c r="C34" s="14" t="str">
        <f>"1200"</f>
        <v>1200</v>
      </c>
      <c r="D34" s="14" t="str">
        <f>"22651"</f>
        <v>22651</v>
      </c>
      <c r="E34" s="14" t="s">
        <v>872</v>
      </c>
      <c r="F34" s="14" t="s">
        <v>180</v>
      </c>
      <c r="G34" s="14" t="str">
        <f>"GR0022651"</f>
        <v>GR0022651</v>
      </c>
      <c r="H34" s="14" t="str">
        <f>" 00"</f>
        <v xml:space="preserve"> 00</v>
      </c>
      <c r="I34" s="14">
        <v>0.01</v>
      </c>
      <c r="J34" s="14">
        <v>9999999.9900000002</v>
      </c>
      <c r="K34" s="14" t="s">
        <v>114</v>
      </c>
      <c r="L34" s="14" t="s">
        <v>113</v>
      </c>
      <c r="M34" s="14" t="s">
        <v>112</v>
      </c>
      <c r="N34" s="14" t="s">
        <v>181</v>
      </c>
      <c r="O34" s="14" t="s">
        <v>873</v>
      </c>
      <c r="P34" s="14" t="s">
        <v>701</v>
      </c>
      <c r="Q34" s="14" t="s">
        <v>701</v>
      </c>
      <c r="R34" s="14" t="s">
        <v>115</v>
      </c>
    </row>
    <row r="35" spans="1:18" s="14" customFormat="1" x14ac:dyDescent="0.25">
      <c r="A35" s="14" t="str">
        <f>"22654"</f>
        <v>22654</v>
      </c>
      <c r="B35" s="14" t="str">
        <f>"05080"</f>
        <v>05080</v>
      </c>
      <c r="C35" s="14" t="str">
        <f>"1600"</f>
        <v>1600</v>
      </c>
      <c r="D35" s="14" t="str">
        <f>"22654"</f>
        <v>22654</v>
      </c>
      <c r="E35" s="14" t="s">
        <v>874</v>
      </c>
      <c r="F35" s="14" t="s">
        <v>385</v>
      </c>
      <c r="G35" s="14" t="str">
        <f>"GR0022654"</f>
        <v>GR0022654</v>
      </c>
      <c r="H35" s="14" t="str">
        <f>" 00"</f>
        <v xml:space="preserve"> 00</v>
      </c>
      <c r="I35" s="14">
        <v>0.01</v>
      </c>
      <c r="J35" s="14">
        <v>9999999.9900000002</v>
      </c>
      <c r="K35" s="14" t="s">
        <v>386</v>
      </c>
      <c r="L35" s="14" t="s">
        <v>875</v>
      </c>
      <c r="M35" s="14" t="s">
        <v>53</v>
      </c>
      <c r="O35" s="14" t="s">
        <v>386</v>
      </c>
      <c r="P35" s="14" t="s">
        <v>701</v>
      </c>
      <c r="Q35" s="14" t="s">
        <v>701</v>
      </c>
      <c r="R35" s="14" t="s">
        <v>875</v>
      </c>
    </row>
    <row r="36" spans="1:18" s="14" customFormat="1" x14ac:dyDescent="0.25">
      <c r="A36" s="14" t="str">
        <f>"22655"</f>
        <v>22655</v>
      </c>
      <c r="B36" s="14" t="str">
        <f>"01660"</f>
        <v>01660</v>
      </c>
      <c r="C36" s="14" t="str">
        <f>"1600"</f>
        <v>1600</v>
      </c>
      <c r="D36" s="14" t="str">
        <f>"22655"</f>
        <v>22655</v>
      </c>
      <c r="E36" s="14" t="s">
        <v>876</v>
      </c>
      <c r="F36" s="14" t="s">
        <v>145</v>
      </c>
      <c r="G36" s="14" t="str">
        <f>"GR0022655"</f>
        <v>GR0022655</v>
      </c>
      <c r="H36" s="14" t="str">
        <f>" 10"</f>
        <v xml:space="preserve"> 10</v>
      </c>
      <c r="I36" s="14">
        <v>0.01</v>
      </c>
      <c r="J36" s="14">
        <v>500</v>
      </c>
      <c r="K36" s="14" t="s">
        <v>146</v>
      </c>
      <c r="L36" s="14" t="s">
        <v>147</v>
      </c>
      <c r="O36" s="14" t="s">
        <v>661</v>
      </c>
      <c r="P36" s="14" t="s">
        <v>701</v>
      </c>
      <c r="Q36" s="14" t="s">
        <v>701</v>
      </c>
      <c r="R36" s="14" t="s">
        <v>146</v>
      </c>
    </row>
    <row r="37" spans="1:18" s="14" customFormat="1" x14ac:dyDescent="0.25">
      <c r="A37" s="14" t="str">
        <f>"22655"</f>
        <v>22655</v>
      </c>
      <c r="B37" s="14" t="str">
        <f>"01660"</f>
        <v>01660</v>
      </c>
      <c r="C37" s="14" t="str">
        <f>"1600"</f>
        <v>1600</v>
      </c>
      <c r="D37" s="14" t="str">
        <f>"22655"</f>
        <v>22655</v>
      </c>
      <c r="E37" s="14" t="s">
        <v>876</v>
      </c>
      <c r="F37" s="14" t="s">
        <v>145</v>
      </c>
      <c r="G37" s="14" t="str">
        <f>"GR0022655"</f>
        <v>GR0022655</v>
      </c>
      <c r="H37" s="14" t="str">
        <f>" 20"</f>
        <v xml:space="preserve"> 20</v>
      </c>
      <c r="I37" s="14">
        <v>500.01</v>
      </c>
      <c r="J37" s="14">
        <v>9999999.9900000002</v>
      </c>
      <c r="K37" s="14" t="s">
        <v>147</v>
      </c>
      <c r="L37" s="14" t="s">
        <v>661</v>
      </c>
      <c r="O37" s="14" t="s">
        <v>661</v>
      </c>
      <c r="P37" s="14" t="s">
        <v>701</v>
      </c>
      <c r="Q37" s="14" t="s">
        <v>701</v>
      </c>
      <c r="R37" s="14" t="s">
        <v>146</v>
      </c>
    </row>
    <row r="38" spans="1:18" s="14" customFormat="1" x14ac:dyDescent="0.25">
      <c r="A38" s="14" t="str">
        <f>"22656"</f>
        <v>22656</v>
      </c>
      <c r="B38" s="14" t="str">
        <f>"01800"</f>
        <v>01800</v>
      </c>
      <c r="C38" s="14" t="str">
        <f>"1200"</f>
        <v>1200</v>
      </c>
      <c r="D38" s="14" t="str">
        <f>"22656"</f>
        <v>22656</v>
      </c>
      <c r="E38" s="14" t="s">
        <v>877</v>
      </c>
      <c r="F38" s="14" t="s">
        <v>180</v>
      </c>
      <c r="G38" s="14" t="str">
        <f>"GR0022656"</f>
        <v>GR0022656</v>
      </c>
      <c r="H38" s="14" t="str">
        <f>" 00"</f>
        <v xml:space="preserve"> 00</v>
      </c>
      <c r="I38" s="14">
        <v>0.01</v>
      </c>
      <c r="J38" s="14">
        <v>9999999.9900000002</v>
      </c>
      <c r="K38" s="14" t="s">
        <v>113</v>
      </c>
      <c r="L38" s="14" t="s">
        <v>112</v>
      </c>
      <c r="M38" s="14" t="s">
        <v>181</v>
      </c>
      <c r="N38" s="14" t="s">
        <v>114</v>
      </c>
      <c r="O38" s="14" t="s">
        <v>873</v>
      </c>
      <c r="P38" s="14" t="s">
        <v>701</v>
      </c>
      <c r="Q38" s="14" t="s">
        <v>701</v>
      </c>
      <c r="R38" s="14" t="s">
        <v>115</v>
      </c>
    </row>
    <row r="39" spans="1:18" s="14" customFormat="1" x14ac:dyDescent="0.25">
      <c r="A39" s="14" t="str">
        <f>"22657"</f>
        <v>22657</v>
      </c>
      <c r="B39" s="14" t="str">
        <f>"01830"</f>
        <v>01830</v>
      </c>
      <c r="C39" s="14" t="str">
        <f>"1200"</f>
        <v>1200</v>
      </c>
      <c r="D39" s="14" t="str">
        <f>"22657"</f>
        <v>22657</v>
      </c>
      <c r="E39" s="14" t="s">
        <v>1927</v>
      </c>
      <c r="F39" s="14" t="s">
        <v>187</v>
      </c>
      <c r="G39" s="14" t="str">
        <f>"GR0022657"</f>
        <v>GR0022657</v>
      </c>
      <c r="H39" s="14" t="str">
        <f>" 00"</f>
        <v xml:space="preserve"> 00</v>
      </c>
      <c r="I39" s="14">
        <v>0.01</v>
      </c>
      <c r="J39" s="14">
        <v>9999999.9900000002</v>
      </c>
      <c r="K39" s="14" t="s">
        <v>113</v>
      </c>
      <c r="L39" s="14" t="s">
        <v>112</v>
      </c>
      <c r="O39" s="14" t="s">
        <v>853</v>
      </c>
      <c r="P39" s="14" t="s">
        <v>701</v>
      </c>
      <c r="Q39" s="14" t="s">
        <v>701</v>
      </c>
      <c r="R39" s="14" t="s">
        <v>115</v>
      </c>
    </row>
    <row r="40" spans="1:18" s="14" customFormat="1" x14ac:dyDescent="0.25">
      <c r="A40" s="14" t="str">
        <f>"22658"</f>
        <v>22658</v>
      </c>
      <c r="B40" s="14" t="str">
        <f>"01100"</f>
        <v>01100</v>
      </c>
      <c r="C40" s="14" t="str">
        <f>"1930"</f>
        <v>1930</v>
      </c>
      <c r="D40" s="14" t="str">
        <f>"22658"</f>
        <v>22658</v>
      </c>
      <c r="E40" s="14" t="s">
        <v>1932</v>
      </c>
      <c r="F40" s="14" t="s">
        <v>725</v>
      </c>
      <c r="G40" s="14" t="str">
        <f>"GR0022658"</f>
        <v>GR0022658</v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55</v>
      </c>
      <c r="L40" s="14" t="s">
        <v>726</v>
      </c>
      <c r="M40" s="14" t="s">
        <v>53</v>
      </c>
      <c r="O40" s="14" t="s">
        <v>64</v>
      </c>
      <c r="P40" s="14" t="s">
        <v>701</v>
      </c>
      <c r="Q40" s="14" t="s">
        <v>701</v>
      </c>
      <c r="R40" s="14" t="s">
        <v>727</v>
      </c>
    </row>
    <row r="41" spans="1:18" s="14" customFormat="1" x14ac:dyDescent="0.25">
      <c r="A41" s="14" t="str">
        <f>"22659"</f>
        <v>22659</v>
      </c>
      <c r="B41" s="14" t="str">
        <f>"01100"</f>
        <v>01100</v>
      </c>
      <c r="C41" s="14" t="str">
        <f>"1930"</f>
        <v>1930</v>
      </c>
      <c r="D41" s="14" t="str">
        <f>"22658"</f>
        <v>22658</v>
      </c>
      <c r="E41" s="14" t="s">
        <v>1931</v>
      </c>
      <c r="F41" s="14" t="s">
        <v>725</v>
      </c>
      <c r="G41" s="14" t="str">
        <f>"GR0022658"</f>
        <v>GR0022658</v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55</v>
      </c>
      <c r="L41" s="14" t="s">
        <v>726</v>
      </c>
      <c r="M41" s="14" t="s">
        <v>53</v>
      </c>
      <c r="O41" s="14" t="s">
        <v>64</v>
      </c>
      <c r="P41" s="14" t="s">
        <v>701</v>
      </c>
      <c r="Q41" s="14" t="s">
        <v>701</v>
      </c>
      <c r="R41" s="14" t="s">
        <v>727</v>
      </c>
    </row>
    <row r="42" spans="1:18" s="14" customFormat="1" x14ac:dyDescent="0.25">
      <c r="A42" s="14" t="str">
        <f>"24269"</f>
        <v>24269</v>
      </c>
      <c r="B42" s="14" t="str">
        <f>"01370"</f>
        <v>01370</v>
      </c>
      <c r="C42" s="14" t="str">
        <f>"1600"</f>
        <v>1600</v>
      </c>
      <c r="D42" s="14" t="str">
        <f>""</f>
        <v/>
      </c>
      <c r="E42" s="14" t="s">
        <v>889</v>
      </c>
      <c r="F42" s="14" t="s">
        <v>108</v>
      </c>
      <c r="G42" s="14" t="str">
        <f>"GR0024269"</f>
        <v>GR0024269</v>
      </c>
      <c r="H42" s="14" t="str">
        <f>" 00"</f>
        <v xml:space="preserve"> 00</v>
      </c>
      <c r="I42" s="14">
        <v>0.01</v>
      </c>
      <c r="J42" s="14">
        <v>9999999.9900000002</v>
      </c>
      <c r="K42" s="14" t="s">
        <v>69</v>
      </c>
      <c r="L42" s="14" t="s">
        <v>109</v>
      </c>
      <c r="M42" s="14" t="s">
        <v>70</v>
      </c>
      <c r="N42" s="14" t="s">
        <v>890</v>
      </c>
      <c r="O42" s="14" t="s">
        <v>890</v>
      </c>
      <c r="P42" s="14" t="s">
        <v>701</v>
      </c>
      <c r="Q42" s="14" t="s">
        <v>701</v>
      </c>
      <c r="R42" s="14" t="s">
        <v>109</v>
      </c>
    </row>
    <row r="43" spans="1:18" s="14" customFormat="1" x14ac:dyDescent="0.25">
      <c r="A43" s="14" t="str">
        <f>"24270"</f>
        <v>24270</v>
      </c>
      <c r="B43" s="14" t="str">
        <f>"01370"</f>
        <v>01370</v>
      </c>
      <c r="C43" s="14" t="str">
        <f>"1600"</f>
        <v>1600</v>
      </c>
      <c r="D43" s="14" t="str">
        <f>""</f>
        <v/>
      </c>
      <c r="E43" s="14" t="s">
        <v>891</v>
      </c>
      <c r="F43" s="14" t="s">
        <v>108</v>
      </c>
      <c r="G43" s="14" t="str">
        <f>"GR0024270"</f>
        <v>GR0024270</v>
      </c>
      <c r="H43" s="14" t="str">
        <f>" 00"</f>
        <v xml:space="preserve"> 00</v>
      </c>
      <c r="I43" s="14">
        <v>0.01</v>
      </c>
      <c r="J43" s="14">
        <v>9999999.9900000002</v>
      </c>
      <c r="K43" s="14" t="s">
        <v>69</v>
      </c>
      <c r="L43" s="14" t="s">
        <v>109</v>
      </c>
      <c r="M43" s="14" t="s">
        <v>70</v>
      </c>
      <c r="N43" s="14" t="s">
        <v>890</v>
      </c>
      <c r="O43" s="14" t="s">
        <v>890</v>
      </c>
      <c r="P43" s="14" t="s">
        <v>701</v>
      </c>
      <c r="Q43" s="14" t="s">
        <v>701</v>
      </c>
      <c r="R43" s="14" t="s">
        <v>109</v>
      </c>
    </row>
    <row r="44" spans="1:18" s="14" customFormat="1" x14ac:dyDescent="0.25">
      <c r="A44" s="14" t="str">
        <f>"24271"</f>
        <v>24271</v>
      </c>
      <c r="B44" s="14" t="str">
        <f>"01810"</f>
        <v>01810</v>
      </c>
      <c r="C44" s="14" t="str">
        <f>"1700"</f>
        <v>1700</v>
      </c>
      <c r="D44" s="14" t="str">
        <f>"24271"</f>
        <v>24271</v>
      </c>
      <c r="E44" s="14" t="s">
        <v>892</v>
      </c>
      <c r="F44" s="14" t="s">
        <v>183</v>
      </c>
      <c r="G44" s="14" t="str">
        <f>"GR0024271"</f>
        <v>GR0024271</v>
      </c>
      <c r="H44" s="14" t="str">
        <f>" 00"</f>
        <v xml:space="preserve"> 00</v>
      </c>
      <c r="I44" s="14">
        <v>0.01</v>
      </c>
      <c r="J44" s="14">
        <v>9999999.9900000002</v>
      </c>
      <c r="K44" s="14" t="s">
        <v>184</v>
      </c>
      <c r="L44" s="14" t="s">
        <v>112</v>
      </c>
      <c r="M44" s="14" t="s">
        <v>113</v>
      </c>
      <c r="N44" s="14" t="s">
        <v>114</v>
      </c>
      <c r="O44" s="14" t="s">
        <v>184</v>
      </c>
      <c r="P44" s="14" t="s">
        <v>701</v>
      </c>
      <c r="Q44" s="14" t="s">
        <v>701</v>
      </c>
      <c r="R44" s="14" t="s">
        <v>115</v>
      </c>
    </row>
    <row r="45" spans="1:18" s="14" customFormat="1" x14ac:dyDescent="0.25">
      <c r="A45" s="14" t="str">
        <f>"24272"</f>
        <v>24272</v>
      </c>
      <c r="B45" s="14" t="str">
        <f>"01810"</f>
        <v>01810</v>
      </c>
      <c r="C45" s="14" t="str">
        <f>"1800"</f>
        <v>1800</v>
      </c>
      <c r="D45" s="14" t="str">
        <f>""</f>
        <v/>
      </c>
      <c r="E45" s="14" t="s">
        <v>893</v>
      </c>
      <c r="F45" s="14" t="s">
        <v>183</v>
      </c>
      <c r="G45" s="14" t="str">
        <f>"GR0024271"</f>
        <v>GR0024271</v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184</v>
      </c>
      <c r="L45" s="14" t="s">
        <v>112</v>
      </c>
      <c r="M45" s="14" t="s">
        <v>113</v>
      </c>
      <c r="N45" s="14" t="s">
        <v>114</v>
      </c>
      <c r="O45" s="14" t="s">
        <v>184</v>
      </c>
      <c r="P45" s="14" t="s">
        <v>701</v>
      </c>
      <c r="Q45" s="14" t="s">
        <v>701</v>
      </c>
      <c r="R45" s="14" t="s">
        <v>115</v>
      </c>
    </row>
    <row r="46" spans="1:18" s="14" customFormat="1" x14ac:dyDescent="0.25">
      <c r="A46" s="14" t="str">
        <f>"24273"</f>
        <v>24273</v>
      </c>
      <c r="B46" s="14" t="str">
        <f>"01390"</f>
        <v>01390</v>
      </c>
      <c r="C46" s="14" t="str">
        <f>"1700"</f>
        <v>1700</v>
      </c>
      <c r="D46" s="14" t="str">
        <f>"24273"</f>
        <v>24273</v>
      </c>
      <c r="E46" s="14" t="s">
        <v>894</v>
      </c>
      <c r="F46" s="14" t="s">
        <v>116</v>
      </c>
      <c r="G46" s="14" t="str">
        <f>"GR0024273"</f>
        <v>GR0024273</v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113</v>
      </c>
      <c r="L46" s="14" t="s">
        <v>112</v>
      </c>
      <c r="M46" s="14" t="s">
        <v>114</v>
      </c>
      <c r="O46" s="14" t="s">
        <v>895</v>
      </c>
      <c r="P46" s="14" t="s">
        <v>701</v>
      </c>
      <c r="Q46" s="14" t="s">
        <v>701</v>
      </c>
      <c r="R46" s="14" t="s">
        <v>115</v>
      </c>
    </row>
    <row r="47" spans="1:18" s="14" customFormat="1" x14ac:dyDescent="0.25">
      <c r="A47" s="14" t="str">
        <f>"24276"</f>
        <v>24276</v>
      </c>
      <c r="B47" s="14" t="str">
        <f>"01370"</f>
        <v>01370</v>
      </c>
      <c r="C47" s="14" t="str">
        <f>"1100"</f>
        <v>1100</v>
      </c>
      <c r="D47" s="14" t="str">
        <f>"24276"</f>
        <v>24276</v>
      </c>
      <c r="E47" s="14" t="s">
        <v>896</v>
      </c>
      <c r="F47" s="14" t="s">
        <v>108</v>
      </c>
      <c r="G47" s="14" t="str">
        <f>"GR0024268"</f>
        <v>GR0024268</v>
      </c>
      <c r="H47" s="14" t="str">
        <f>" 00"</f>
        <v xml:space="preserve"> 00</v>
      </c>
      <c r="I47" s="14">
        <v>0.01</v>
      </c>
      <c r="J47" s="14">
        <v>9999999.9900000002</v>
      </c>
      <c r="K47" s="14" t="s">
        <v>69</v>
      </c>
      <c r="L47" s="14" t="s">
        <v>70</v>
      </c>
      <c r="M47" s="14" t="s">
        <v>71</v>
      </c>
      <c r="O47" s="14" t="s">
        <v>897</v>
      </c>
      <c r="P47" s="14" t="s">
        <v>701</v>
      </c>
      <c r="Q47" s="14" t="s">
        <v>701</v>
      </c>
      <c r="R47" s="14" t="s">
        <v>898</v>
      </c>
    </row>
    <row r="48" spans="1:18" s="14" customFormat="1" x14ac:dyDescent="0.25">
      <c r="A48" s="14" t="str">
        <f>"24277"</f>
        <v>24277</v>
      </c>
      <c r="B48" s="14" t="str">
        <f>"01810"</f>
        <v>01810</v>
      </c>
      <c r="C48" s="14" t="str">
        <f>"1700"</f>
        <v>1700</v>
      </c>
      <c r="D48" s="14" t="str">
        <f>"24277"</f>
        <v>24277</v>
      </c>
      <c r="E48" s="14" t="s">
        <v>899</v>
      </c>
      <c r="F48" s="14" t="s">
        <v>183</v>
      </c>
      <c r="G48" s="14" t="str">
        <f>"GR0024277"</f>
        <v>GR0024277</v>
      </c>
      <c r="H48" s="14" t="str">
        <f>" 00"</f>
        <v xml:space="preserve"> 00</v>
      </c>
      <c r="I48" s="14">
        <v>0.01</v>
      </c>
      <c r="J48" s="14">
        <v>9999999.9900000002</v>
      </c>
      <c r="K48" s="14" t="s">
        <v>184</v>
      </c>
      <c r="L48" s="14" t="s">
        <v>112</v>
      </c>
      <c r="M48" s="14" t="s">
        <v>113</v>
      </c>
      <c r="N48" s="14" t="s">
        <v>114</v>
      </c>
      <c r="O48" s="14" t="s">
        <v>184</v>
      </c>
      <c r="P48" s="14" t="s">
        <v>701</v>
      </c>
      <c r="Q48" s="14" t="s">
        <v>701</v>
      </c>
      <c r="R48" s="14" t="s">
        <v>115</v>
      </c>
    </row>
    <row r="49" spans="1:18" s="14" customFormat="1" x14ac:dyDescent="0.25">
      <c r="A49" s="14" t="str">
        <f>"24278"</f>
        <v>24278</v>
      </c>
      <c r="B49" s="14" t="str">
        <f>"01810"</f>
        <v>01810</v>
      </c>
      <c r="C49" s="14" t="str">
        <f>"1800"</f>
        <v>1800</v>
      </c>
      <c r="D49" s="14" t="str">
        <f>""</f>
        <v/>
      </c>
      <c r="E49" s="14" t="s">
        <v>900</v>
      </c>
      <c r="F49" s="14" t="s">
        <v>183</v>
      </c>
      <c r="G49" s="14" t="str">
        <f>"GR0024277"</f>
        <v>GR0024277</v>
      </c>
      <c r="H49" s="14" t="str">
        <f>" 00"</f>
        <v xml:space="preserve"> 00</v>
      </c>
      <c r="I49" s="14">
        <v>0.01</v>
      </c>
      <c r="J49" s="14">
        <v>9999999.9900000002</v>
      </c>
      <c r="K49" s="14" t="s">
        <v>184</v>
      </c>
      <c r="L49" s="14" t="s">
        <v>112</v>
      </c>
      <c r="M49" s="14" t="s">
        <v>113</v>
      </c>
      <c r="N49" s="14" t="s">
        <v>114</v>
      </c>
      <c r="O49" s="14" t="s">
        <v>184</v>
      </c>
      <c r="P49" s="14" t="s">
        <v>701</v>
      </c>
      <c r="Q49" s="14" t="s">
        <v>701</v>
      </c>
      <c r="R49" s="14" t="s">
        <v>115</v>
      </c>
    </row>
    <row r="50" spans="1:18" s="14" customFormat="1" x14ac:dyDescent="0.25">
      <c r="A50" s="14" t="str">
        <f>"24279"</f>
        <v>24279</v>
      </c>
      <c r="B50" s="14" t="str">
        <f>"01390"</f>
        <v>01390</v>
      </c>
      <c r="C50" s="14" t="str">
        <f>"1700"</f>
        <v>1700</v>
      </c>
      <c r="D50" s="14" t="str">
        <f>"24279"</f>
        <v>24279</v>
      </c>
      <c r="E50" s="14" t="s">
        <v>901</v>
      </c>
      <c r="F50" s="14" t="s">
        <v>116</v>
      </c>
      <c r="G50" s="14" t="str">
        <f>"GR0024279"</f>
        <v>GR0024279</v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113</v>
      </c>
      <c r="L50" s="14" t="s">
        <v>112</v>
      </c>
      <c r="M50" s="14" t="s">
        <v>114</v>
      </c>
      <c r="O50" s="14" t="s">
        <v>895</v>
      </c>
      <c r="P50" s="14" t="s">
        <v>701</v>
      </c>
      <c r="Q50" s="14" t="s">
        <v>701</v>
      </c>
      <c r="R50" s="14" t="s">
        <v>115</v>
      </c>
    </row>
    <row r="51" spans="1:18" s="14" customFormat="1" x14ac:dyDescent="0.25">
      <c r="A51" s="14" t="str">
        <f>"24280"</f>
        <v>24280</v>
      </c>
      <c r="B51" s="14" t="str">
        <f>"01390"</f>
        <v>01390</v>
      </c>
      <c r="C51" s="14" t="str">
        <f>"1800"</f>
        <v>1800</v>
      </c>
      <c r="D51" s="14" t="str">
        <f>""</f>
        <v/>
      </c>
      <c r="E51" s="14" t="s">
        <v>902</v>
      </c>
      <c r="F51" s="14" t="s">
        <v>116</v>
      </c>
      <c r="G51" s="14" t="str">
        <f>"GR0024279"</f>
        <v>GR0024279</v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113</v>
      </c>
      <c r="L51" s="14" t="s">
        <v>112</v>
      </c>
      <c r="M51" s="14" t="s">
        <v>114</v>
      </c>
      <c r="O51" s="14" t="s">
        <v>895</v>
      </c>
      <c r="P51" s="14" t="s">
        <v>701</v>
      </c>
      <c r="Q51" s="14" t="s">
        <v>701</v>
      </c>
      <c r="R51" s="14" t="s">
        <v>115</v>
      </c>
    </row>
    <row r="52" spans="1:18" s="14" customFormat="1" x14ac:dyDescent="0.25">
      <c r="A52" s="14" t="str">
        <f>"24281"</f>
        <v>24281</v>
      </c>
      <c r="B52" s="14" t="str">
        <f>"05000"</f>
        <v>05000</v>
      </c>
      <c r="C52" s="14" t="str">
        <f>"1700"</f>
        <v>1700</v>
      </c>
      <c r="D52" s="14" t="str">
        <f>"24281"</f>
        <v>24281</v>
      </c>
      <c r="E52" s="14" t="s">
        <v>903</v>
      </c>
      <c r="F52" s="14" t="s">
        <v>366</v>
      </c>
      <c r="G52" s="14" t="str">
        <f>"GR0024281"</f>
        <v>GR0024281</v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47</v>
      </c>
      <c r="L52" s="14" t="s">
        <v>37</v>
      </c>
      <c r="M52" s="14" t="s">
        <v>370</v>
      </c>
      <c r="O52" s="14" t="s">
        <v>47</v>
      </c>
      <c r="P52" s="14" t="s">
        <v>701</v>
      </c>
      <c r="Q52" s="14" t="s">
        <v>701</v>
      </c>
      <c r="R52" s="14" t="s">
        <v>367</v>
      </c>
    </row>
    <row r="53" spans="1:18" s="14" customFormat="1" x14ac:dyDescent="0.25">
      <c r="A53" s="14" t="str">
        <f>"24282"</f>
        <v>24282</v>
      </c>
      <c r="B53" s="14" t="str">
        <f>"01390"</f>
        <v>01390</v>
      </c>
      <c r="C53" s="14" t="str">
        <f>"1100"</f>
        <v>1100</v>
      </c>
      <c r="D53" s="14" t="str">
        <f>"24282"</f>
        <v>24282</v>
      </c>
      <c r="E53" s="14" t="s">
        <v>1928</v>
      </c>
      <c r="F53" s="14" t="s">
        <v>116</v>
      </c>
      <c r="G53" s="14" t="str">
        <f>"GR0024282"</f>
        <v>GR0024282</v>
      </c>
      <c r="H53" s="14" t="str">
        <f>" 00"</f>
        <v xml:space="preserve"> 00</v>
      </c>
      <c r="I53" s="14">
        <v>0.01</v>
      </c>
      <c r="J53" s="14">
        <v>9999999.9900000002</v>
      </c>
      <c r="K53" s="14" t="s">
        <v>112</v>
      </c>
      <c r="L53" s="14" t="s">
        <v>113</v>
      </c>
      <c r="M53" s="14" t="s">
        <v>114</v>
      </c>
      <c r="O53" s="14" t="s">
        <v>1929</v>
      </c>
      <c r="P53" s="14" t="s">
        <v>701</v>
      </c>
      <c r="Q53" s="14" t="s">
        <v>701</v>
      </c>
      <c r="R53" s="14" t="s">
        <v>115</v>
      </c>
    </row>
    <row r="54" spans="1:18" s="14" customFormat="1" x14ac:dyDescent="0.25">
      <c r="A54" s="14" t="str">
        <f>"24435"</f>
        <v>24435</v>
      </c>
      <c r="B54" s="14" t="str">
        <f>"01110"</f>
        <v>01110</v>
      </c>
      <c r="C54" s="14" t="str">
        <f>"1930"</f>
        <v>1930</v>
      </c>
      <c r="D54" s="14" t="str">
        <f>"24435"</f>
        <v>24435</v>
      </c>
      <c r="E54" s="14" t="s">
        <v>904</v>
      </c>
      <c r="F54" s="14" t="s">
        <v>905</v>
      </c>
      <c r="G54" s="14" t="str">
        <f>"GR0024435"</f>
        <v>GR0024435</v>
      </c>
      <c r="H54" s="14" t="str">
        <f>" 10"</f>
        <v xml:space="preserve"> 10</v>
      </c>
      <c r="I54" s="14">
        <v>0.01</v>
      </c>
      <c r="J54" s="14">
        <v>500</v>
      </c>
      <c r="K54" s="14" t="s">
        <v>727</v>
      </c>
      <c r="L54" s="14" t="s">
        <v>906</v>
      </c>
      <c r="M54" s="14" t="s">
        <v>55</v>
      </c>
      <c r="N54" s="14" t="s">
        <v>907</v>
      </c>
      <c r="O54" s="14" t="s">
        <v>55</v>
      </c>
      <c r="P54" s="14" t="s">
        <v>701</v>
      </c>
      <c r="Q54" s="14" t="s">
        <v>701</v>
      </c>
      <c r="R54" s="14" t="s">
        <v>727</v>
      </c>
    </row>
    <row r="55" spans="1:18" s="14" customFormat="1" x14ac:dyDescent="0.25">
      <c r="A55" s="14" t="str">
        <f>"24435"</f>
        <v>24435</v>
      </c>
      <c r="B55" s="14" t="str">
        <f>"01110"</f>
        <v>01110</v>
      </c>
      <c r="C55" s="14" t="str">
        <f>"1930"</f>
        <v>1930</v>
      </c>
      <c r="D55" s="14" t="str">
        <f>"24435"</f>
        <v>24435</v>
      </c>
      <c r="E55" s="14" t="s">
        <v>904</v>
      </c>
      <c r="F55" s="14" t="s">
        <v>905</v>
      </c>
      <c r="G55" s="14" t="str">
        <f>"GR0024435"</f>
        <v>GR0024435</v>
      </c>
      <c r="H55" s="14" t="str">
        <f>" 20"</f>
        <v xml:space="preserve"> 20</v>
      </c>
      <c r="I55" s="14">
        <v>500.01</v>
      </c>
      <c r="J55" s="14">
        <v>9999999.9900000002</v>
      </c>
      <c r="K55" s="14" t="s">
        <v>906</v>
      </c>
      <c r="L55" s="14" t="s">
        <v>55</v>
      </c>
      <c r="M55" s="14" t="s">
        <v>53</v>
      </c>
      <c r="N55" s="14" t="s">
        <v>907</v>
      </c>
      <c r="O55" s="14" t="s">
        <v>55</v>
      </c>
      <c r="P55" s="14" t="s">
        <v>701</v>
      </c>
      <c r="Q55" s="14" t="s">
        <v>701</v>
      </c>
      <c r="R55" s="14" t="s">
        <v>727</v>
      </c>
    </row>
    <row r="56" spans="1:18" s="14" customFormat="1" x14ac:dyDescent="0.25">
      <c r="A56" s="14" t="str">
        <f>"24538"</f>
        <v>24538</v>
      </c>
      <c r="B56" s="14" t="str">
        <f>"01660"</f>
        <v>01660</v>
      </c>
      <c r="C56" s="14" t="str">
        <f>"1600"</f>
        <v>1600</v>
      </c>
      <c r="D56" s="14" t="str">
        <f>"24538"</f>
        <v>24538</v>
      </c>
      <c r="E56" s="14" t="s">
        <v>908</v>
      </c>
      <c r="F56" s="14" t="s">
        <v>145</v>
      </c>
      <c r="G56" s="14" t="str">
        <f>"GR0024538"</f>
        <v>GR0024538</v>
      </c>
      <c r="H56" s="14" t="str">
        <f>" 10"</f>
        <v xml:space="preserve"> 10</v>
      </c>
      <c r="I56" s="14">
        <v>0.01</v>
      </c>
      <c r="J56" s="14">
        <v>500</v>
      </c>
      <c r="K56" s="14" t="s">
        <v>146</v>
      </c>
      <c r="L56" s="14" t="s">
        <v>147</v>
      </c>
      <c r="O56" s="14" t="s">
        <v>661</v>
      </c>
      <c r="P56" s="14" t="s">
        <v>701</v>
      </c>
      <c r="Q56" s="14" t="s">
        <v>701</v>
      </c>
      <c r="R56" s="14" t="s">
        <v>146</v>
      </c>
    </row>
    <row r="57" spans="1:18" s="14" customFormat="1" x14ac:dyDescent="0.25">
      <c r="A57" s="14" t="str">
        <f>"24538"</f>
        <v>24538</v>
      </c>
      <c r="B57" s="14" t="str">
        <f>"01660"</f>
        <v>01660</v>
      </c>
      <c r="C57" s="14" t="str">
        <f>"1600"</f>
        <v>1600</v>
      </c>
      <c r="D57" s="14" t="str">
        <f>"24538"</f>
        <v>24538</v>
      </c>
      <c r="E57" s="14" t="s">
        <v>908</v>
      </c>
      <c r="F57" s="14" t="s">
        <v>145</v>
      </c>
      <c r="G57" s="14" t="str">
        <f>"GR0024538"</f>
        <v>GR0024538</v>
      </c>
      <c r="H57" s="14" t="str">
        <f>" 20"</f>
        <v xml:space="preserve"> 20</v>
      </c>
      <c r="I57" s="14">
        <v>500.01</v>
      </c>
      <c r="J57" s="14">
        <v>9999999.9900000002</v>
      </c>
      <c r="K57" s="14" t="s">
        <v>147</v>
      </c>
      <c r="L57" s="14" t="s">
        <v>661</v>
      </c>
      <c r="O57" s="14" t="s">
        <v>661</v>
      </c>
      <c r="P57" s="14" t="s">
        <v>701</v>
      </c>
      <c r="Q57" s="14" t="s">
        <v>701</v>
      </c>
      <c r="R57" s="14" t="s">
        <v>146</v>
      </c>
    </row>
    <row r="58" spans="1:18" s="14" customFormat="1" x14ac:dyDescent="0.25">
      <c r="A58" s="14" t="str">
        <f>"24539"</f>
        <v>24539</v>
      </c>
      <c r="B58" s="14" t="str">
        <f>"01660"</f>
        <v>01660</v>
      </c>
      <c r="C58" s="14" t="str">
        <f>"1600"</f>
        <v>1600</v>
      </c>
      <c r="D58" s="14" t="str">
        <f>"24539"</f>
        <v>24539</v>
      </c>
      <c r="E58" s="14" t="s">
        <v>909</v>
      </c>
      <c r="F58" s="14" t="s">
        <v>145</v>
      </c>
      <c r="G58" s="14" t="str">
        <f>"GR0024538"</f>
        <v>GR0024538</v>
      </c>
      <c r="H58" s="14" t="str">
        <f>" 10"</f>
        <v xml:space="preserve"> 10</v>
      </c>
      <c r="I58" s="14">
        <v>0.01</v>
      </c>
      <c r="J58" s="14">
        <v>500</v>
      </c>
      <c r="K58" s="14" t="s">
        <v>146</v>
      </c>
      <c r="L58" s="14" t="s">
        <v>147</v>
      </c>
      <c r="O58" s="14" t="s">
        <v>661</v>
      </c>
      <c r="P58" s="14" t="s">
        <v>701</v>
      </c>
      <c r="Q58" s="14" t="s">
        <v>701</v>
      </c>
      <c r="R58" s="14" t="s">
        <v>146</v>
      </c>
    </row>
    <row r="59" spans="1:18" s="14" customFormat="1" x14ac:dyDescent="0.25">
      <c r="A59" s="14" t="str">
        <f>"24539"</f>
        <v>24539</v>
      </c>
      <c r="B59" s="14" t="str">
        <f>"01660"</f>
        <v>01660</v>
      </c>
      <c r="C59" s="14" t="str">
        <f>"1600"</f>
        <v>1600</v>
      </c>
      <c r="D59" s="14" t="str">
        <f>"24539"</f>
        <v>24539</v>
      </c>
      <c r="E59" s="14" t="s">
        <v>909</v>
      </c>
      <c r="F59" s="14" t="s">
        <v>145</v>
      </c>
      <c r="G59" s="14" t="str">
        <f>"GR0024538"</f>
        <v>GR0024538</v>
      </c>
      <c r="H59" s="14" t="str">
        <f>" 20"</f>
        <v xml:space="preserve"> 20</v>
      </c>
      <c r="I59" s="14">
        <v>500.01</v>
      </c>
      <c r="J59" s="14">
        <v>9999999.9900000002</v>
      </c>
      <c r="K59" s="14" t="s">
        <v>147</v>
      </c>
      <c r="L59" s="14" t="s">
        <v>661</v>
      </c>
      <c r="O59" s="14" t="s">
        <v>661</v>
      </c>
      <c r="P59" s="14" t="s">
        <v>701</v>
      </c>
      <c r="Q59" s="14" t="s">
        <v>701</v>
      </c>
      <c r="R59" s="14" t="s">
        <v>146</v>
      </c>
    </row>
    <row r="60" spans="1:18" s="14" customFormat="1" x14ac:dyDescent="0.25">
      <c r="A60" s="14" t="str">
        <f>"24660"</f>
        <v>24660</v>
      </c>
      <c r="B60" s="14" t="str">
        <f>"01390"</f>
        <v>01390</v>
      </c>
      <c r="C60" s="14" t="str">
        <f>"1600"</f>
        <v>1600</v>
      </c>
      <c r="D60" s="14" t="str">
        <f>"24660"</f>
        <v>24660</v>
      </c>
      <c r="E60" s="14" t="s">
        <v>910</v>
      </c>
      <c r="F60" s="14" t="s">
        <v>116</v>
      </c>
      <c r="G60" s="14" t="str">
        <f>"GR0024660"</f>
        <v>GR0024660</v>
      </c>
      <c r="H60" s="14" t="str">
        <f>" 00"</f>
        <v xml:space="preserve"> 00</v>
      </c>
      <c r="I60" s="14">
        <v>0.01</v>
      </c>
      <c r="J60" s="14">
        <v>9999999.9900000002</v>
      </c>
      <c r="K60" s="14" t="s">
        <v>112</v>
      </c>
      <c r="L60" s="14" t="s">
        <v>113</v>
      </c>
      <c r="M60" s="14" t="s">
        <v>114</v>
      </c>
      <c r="O60" s="14" t="s">
        <v>911</v>
      </c>
      <c r="P60" s="14" t="s">
        <v>701</v>
      </c>
      <c r="Q60" s="14" t="s">
        <v>701</v>
      </c>
      <c r="R60" s="14" t="s">
        <v>115</v>
      </c>
    </row>
    <row r="61" spans="1:18" s="14" customFormat="1" x14ac:dyDescent="0.25">
      <c r="A61" s="14" t="str">
        <f>"24661"</f>
        <v>24661</v>
      </c>
      <c r="B61" s="14" t="str">
        <f>"01390"</f>
        <v>01390</v>
      </c>
      <c r="C61" s="14" t="str">
        <f>"1600"</f>
        <v>1600</v>
      </c>
      <c r="D61" s="14" t="str">
        <f>"24661"</f>
        <v>24661</v>
      </c>
      <c r="E61" s="14" t="s">
        <v>912</v>
      </c>
      <c r="F61" s="14" t="s">
        <v>116</v>
      </c>
      <c r="G61" s="14" t="str">
        <f>"GR0024660"</f>
        <v>GR0024660</v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112</v>
      </c>
      <c r="L61" s="14" t="s">
        <v>113</v>
      </c>
      <c r="M61" s="14" t="s">
        <v>114</v>
      </c>
      <c r="O61" s="14" t="s">
        <v>911</v>
      </c>
      <c r="P61" s="14" t="s">
        <v>701</v>
      </c>
      <c r="Q61" s="14" t="s">
        <v>701</v>
      </c>
      <c r="R61" s="14" t="s">
        <v>115</v>
      </c>
    </row>
    <row r="62" spans="1:18" s="14" customFormat="1" x14ac:dyDescent="0.25">
      <c r="A62" s="14" t="str">
        <f>"25004"</f>
        <v>25004</v>
      </c>
      <c r="B62" s="14" t="str">
        <f>"01400"</f>
        <v>01400</v>
      </c>
      <c r="C62" s="14" t="str">
        <f>"1200"</f>
        <v>1200</v>
      </c>
      <c r="D62" s="14" t="str">
        <f>"25004"</f>
        <v>25004</v>
      </c>
      <c r="E62" s="14" t="s">
        <v>913</v>
      </c>
      <c r="F62" s="14" t="s">
        <v>117</v>
      </c>
      <c r="G62" s="14" t="str">
        <f>"GR0025004"</f>
        <v>GR0025004</v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69</v>
      </c>
      <c r="L62" s="14" t="s">
        <v>70</v>
      </c>
      <c r="M62" s="14" t="s">
        <v>71</v>
      </c>
      <c r="O62" s="14" t="s">
        <v>914</v>
      </c>
      <c r="P62" s="14" t="s">
        <v>701</v>
      </c>
      <c r="Q62" s="14" t="s">
        <v>701</v>
      </c>
      <c r="R62" s="14" t="s">
        <v>72</v>
      </c>
    </row>
    <row r="63" spans="1:18" s="14" customFormat="1" x14ac:dyDescent="0.25">
      <c r="A63" s="14" t="str">
        <f>"25097"</f>
        <v>25097</v>
      </c>
      <c r="B63" s="14" t="str">
        <f>"01500"</f>
        <v>01500</v>
      </c>
      <c r="C63" s="14" t="str">
        <f>"1600"</f>
        <v>1600</v>
      </c>
      <c r="D63" s="14" t="str">
        <f>"25097"</f>
        <v>25097</v>
      </c>
      <c r="E63" s="14" t="s">
        <v>915</v>
      </c>
      <c r="F63" s="14" t="s">
        <v>130</v>
      </c>
      <c r="G63" s="14" t="str">
        <f>"GR0025097"</f>
        <v>GR0025097</v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69</v>
      </c>
      <c r="L63" s="14" t="s">
        <v>70</v>
      </c>
      <c r="M63" s="14" t="s">
        <v>71</v>
      </c>
      <c r="O63" s="14" t="s">
        <v>916</v>
      </c>
      <c r="P63" s="14" t="s">
        <v>701</v>
      </c>
      <c r="Q63" s="14" t="s">
        <v>701</v>
      </c>
      <c r="R63" s="14" t="s">
        <v>72</v>
      </c>
    </row>
    <row r="64" spans="1:18" s="14" customFormat="1" x14ac:dyDescent="0.25">
      <c r="A64" s="14" t="str">
        <f>"25116"</f>
        <v>25116</v>
      </c>
      <c r="B64" s="14" t="str">
        <f>"01705"</f>
        <v>01705</v>
      </c>
      <c r="C64" s="14" t="str">
        <f>"1600"</f>
        <v>1600</v>
      </c>
      <c r="D64" s="14" t="str">
        <f>"25116"</f>
        <v>25116</v>
      </c>
      <c r="E64" s="14" t="s">
        <v>917</v>
      </c>
      <c r="F64" s="14" t="s">
        <v>159</v>
      </c>
      <c r="G64" s="14" t="str">
        <f>"GR0025116"</f>
        <v>GR0025116</v>
      </c>
      <c r="H64" s="14" t="str">
        <f>" 10"</f>
        <v xml:space="preserve"> 10</v>
      </c>
      <c r="I64" s="14">
        <v>0.01</v>
      </c>
      <c r="J64" s="14">
        <v>500</v>
      </c>
      <c r="K64" s="14" t="s">
        <v>146</v>
      </c>
      <c r="L64" s="14" t="s">
        <v>147</v>
      </c>
      <c r="O64" s="14" t="s">
        <v>147</v>
      </c>
      <c r="P64" s="14" t="s">
        <v>701</v>
      </c>
      <c r="Q64" s="14" t="s">
        <v>701</v>
      </c>
      <c r="R64" s="14" t="s">
        <v>146</v>
      </c>
    </row>
    <row r="65" spans="1:18" s="14" customFormat="1" x14ac:dyDescent="0.25">
      <c r="A65" s="14" t="str">
        <f>"25116"</f>
        <v>25116</v>
      </c>
      <c r="B65" s="14" t="str">
        <f>"01705"</f>
        <v>01705</v>
      </c>
      <c r="C65" s="14" t="str">
        <f>"1600"</f>
        <v>1600</v>
      </c>
      <c r="D65" s="14" t="str">
        <f>"25116"</f>
        <v>25116</v>
      </c>
      <c r="E65" s="14" t="s">
        <v>917</v>
      </c>
      <c r="F65" s="14" t="s">
        <v>159</v>
      </c>
      <c r="G65" s="14" t="str">
        <f>"GR0025116"</f>
        <v>GR0025116</v>
      </c>
      <c r="H65" s="14" t="str">
        <f>" 20"</f>
        <v xml:space="preserve"> 20</v>
      </c>
      <c r="I65" s="14">
        <v>500.01</v>
      </c>
      <c r="J65" s="14">
        <v>9999999.9900000002</v>
      </c>
      <c r="K65" s="14" t="s">
        <v>147</v>
      </c>
      <c r="L65" s="14" t="s">
        <v>147</v>
      </c>
      <c r="O65" s="14" t="s">
        <v>147</v>
      </c>
      <c r="P65" s="14" t="s">
        <v>701</v>
      </c>
      <c r="Q65" s="14" t="s">
        <v>701</v>
      </c>
      <c r="R65" s="14" t="s">
        <v>146</v>
      </c>
    </row>
    <row r="66" spans="1:18" s="14" customFormat="1" x14ac:dyDescent="0.25">
      <c r="A66" s="14" t="str">
        <f>"25122"</f>
        <v>25122</v>
      </c>
      <c r="B66" s="14" t="str">
        <f>"01630"</f>
        <v>01630</v>
      </c>
      <c r="C66" s="14" t="str">
        <f>"1300"</f>
        <v>1300</v>
      </c>
      <c r="D66" s="14" t="str">
        <f>"25122"</f>
        <v>25122</v>
      </c>
      <c r="E66" s="14" t="s">
        <v>918</v>
      </c>
      <c r="F66" s="14" t="s">
        <v>142</v>
      </c>
      <c r="G66" s="14" t="str">
        <f>"GR0025122"</f>
        <v>GR0025122</v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69</v>
      </c>
      <c r="L66" s="14" t="s">
        <v>70</v>
      </c>
      <c r="M66" s="14" t="s">
        <v>71</v>
      </c>
      <c r="O66" s="14" t="s">
        <v>919</v>
      </c>
      <c r="P66" s="14" t="s">
        <v>701</v>
      </c>
      <c r="Q66" s="14" t="s">
        <v>701</v>
      </c>
      <c r="R66" s="14" t="s">
        <v>72</v>
      </c>
    </row>
    <row r="67" spans="1:18" s="14" customFormat="1" x14ac:dyDescent="0.25">
      <c r="A67" s="14" t="str">
        <f>"25133"</f>
        <v>25133</v>
      </c>
      <c r="B67" s="14" t="str">
        <f>"01080"</f>
        <v>01080</v>
      </c>
      <c r="C67" s="14" t="str">
        <f>"1700"</f>
        <v>1700</v>
      </c>
      <c r="D67" s="14" t="str">
        <f>"25133"</f>
        <v>25133</v>
      </c>
      <c r="E67" s="14" t="s">
        <v>920</v>
      </c>
      <c r="F67" s="14" t="s">
        <v>61</v>
      </c>
      <c r="G67" s="14" t="str">
        <f>"GR0025133"</f>
        <v>GR0025133</v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37</v>
      </c>
      <c r="L67" s="14" t="s">
        <v>50</v>
      </c>
      <c r="O67" s="14" t="s">
        <v>37</v>
      </c>
      <c r="P67" s="14" t="s">
        <v>701</v>
      </c>
      <c r="Q67" s="14" t="s">
        <v>701</v>
      </c>
      <c r="R67" s="14" t="s">
        <v>38</v>
      </c>
    </row>
    <row r="68" spans="1:18" s="14" customFormat="1" x14ac:dyDescent="0.25">
      <c r="A68" s="14" t="str">
        <f>"25136"</f>
        <v>25136</v>
      </c>
      <c r="B68" s="14" t="str">
        <f>"01240"</f>
        <v>01240</v>
      </c>
      <c r="C68" s="14" t="str">
        <f>"1400"</f>
        <v>1400</v>
      </c>
      <c r="D68" s="14" t="str">
        <f>"25136"</f>
        <v>25136</v>
      </c>
      <c r="E68" s="14" t="s">
        <v>921</v>
      </c>
      <c r="F68" s="14" t="s">
        <v>80</v>
      </c>
      <c r="G68" s="14" t="str">
        <f>"GR0025136"</f>
        <v>GR0025136</v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37</v>
      </c>
      <c r="L68" s="14" t="s">
        <v>81</v>
      </c>
      <c r="O68" s="14" t="s">
        <v>81</v>
      </c>
      <c r="P68" s="14" t="s">
        <v>701</v>
      </c>
      <c r="Q68" s="14" t="s">
        <v>701</v>
      </c>
      <c r="R68" s="14" t="s">
        <v>81</v>
      </c>
    </row>
    <row r="69" spans="1:18" s="14" customFormat="1" x14ac:dyDescent="0.25">
      <c r="A69" s="14" t="str">
        <f>"25139"</f>
        <v>25139</v>
      </c>
      <c r="B69" s="14" t="str">
        <f>"01695"</f>
        <v>01695</v>
      </c>
      <c r="C69" s="14" t="str">
        <f>"1200"</f>
        <v>1200</v>
      </c>
      <c r="D69" s="14" t="str">
        <f>"25139"</f>
        <v>25139</v>
      </c>
      <c r="E69" s="14" t="s">
        <v>922</v>
      </c>
      <c r="F69" s="14" t="s">
        <v>155</v>
      </c>
      <c r="G69" s="14" t="str">
        <f>"GR0025139"</f>
        <v>GR0025139</v>
      </c>
      <c r="H69" s="14" t="str">
        <f>" 10"</f>
        <v xml:space="preserve"> 10</v>
      </c>
      <c r="I69" s="14">
        <v>0.01</v>
      </c>
      <c r="J69" s="14">
        <v>500</v>
      </c>
      <c r="K69" s="14" t="s">
        <v>146</v>
      </c>
      <c r="L69" s="14" t="s">
        <v>147</v>
      </c>
      <c r="O69" s="14" t="s">
        <v>156</v>
      </c>
      <c r="P69" s="14" t="s">
        <v>701</v>
      </c>
      <c r="Q69" s="14" t="s">
        <v>701</v>
      </c>
      <c r="R69" s="14" t="s">
        <v>146</v>
      </c>
    </row>
    <row r="70" spans="1:18" s="14" customFormat="1" x14ac:dyDescent="0.25">
      <c r="A70" s="14" t="str">
        <f>"25139"</f>
        <v>25139</v>
      </c>
      <c r="B70" s="14" t="str">
        <f>"01695"</f>
        <v>01695</v>
      </c>
      <c r="C70" s="14" t="str">
        <f>"1200"</f>
        <v>1200</v>
      </c>
      <c r="D70" s="14" t="str">
        <f>"25139"</f>
        <v>25139</v>
      </c>
      <c r="E70" s="14" t="s">
        <v>922</v>
      </c>
      <c r="F70" s="14" t="s">
        <v>155</v>
      </c>
      <c r="G70" s="14" t="str">
        <f>"GR0025139"</f>
        <v>GR0025139</v>
      </c>
      <c r="H70" s="14" t="str">
        <f>" 20"</f>
        <v xml:space="preserve"> 20</v>
      </c>
      <c r="I70" s="14">
        <v>500.01</v>
      </c>
      <c r="J70" s="14">
        <v>9999999.9900000002</v>
      </c>
      <c r="K70" s="14" t="s">
        <v>156</v>
      </c>
      <c r="L70" s="14" t="s">
        <v>147</v>
      </c>
      <c r="O70" s="14" t="s">
        <v>156</v>
      </c>
      <c r="P70" s="14" t="s">
        <v>701</v>
      </c>
      <c r="Q70" s="14" t="s">
        <v>701</v>
      </c>
      <c r="R70" s="14" t="s">
        <v>146</v>
      </c>
    </row>
    <row r="71" spans="1:18" s="14" customFormat="1" x14ac:dyDescent="0.25">
      <c r="A71" s="14" t="str">
        <f>"25143"</f>
        <v>25143</v>
      </c>
      <c r="B71" s="14" t="str">
        <f>"01630"</f>
        <v>01630</v>
      </c>
      <c r="C71" s="14" t="str">
        <f>"1200"</f>
        <v>1200</v>
      </c>
      <c r="D71" s="14" t="str">
        <f>"25143"</f>
        <v>25143</v>
      </c>
      <c r="E71" s="14" t="s">
        <v>923</v>
      </c>
      <c r="F71" s="14" t="s">
        <v>142</v>
      </c>
      <c r="G71" s="14" t="str">
        <f>"GR0025143"</f>
        <v>GR0025143</v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69</v>
      </c>
      <c r="L71" s="14" t="s">
        <v>70</v>
      </c>
      <c r="M71" s="14" t="s">
        <v>71</v>
      </c>
      <c r="O71" s="14" t="s">
        <v>755</v>
      </c>
      <c r="P71" s="14" t="s">
        <v>701</v>
      </c>
      <c r="Q71" s="14" t="s">
        <v>701</v>
      </c>
      <c r="R71" s="14" t="s">
        <v>72</v>
      </c>
    </row>
    <row r="72" spans="1:18" s="14" customFormat="1" x14ac:dyDescent="0.25">
      <c r="A72" s="14" t="str">
        <f>"25146"</f>
        <v>25146</v>
      </c>
      <c r="B72" s="14" t="str">
        <f>"01390"</f>
        <v>01390</v>
      </c>
      <c r="C72" s="14" t="str">
        <f>"1300"</f>
        <v>1300</v>
      </c>
      <c r="D72" s="14" t="str">
        <f>"25146"</f>
        <v>25146</v>
      </c>
      <c r="E72" s="14" t="s">
        <v>924</v>
      </c>
      <c r="F72" s="14" t="s">
        <v>116</v>
      </c>
      <c r="G72" s="14" t="str">
        <f>"GR0025146"</f>
        <v>GR0025146</v>
      </c>
      <c r="H72" s="14" t="str">
        <f>" 00"</f>
        <v xml:space="preserve"> 00</v>
      </c>
      <c r="I72" s="14">
        <v>0.01</v>
      </c>
      <c r="J72" s="14">
        <v>9999999.9900000002</v>
      </c>
      <c r="K72" s="14" t="s">
        <v>113</v>
      </c>
      <c r="L72" s="14" t="s">
        <v>112</v>
      </c>
      <c r="O72" s="14" t="s">
        <v>113</v>
      </c>
      <c r="P72" s="14" t="s">
        <v>701</v>
      </c>
      <c r="Q72" s="14" t="s">
        <v>701</v>
      </c>
      <c r="R72" s="14" t="s">
        <v>115</v>
      </c>
    </row>
    <row r="73" spans="1:18" s="14" customFormat="1" x14ac:dyDescent="0.25">
      <c r="A73" s="14" t="str">
        <f>"25147"</f>
        <v>25147</v>
      </c>
      <c r="B73" s="14" t="str">
        <f>"01790"</f>
        <v>01790</v>
      </c>
      <c r="C73" s="14" t="str">
        <f>"1600"</f>
        <v>1600</v>
      </c>
      <c r="D73" s="14" t="str">
        <f>"25147"</f>
        <v>25147</v>
      </c>
      <c r="E73" s="14" t="s">
        <v>925</v>
      </c>
      <c r="F73" s="14" t="s">
        <v>178</v>
      </c>
      <c r="G73" s="14" t="str">
        <f>"GR0025147"</f>
        <v>GR0025147</v>
      </c>
      <c r="H73" s="14" t="str">
        <f>" 00"</f>
        <v xml:space="preserve"> 00</v>
      </c>
      <c r="I73" s="14">
        <v>0.01</v>
      </c>
      <c r="J73" s="14">
        <v>9999999.9900000002</v>
      </c>
      <c r="K73" s="14" t="s">
        <v>179</v>
      </c>
      <c r="L73" s="14" t="s">
        <v>112</v>
      </c>
      <c r="M73" s="14" t="s">
        <v>113</v>
      </c>
      <c r="O73" s="14" t="s">
        <v>926</v>
      </c>
      <c r="P73" s="14" t="s">
        <v>701</v>
      </c>
      <c r="Q73" s="14" t="s">
        <v>701</v>
      </c>
      <c r="R73" s="14" t="s">
        <v>115</v>
      </c>
    </row>
    <row r="74" spans="1:18" s="14" customFormat="1" x14ac:dyDescent="0.25">
      <c r="A74" s="14" t="str">
        <f>"25149"</f>
        <v>25149</v>
      </c>
      <c r="B74" s="14" t="str">
        <f>"01100"</f>
        <v>01100</v>
      </c>
      <c r="C74" s="14" t="str">
        <f>"1930"</f>
        <v>1930</v>
      </c>
      <c r="D74" s="14" t="str">
        <f>"25149"</f>
        <v>25149</v>
      </c>
      <c r="E74" s="14" t="s">
        <v>927</v>
      </c>
      <c r="F74" s="14" t="s">
        <v>725</v>
      </c>
      <c r="G74" s="14" t="str">
        <f>"GR0025149"</f>
        <v>GR0025149</v>
      </c>
      <c r="H74" s="14" t="str">
        <f>" 10"</f>
        <v xml:space="preserve"> 10</v>
      </c>
      <c r="I74" s="14">
        <v>0.01</v>
      </c>
      <c r="J74" s="14">
        <v>500</v>
      </c>
      <c r="K74" s="14" t="s">
        <v>727</v>
      </c>
      <c r="L74" s="14" t="s">
        <v>55</v>
      </c>
      <c r="O74" s="14" t="s">
        <v>55</v>
      </c>
      <c r="P74" s="14" t="s">
        <v>701</v>
      </c>
      <c r="Q74" s="14" t="s">
        <v>701</v>
      </c>
      <c r="R74" s="14" t="s">
        <v>727</v>
      </c>
    </row>
    <row r="75" spans="1:18" s="14" customFormat="1" x14ac:dyDescent="0.25">
      <c r="A75" s="14" t="str">
        <f>"25149"</f>
        <v>25149</v>
      </c>
      <c r="B75" s="14" t="str">
        <f>"01100"</f>
        <v>01100</v>
      </c>
      <c r="C75" s="14" t="str">
        <f>"1930"</f>
        <v>1930</v>
      </c>
      <c r="D75" s="14" t="str">
        <f>"25149"</f>
        <v>25149</v>
      </c>
      <c r="E75" s="14" t="s">
        <v>927</v>
      </c>
      <c r="F75" s="14" t="s">
        <v>725</v>
      </c>
      <c r="G75" s="14" t="str">
        <f>"GR0025149"</f>
        <v>GR0025149</v>
      </c>
      <c r="H75" s="14" t="str">
        <f>" 20"</f>
        <v xml:space="preserve"> 20</v>
      </c>
      <c r="I75" s="14">
        <v>500.01</v>
      </c>
      <c r="J75" s="14">
        <v>9999999.9900000002</v>
      </c>
      <c r="K75" s="14" t="s">
        <v>55</v>
      </c>
      <c r="L75" s="14" t="s">
        <v>726</v>
      </c>
      <c r="M75" s="14" t="s">
        <v>53</v>
      </c>
      <c r="O75" s="14" t="s">
        <v>55</v>
      </c>
      <c r="P75" s="14" t="s">
        <v>701</v>
      </c>
      <c r="Q75" s="14" t="s">
        <v>701</v>
      </c>
      <c r="R75" s="14" t="s">
        <v>727</v>
      </c>
    </row>
    <row r="76" spans="1:18" s="14" customFormat="1" x14ac:dyDescent="0.25">
      <c r="A76" s="14" t="str">
        <f>"25150"</f>
        <v>25150</v>
      </c>
      <c r="B76" s="14" t="str">
        <f>"01695"</f>
        <v>01695</v>
      </c>
      <c r="C76" s="14" t="str">
        <f>"1600"</f>
        <v>1600</v>
      </c>
      <c r="D76" s="14" t="str">
        <f>"25150"</f>
        <v>25150</v>
      </c>
      <c r="E76" s="14" t="s">
        <v>928</v>
      </c>
      <c r="F76" s="14" t="s">
        <v>155</v>
      </c>
      <c r="G76" s="14" t="str">
        <f>"GR0025150"</f>
        <v>GR0025150</v>
      </c>
      <c r="H76" s="14" t="str">
        <f>" 10"</f>
        <v xml:space="preserve"> 10</v>
      </c>
      <c r="I76" s="14">
        <v>0.01</v>
      </c>
      <c r="J76" s="14">
        <v>500</v>
      </c>
      <c r="K76" s="14" t="s">
        <v>146</v>
      </c>
      <c r="L76" s="14" t="s">
        <v>147</v>
      </c>
      <c r="M76" s="14" t="s">
        <v>156</v>
      </c>
      <c r="O76" s="14" t="s">
        <v>156</v>
      </c>
      <c r="P76" s="14" t="s">
        <v>701</v>
      </c>
      <c r="Q76" s="14" t="s">
        <v>701</v>
      </c>
      <c r="R76" s="14" t="s">
        <v>146</v>
      </c>
    </row>
    <row r="77" spans="1:18" s="14" customFormat="1" x14ac:dyDescent="0.25">
      <c r="A77" s="14" t="str">
        <f>"25150"</f>
        <v>25150</v>
      </c>
      <c r="B77" s="14" t="str">
        <f>"01695"</f>
        <v>01695</v>
      </c>
      <c r="C77" s="14" t="str">
        <f>"1600"</f>
        <v>1600</v>
      </c>
      <c r="D77" s="14" t="str">
        <f>"25150"</f>
        <v>25150</v>
      </c>
      <c r="E77" s="14" t="s">
        <v>928</v>
      </c>
      <c r="F77" s="14" t="s">
        <v>155</v>
      </c>
      <c r="G77" s="14" t="str">
        <f>"GR0025150"</f>
        <v>GR0025150</v>
      </c>
      <c r="H77" s="14" t="str">
        <f>" 20"</f>
        <v xml:space="preserve"> 20</v>
      </c>
      <c r="I77" s="14">
        <v>500.01</v>
      </c>
      <c r="J77" s="14">
        <v>9999999.9900000002</v>
      </c>
      <c r="K77" s="14" t="s">
        <v>147</v>
      </c>
      <c r="L77" s="14" t="s">
        <v>156</v>
      </c>
      <c r="O77" s="14" t="s">
        <v>156</v>
      </c>
      <c r="P77" s="14" t="s">
        <v>701</v>
      </c>
      <c r="Q77" s="14" t="s">
        <v>701</v>
      </c>
      <c r="R77" s="14" t="s">
        <v>146</v>
      </c>
    </row>
    <row r="78" spans="1:18" s="14" customFormat="1" x14ac:dyDescent="0.25">
      <c r="A78" s="14" t="str">
        <f>"25151"</f>
        <v>25151</v>
      </c>
      <c r="B78" s="14" t="str">
        <f>"01030"</f>
        <v>01030</v>
      </c>
      <c r="C78" s="14" t="str">
        <f>"1600"</f>
        <v>1600</v>
      </c>
      <c r="D78" s="14" t="str">
        <f>"25151"</f>
        <v>25151</v>
      </c>
      <c r="E78" s="14" t="s">
        <v>929</v>
      </c>
      <c r="F78" s="14" t="s">
        <v>52</v>
      </c>
      <c r="G78" s="14" t="str">
        <f>"GR0025151"</f>
        <v>GR0025151</v>
      </c>
      <c r="H78" s="14" t="str">
        <f>" 00"</f>
        <v xml:space="preserve"> 00</v>
      </c>
      <c r="I78" s="14">
        <v>0.01</v>
      </c>
      <c r="J78" s="14">
        <v>9999999.9900000002</v>
      </c>
      <c r="K78" s="14" t="s">
        <v>53</v>
      </c>
      <c r="L78" s="14" t="s">
        <v>69</v>
      </c>
      <c r="M78" s="14" t="s">
        <v>48</v>
      </c>
      <c r="O78" s="14" t="s">
        <v>53</v>
      </c>
      <c r="P78" s="14" t="s">
        <v>701</v>
      </c>
      <c r="Q78" s="14" t="s">
        <v>701</v>
      </c>
      <c r="R78" s="14" t="s">
        <v>54</v>
      </c>
    </row>
    <row r="79" spans="1:18" s="14" customFormat="1" x14ac:dyDescent="0.25">
      <c r="A79" s="14" t="str">
        <f>"25152"</f>
        <v>25152</v>
      </c>
      <c r="B79" s="14" t="str">
        <f>"01100"</f>
        <v>01100</v>
      </c>
      <c r="C79" s="14" t="str">
        <f>"1930"</f>
        <v>1930</v>
      </c>
      <c r="D79" s="14" t="str">
        <f>"25152"</f>
        <v>25152</v>
      </c>
      <c r="E79" s="14" t="s">
        <v>930</v>
      </c>
      <c r="F79" s="14" t="s">
        <v>725</v>
      </c>
      <c r="G79" s="14" t="str">
        <f>"GR0025152"</f>
        <v>GR0025152</v>
      </c>
      <c r="H79" s="14" t="str">
        <f>" 10"</f>
        <v xml:space="preserve"> 10</v>
      </c>
      <c r="I79" s="14">
        <v>0.01</v>
      </c>
      <c r="J79" s="14">
        <v>500</v>
      </c>
      <c r="K79" s="14" t="s">
        <v>727</v>
      </c>
      <c r="L79" s="14" t="s">
        <v>55</v>
      </c>
      <c r="O79" s="14" t="s">
        <v>55</v>
      </c>
      <c r="P79" s="14" t="s">
        <v>701</v>
      </c>
      <c r="Q79" s="14" t="s">
        <v>701</v>
      </c>
      <c r="R79" s="14" t="s">
        <v>727</v>
      </c>
    </row>
    <row r="80" spans="1:18" s="14" customFormat="1" x14ac:dyDescent="0.25">
      <c r="A80" s="14" t="str">
        <f>"25152"</f>
        <v>25152</v>
      </c>
      <c r="B80" s="14" t="str">
        <f>"01100"</f>
        <v>01100</v>
      </c>
      <c r="C80" s="14" t="str">
        <f>"1930"</f>
        <v>1930</v>
      </c>
      <c r="D80" s="14" t="str">
        <f>"25152"</f>
        <v>25152</v>
      </c>
      <c r="E80" s="14" t="s">
        <v>930</v>
      </c>
      <c r="F80" s="14" t="s">
        <v>725</v>
      </c>
      <c r="G80" s="14" t="str">
        <f>"GR0025152"</f>
        <v>GR0025152</v>
      </c>
      <c r="H80" s="14" t="str">
        <f>" 20"</f>
        <v xml:space="preserve"> 20</v>
      </c>
      <c r="I80" s="14">
        <v>500.01</v>
      </c>
      <c r="J80" s="14">
        <v>9999999.9900000002</v>
      </c>
      <c r="K80" s="14" t="s">
        <v>55</v>
      </c>
      <c r="L80" s="14" t="s">
        <v>726</v>
      </c>
      <c r="M80" s="14" t="s">
        <v>53</v>
      </c>
      <c r="O80" s="14" t="s">
        <v>55</v>
      </c>
      <c r="P80" s="14" t="s">
        <v>701</v>
      </c>
      <c r="Q80" s="14" t="s">
        <v>701</v>
      </c>
      <c r="R80" s="14" t="s">
        <v>727</v>
      </c>
    </row>
    <row r="81" spans="1:18" s="14" customFormat="1" x14ac:dyDescent="0.25">
      <c r="A81" s="14" t="str">
        <f>"25153"</f>
        <v>25153</v>
      </c>
      <c r="B81" s="14" t="str">
        <f>"01160"</f>
        <v>01160</v>
      </c>
      <c r="C81" s="14" t="str">
        <f>"1700"</f>
        <v>1700</v>
      </c>
      <c r="D81" s="14" t="str">
        <f>"25153"</f>
        <v>25153</v>
      </c>
      <c r="E81" s="14" t="s">
        <v>931</v>
      </c>
      <c r="F81" s="14" t="s">
        <v>63</v>
      </c>
      <c r="G81" s="14" t="str">
        <f>"GR0025153"</f>
        <v>GR0025153</v>
      </c>
      <c r="H81" s="14" t="str">
        <f>" 00"</f>
        <v xml:space="preserve"> 00</v>
      </c>
      <c r="I81" s="14">
        <v>0.01</v>
      </c>
      <c r="J81" s="14">
        <v>9999999.9900000002</v>
      </c>
      <c r="K81" s="14" t="s">
        <v>53</v>
      </c>
      <c r="L81" s="14" t="s">
        <v>55</v>
      </c>
      <c r="M81" s="14" t="s">
        <v>54</v>
      </c>
      <c r="O81" s="14" t="s">
        <v>875</v>
      </c>
      <c r="P81" s="14" t="s">
        <v>701</v>
      </c>
      <c r="Q81" s="14" t="s">
        <v>701</v>
      </c>
      <c r="R81" s="14" t="s">
        <v>875</v>
      </c>
    </row>
    <row r="82" spans="1:18" s="14" customFormat="1" x14ac:dyDescent="0.25">
      <c r="A82" s="14" t="str">
        <f>"25154"</f>
        <v>25154</v>
      </c>
      <c r="B82" s="14" t="str">
        <f>"01580"</f>
        <v>01580</v>
      </c>
      <c r="C82" s="14" t="str">
        <f>"1700"</f>
        <v>1700</v>
      </c>
      <c r="D82" s="14" t="str">
        <f>"25154"</f>
        <v>25154</v>
      </c>
      <c r="E82" s="14" t="s">
        <v>932</v>
      </c>
      <c r="F82" s="14" t="s">
        <v>137</v>
      </c>
      <c r="G82" s="14" t="str">
        <f>"GR0025154"</f>
        <v>GR0025154</v>
      </c>
      <c r="H82" s="14" t="str">
        <f>" 00"</f>
        <v xml:space="preserve"> 00</v>
      </c>
      <c r="I82" s="14">
        <v>0.01</v>
      </c>
      <c r="J82" s="14">
        <v>9999999.9900000002</v>
      </c>
      <c r="K82" s="14" t="s">
        <v>69</v>
      </c>
      <c r="L82" s="14" t="s">
        <v>70</v>
      </c>
      <c r="M82" s="14" t="s">
        <v>71</v>
      </c>
      <c r="O82" s="14" t="s">
        <v>933</v>
      </c>
      <c r="P82" s="14" t="s">
        <v>701</v>
      </c>
      <c r="Q82" s="14" t="s">
        <v>701</v>
      </c>
      <c r="R82" s="14" t="s">
        <v>72</v>
      </c>
    </row>
    <row r="83" spans="1:18" s="14" customFormat="1" x14ac:dyDescent="0.25">
      <c r="A83" s="14" t="str">
        <f>"25155"</f>
        <v>25155</v>
      </c>
      <c r="B83" s="14" t="str">
        <f>"01100"</f>
        <v>01100</v>
      </c>
      <c r="C83" s="14" t="str">
        <f>"1930"</f>
        <v>1930</v>
      </c>
      <c r="D83" s="14" t="str">
        <f>""</f>
        <v/>
      </c>
      <c r="E83" s="14" t="s">
        <v>934</v>
      </c>
      <c r="F83" s="14" t="s">
        <v>725</v>
      </c>
      <c r="G83" s="14" t="str">
        <f>"GR0025155"</f>
        <v>GR0025155</v>
      </c>
      <c r="H83" s="14" t="str">
        <f>" 00"</f>
        <v xml:space="preserve"> 00</v>
      </c>
      <c r="I83" s="14">
        <v>0.01</v>
      </c>
      <c r="J83" s="14">
        <v>9999999.9900000002</v>
      </c>
      <c r="K83" s="14" t="s">
        <v>55</v>
      </c>
      <c r="L83" s="14" t="s">
        <v>726</v>
      </c>
      <c r="M83" s="14" t="s">
        <v>53</v>
      </c>
      <c r="O83" s="14" t="s">
        <v>55</v>
      </c>
      <c r="P83" s="14" t="s">
        <v>701</v>
      </c>
      <c r="Q83" s="14" t="s">
        <v>701</v>
      </c>
      <c r="R83" s="14" t="s">
        <v>727</v>
      </c>
    </row>
    <row r="84" spans="1:18" s="14" customFormat="1" x14ac:dyDescent="0.25">
      <c r="A84" s="14" t="str">
        <f>"25156"</f>
        <v>25156</v>
      </c>
      <c r="B84" s="14" t="str">
        <f>"01710"</f>
        <v>01710</v>
      </c>
      <c r="C84" s="14" t="str">
        <f>"1200"</f>
        <v>1200</v>
      </c>
      <c r="D84" s="14" t="str">
        <f>"25156"</f>
        <v>25156</v>
      </c>
      <c r="E84" s="14" t="s">
        <v>935</v>
      </c>
      <c r="F84" s="14" t="s">
        <v>161</v>
      </c>
      <c r="G84" s="14" t="str">
        <f>"GR0025156"</f>
        <v>GR0025156</v>
      </c>
      <c r="H84" s="14" t="str">
        <f>" 00"</f>
        <v xml:space="preserve"> 00</v>
      </c>
      <c r="I84" s="14">
        <v>0.01</v>
      </c>
      <c r="J84" s="14">
        <v>9999999.9900000002</v>
      </c>
      <c r="K84" s="14" t="s">
        <v>162</v>
      </c>
      <c r="L84" s="14" t="s">
        <v>147</v>
      </c>
      <c r="M84" s="14" t="s">
        <v>154</v>
      </c>
      <c r="N84" s="14" t="s">
        <v>773</v>
      </c>
      <c r="O84" s="14" t="s">
        <v>773</v>
      </c>
      <c r="P84" s="14" t="s">
        <v>701</v>
      </c>
      <c r="Q84" s="14" t="s">
        <v>701</v>
      </c>
      <c r="R84" s="14" t="s">
        <v>146</v>
      </c>
    </row>
    <row r="85" spans="1:18" s="14" customFormat="1" x14ac:dyDescent="0.25">
      <c r="A85" s="14" t="str">
        <f>"25157"</f>
        <v>25157</v>
      </c>
      <c r="B85" s="14" t="str">
        <f>"01710"</f>
        <v>01710</v>
      </c>
      <c r="C85" s="14" t="str">
        <f>"1200"</f>
        <v>1200</v>
      </c>
      <c r="D85" s="14" t="str">
        <f>"25157"</f>
        <v>25157</v>
      </c>
      <c r="E85" s="14" t="s">
        <v>936</v>
      </c>
      <c r="F85" s="14" t="s">
        <v>161</v>
      </c>
      <c r="G85" s="14" t="str">
        <f>"GR0025156"</f>
        <v>GR0025156</v>
      </c>
      <c r="H85" s="14" t="str">
        <f>" 00"</f>
        <v xml:space="preserve"> 00</v>
      </c>
      <c r="I85" s="14">
        <v>0.01</v>
      </c>
      <c r="J85" s="14">
        <v>9999999.9900000002</v>
      </c>
      <c r="K85" s="14" t="s">
        <v>162</v>
      </c>
      <c r="L85" s="14" t="s">
        <v>147</v>
      </c>
      <c r="M85" s="14" t="s">
        <v>154</v>
      </c>
      <c r="N85" s="14" t="s">
        <v>773</v>
      </c>
      <c r="O85" s="14" t="s">
        <v>773</v>
      </c>
      <c r="P85" s="14" t="s">
        <v>701</v>
      </c>
      <c r="Q85" s="14" t="s">
        <v>701</v>
      </c>
      <c r="R85" s="14" t="s">
        <v>146</v>
      </c>
    </row>
    <row r="86" spans="1:18" s="14" customFormat="1" x14ac:dyDescent="0.25">
      <c r="A86" s="14" t="str">
        <f>"25158"</f>
        <v>25158</v>
      </c>
      <c r="B86" s="14" t="str">
        <f>"01390"</f>
        <v>01390</v>
      </c>
      <c r="C86" s="14" t="str">
        <f>"1300"</f>
        <v>1300</v>
      </c>
      <c r="D86" s="14" t="str">
        <f>"25158"</f>
        <v>25158</v>
      </c>
      <c r="E86" s="14" t="s">
        <v>937</v>
      </c>
      <c r="F86" s="14" t="s">
        <v>116</v>
      </c>
      <c r="G86" s="14" t="str">
        <f>"GR0025158"</f>
        <v>GR0025158</v>
      </c>
      <c r="H86" s="14" t="str">
        <f>" 00"</f>
        <v xml:space="preserve"> 00</v>
      </c>
      <c r="I86" s="14">
        <v>0.01</v>
      </c>
      <c r="J86" s="14">
        <v>9999999.9900000002</v>
      </c>
      <c r="K86" s="14" t="s">
        <v>113</v>
      </c>
      <c r="L86" s="14" t="s">
        <v>112</v>
      </c>
      <c r="M86" s="14" t="s">
        <v>114</v>
      </c>
      <c r="O86" s="14" t="s">
        <v>113</v>
      </c>
      <c r="P86" s="14" t="s">
        <v>701</v>
      </c>
      <c r="Q86" s="14" t="s">
        <v>701</v>
      </c>
      <c r="R86" s="14" t="s">
        <v>115</v>
      </c>
    </row>
    <row r="87" spans="1:18" s="14" customFormat="1" x14ac:dyDescent="0.25">
      <c r="A87" s="14" t="str">
        <f>"25159"</f>
        <v>25159</v>
      </c>
      <c r="B87" s="14" t="str">
        <f>"01695"</f>
        <v>01695</v>
      </c>
      <c r="C87" s="14" t="str">
        <f>"1600"</f>
        <v>1600</v>
      </c>
      <c r="D87" s="14" t="str">
        <f>"25159"</f>
        <v>25159</v>
      </c>
      <c r="E87" s="14" t="s">
        <v>938</v>
      </c>
      <c r="F87" s="14" t="s">
        <v>155</v>
      </c>
      <c r="G87" s="14" t="str">
        <f>"GR0025159"</f>
        <v>GR0025159</v>
      </c>
      <c r="H87" s="14" t="str">
        <f>" 10"</f>
        <v xml:space="preserve"> 10</v>
      </c>
      <c r="I87" s="14">
        <v>0.01</v>
      </c>
      <c r="J87" s="14">
        <v>500</v>
      </c>
      <c r="K87" s="14" t="s">
        <v>146</v>
      </c>
      <c r="L87" s="14" t="s">
        <v>156</v>
      </c>
      <c r="O87" s="14" t="s">
        <v>156</v>
      </c>
      <c r="P87" s="14" t="s">
        <v>701</v>
      </c>
      <c r="Q87" s="14" t="s">
        <v>701</v>
      </c>
      <c r="R87" s="14" t="s">
        <v>146</v>
      </c>
    </row>
    <row r="88" spans="1:18" s="14" customFormat="1" x14ac:dyDescent="0.25">
      <c r="A88" s="14" t="str">
        <f>"25159"</f>
        <v>25159</v>
      </c>
      <c r="B88" s="14" t="str">
        <f>"01695"</f>
        <v>01695</v>
      </c>
      <c r="C88" s="14" t="str">
        <f>"1600"</f>
        <v>1600</v>
      </c>
      <c r="D88" s="14" t="str">
        <f>"25159"</f>
        <v>25159</v>
      </c>
      <c r="E88" s="14" t="s">
        <v>938</v>
      </c>
      <c r="F88" s="14" t="s">
        <v>155</v>
      </c>
      <c r="G88" s="14" t="str">
        <f>"GR0025159"</f>
        <v>GR0025159</v>
      </c>
      <c r="H88" s="14" t="str">
        <f>" 20"</f>
        <v xml:space="preserve"> 20</v>
      </c>
      <c r="I88" s="14">
        <v>500.01</v>
      </c>
      <c r="J88" s="14">
        <v>9999999.9900000002</v>
      </c>
      <c r="K88" s="14" t="s">
        <v>156</v>
      </c>
      <c r="L88" s="14" t="s">
        <v>147</v>
      </c>
      <c r="O88" s="14" t="s">
        <v>156</v>
      </c>
      <c r="P88" s="14" t="s">
        <v>701</v>
      </c>
      <c r="Q88" s="14" t="s">
        <v>701</v>
      </c>
      <c r="R88" s="14" t="s">
        <v>146</v>
      </c>
    </row>
    <row r="89" spans="1:18" s="14" customFormat="1" x14ac:dyDescent="0.25">
      <c r="A89" s="14" t="str">
        <f>"25160"</f>
        <v>25160</v>
      </c>
      <c r="B89" s="14" t="str">
        <f>"01660"</f>
        <v>01660</v>
      </c>
      <c r="C89" s="14" t="str">
        <f>"1800"</f>
        <v>1800</v>
      </c>
      <c r="D89" s="14" t="str">
        <f>""</f>
        <v/>
      </c>
      <c r="E89" s="14" t="s">
        <v>939</v>
      </c>
      <c r="F89" s="14" t="s">
        <v>145</v>
      </c>
      <c r="G89" s="14" t="str">
        <f>"GR0025160"</f>
        <v>GR0025160</v>
      </c>
      <c r="H89" s="14" t="str">
        <f>" 10"</f>
        <v xml:space="preserve"> 10</v>
      </c>
      <c r="I89" s="14">
        <v>0.01</v>
      </c>
      <c r="J89" s="14">
        <v>500</v>
      </c>
      <c r="K89" s="14" t="s">
        <v>146</v>
      </c>
      <c r="L89" s="14" t="s">
        <v>147</v>
      </c>
      <c r="O89" s="14" t="s">
        <v>147</v>
      </c>
      <c r="P89" s="14" t="s">
        <v>701</v>
      </c>
      <c r="Q89" s="14" t="s">
        <v>701</v>
      </c>
      <c r="R89" s="14" t="s">
        <v>146</v>
      </c>
    </row>
    <row r="90" spans="1:18" s="14" customFormat="1" x14ac:dyDescent="0.25">
      <c r="A90" s="14" t="str">
        <f>"25160"</f>
        <v>25160</v>
      </c>
      <c r="B90" s="14" t="str">
        <f>"01660"</f>
        <v>01660</v>
      </c>
      <c r="C90" s="14" t="str">
        <f>"1800"</f>
        <v>1800</v>
      </c>
      <c r="D90" s="14" t="str">
        <f>""</f>
        <v/>
      </c>
      <c r="E90" s="14" t="s">
        <v>939</v>
      </c>
      <c r="F90" s="14" t="s">
        <v>145</v>
      </c>
      <c r="G90" s="14" t="str">
        <f>"GR0025160"</f>
        <v>GR0025160</v>
      </c>
      <c r="H90" s="14" t="str">
        <f>" 20"</f>
        <v xml:space="preserve"> 20</v>
      </c>
      <c r="I90" s="14">
        <v>500.01</v>
      </c>
      <c r="J90" s="14">
        <v>9999999.9900000002</v>
      </c>
      <c r="K90" s="14" t="s">
        <v>147</v>
      </c>
      <c r="L90" s="14" t="s">
        <v>148</v>
      </c>
      <c r="O90" s="14" t="s">
        <v>147</v>
      </c>
      <c r="P90" s="14" t="s">
        <v>701</v>
      </c>
      <c r="Q90" s="14" t="s">
        <v>701</v>
      </c>
      <c r="R90" s="14" t="s">
        <v>146</v>
      </c>
    </row>
    <row r="91" spans="1:18" s="14" customFormat="1" x14ac:dyDescent="0.25">
      <c r="A91" s="14" t="str">
        <f>"26029"</f>
        <v>26029</v>
      </c>
      <c r="B91" s="14" t="str">
        <f>"01000"</f>
        <v>01000</v>
      </c>
      <c r="C91" s="14" t="str">
        <f>"1300"</f>
        <v>1300</v>
      </c>
      <c r="D91" s="14" t="str">
        <f>"26029"</f>
        <v>26029</v>
      </c>
      <c r="E91" s="14" t="s">
        <v>940</v>
      </c>
      <c r="F91" s="14" t="s">
        <v>44</v>
      </c>
      <c r="G91" s="14" t="str">
        <f>"GR0026029"</f>
        <v>GR0026029</v>
      </c>
      <c r="H91" s="14" t="str">
        <f>" 00"</f>
        <v xml:space="preserve"> 00</v>
      </c>
      <c r="I91" s="14">
        <v>0.01</v>
      </c>
      <c r="J91" s="14">
        <v>9999999.9900000002</v>
      </c>
      <c r="K91" s="14" t="s">
        <v>37</v>
      </c>
      <c r="L91" s="14" t="s">
        <v>38</v>
      </c>
      <c r="O91" s="14" t="s">
        <v>579</v>
      </c>
      <c r="P91" s="14" t="s">
        <v>701</v>
      </c>
      <c r="Q91" s="14" t="s">
        <v>701</v>
      </c>
      <c r="R91" s="14" t="s">
        <v>38</v>
      </c>
    </row>
    <row r="92" spans="1:18" s="14" customFormat="1" x14ac:dyDescent="0.25">
      <c r="A92" s="14" t="str">
        <f>"26030"</f>
        <v>26030</v>
      </c>
      <c r="B92" s="14" t="str">
        <f>"01000"</f>
        <v>01000</v>
      </c>
      <c r="C92" s="14" t="str">
        <f>"1300"</f>
        <v>1300</v>
      </c>
      <c r="D92" s="14" t="str">
        <f>"26030"</f>
        <v>26030</v>
      </c>
      <c r="E92" s="14" t="s">
        <v>941</v>
      </c>
      <c r="F92" s="14" t="s">
        <v>44</v>
      </c>
      <c r="G92" s="14" t="str">
        <f>"GR0026029"</f>
        <v>GR0026029</v>
      </c>
      <c r="H92" s="14" t="str">
        <f>" 00"</f>
        <v xml:space="preserve"> 00</v>
      </c>
      <c r="I92" s="14">
        <v>0.01</v>
      </c>
      <c r="J92" s="14">
        <v>9999999.9900000002</v>
      </c>
      <c r="K92" s="14" t="s">
        <v>37</v>
      </c>
      <c r="L92" s="14" t="s">
        <v>38</v>
      </c>
      <c r="O92" s="14" t="s">
        <v>579</v>
      </c>
      <c r="P92" s="14" t="s">
        <v>701</v>
      </c>
      <c r="Q92" s="14" t="s">
        <v>701</v>
      </c>
      <c r="R92" s="14" t="s">
        <v>38</v>
      </c>
    </row>
    <row r="93" spans="1:18" s="14" customFormat="1" x14ac:dyDescent="0.25">
      <c r="A93" s="14" t="str">
        <f>"26032"</f>
        <v>26032</v>
      </c>
      <c r="B93" s="14" t="str">
        <f>"01000"</f>
        <v>01000</v>
      </c>
      <c r="C93" s="14" t="str">
        <f>"1700"</f>
        <v>1700</v>
      </c>
      <c r="D93" s="14" t="str">
        <f>"26032"</f>
        <v>26032</v>
      </c>
      <c r="E93" s="14" t="s">
        <v>942</v>
      </c>
      <c r="F93" s="14" t="s">
        <v>44</v>
      </c>
      <c r="G93" s="14" t="str">
        <f>"GR0026029"</f>
        <v>GR0026029</v>
      </c>
      <c r="H93" s="14" t="str">
        <f>" 00"</f>
        <v xml:space="preserve"> 00</v>
      </c>
      <c r="I93" s="14">
        <v>0.01</v>
      </c>
      <c r="J93" s="14">
        <v>9999999.9900000002</v>
      </c>
      <c r="K93" s="14" t="s">
        <v>37</v>
      </c>
      <c r="L93" s="14" t="s">
        <v>38</v>
      </c>
      <c r="O93" s="14" t="s">
        <v>579</v>
      </c>
      <c r="P93" s="14" t="s">
        <v>701</v>
      </c>
      <c r="Q93" s="14" t="s">
        <v>701</v>
      </c>
      <c r="R93" s="14" t="s">
        <v>38</v>
      </c>
    </row>
    <row r="94" spans="1:18" s="14" customFormat="1" x14ac:dyDescent="0.25">
      <c r="A94" s="14" t="str">
        <f>"26034"</f>
        <v>26034</v>
      </c>
      <c r="B94" s="14" t="str">
        <f>"01000"</f>
        <v>01000</v>
      </c>
      <c r="C94" s="14" t="str">
        <f>"1300"</f>
        <v>1300</v>
      </c>
      <c r="D94" s="14" t="str">
        <f>"26034"</f>
        <v>26034</v>
      </c>
      <c r="E94" s="14" t="s">
        <v>943</v>
      </c>
      <c r="F94" s="14" t="s">
        <v>44</v>
      </c>
      <c r="G94" s="14" t="str">
        <f>"GR0026029"</f>
        <v>GR0026029</v>
      </c>
      <c r="H94" s="14" t="str">
        <f>" 00"</f>
        <v xml:space="preserve"> 00</v>
      </c>
      <c r="I94" s="14">
        <v>0.01</v>
      </c>
      <c r="J94" s="14">
        <v>9999999.9900000002</v>
      </c>
      <c r="K94" s="14" t="s">
        <v>37</v>
      </c>
      <c r="L94" s="14" t="s">
        <v>38</v>
      </c>
      <c r="O94" s="14" t="s">
        <v>579</v>
      </c>
      <c r="P94" s="14" t="s">
        <v>701</v>
      </c>
      <c r="Q94" s="14" t="s">
        <v>701</v>
      </c>
      <c r="R94" s="14" t="s">
        <v>38</v>
      </c>
    </row>
    <row r="95" spans="1:18" s="14" customFormat="1" x14ac:dyDescent="0.25">
      <c r="A95" s="14" t="str">
        <f>"26035"</f>
        <v>26035</v>
      </c>
      <c r="B95" s="14" t="str">
        <f>"01000"</f>
        <v>01000</v>
      </c>
      <c r="C95" s="14" t="str">
        <f>"1300"</f>
        <v>1300</v>
      </c>
      <c r="D95" s="14" t="str">
        <f>"26035"</f>
        <v>26035</v>
      </c>
      <c r="E95" s="14" t="s">
        <v>944</v>
      </c>
      <c r="F95" s="14" t="s">
        <v>44</v>
      </c>
      <c r="G95" s="14" t="str">
        <f>"GR0026029"</f>
        <v>GR0026029</v>
      </c>
      <c r="H95" s="14" t="str">
        <f>" 00"</f>
        <v xml:space="preserve"> 00</v>
      </c>
      <c r="I95" s="14">
        <v>0.01</v>
      </c>
      <c r="J95" s="14">
        <v>9999999.9900000002</v>
      </c>
      <c r="K95" s="14" t="s">
        <v>37</v>
      </c>
      <c r="L95" s="14" t="s">
        <v>38</v>
      </c>
      <c r="O95" s="14" t="s">
        <v>579</v>
      </c>
      <c r="P95" s="14" t="s">
        <v>701</v>
      </c>
      <c r="Q95" s="14" t="s">
        <v>701</v>
      </c>
      <c r="R95" s="14" t="s">
        <v>38</v>
      </c>
    </row>
    <row r="96" spans="1:18" s="14" customFormat="1" x14ac:dyDescent="0.25">
      <c r="A96" s="14" t="str">
        <f>"26047"</f>
        <v>26047</v>
      </c>
      <c r="B96" s="14" t="str">
        <f>"05160"</f>
        <v>05160</v>
      </c>
      <c r="C96" s="14" t="str">
        <f>"1800"</f>
        <v>1800</v>
      </c>
      <c r="D96" s="14" t="str">
        <f>"26047"</f>
        <v>26047</v>
      </c>
      <c r="E96" s="14" t="s">
        <v>945</v>
      </c>
      <c r="F96" s="14" t="s">
        <v>406</v>
      </c>
      <c r="G96" s="14" t="str">
        <f>"GR0026047"</f>
        <v>GR0026047</v>
      </c>
      <c r="H96" s="14" t="str">
        <f>" 00"</f>
        <v xml:space="preserve"> 00</v>
      </c>
      <c r="I96" s="14">
        <v>0.01</v>
      </c>
      <c r="J96" s="14">
        <v>9999999.9900000002</v>
      </c>
      <c r="K96" s="14" t="s">
        <v>318</v>
      </c>
      <c r="L96" s="14" t="s">
        <v>319</v>
      </c>
      <c r="M96" s="14" t="s">
        <v>90</v>
      </c>
      <c r="O96" s="14" t="s">
        <v>318</v>
      </c>
      <c r="P96" s="14" t="s">
        <v>701</v>
      </c>
      <c r="Q96" s="14" t="s">
        <v>701</v>
      </c>
      <c r="R96" s="14" t="s">
        <v>318</v>
      </c>
    </row>
    <row r="97" spans="1:18" s="14" customFormat="1" x14ac:dyDescent="0.25">
      <c r="A97" s="14" t="str">
        <f>"10001"</f>
        <v>10001</v>
      </c>
      <c r="B97" s="14" t="str">
        <f>"03890"</f>
        <v>03890</v>
      </c>
      <c r="C97" s="14" t="str">
        <f>"1000"</f>
        <v>1000</v>
      </c>
      <c r="D97" s="14" t="str">
        <f>"03890"</f>
        <v>03890</v>
      </c>
      <c r="E97" s="14" t="s">
        <v>20</v>
      </c>
      <c r="F97" s="14" t="s">
        <v>316</v>
      </c>
      <c r="G97" s="14" t="str">
        <f>""</f>
        <v/>
      </c>
      <c r="H97" s="14" t="str">
        <f>" 00"</f>
        <v xml:space="preserve"> 00</v>
      </c>
      <c r="I97" s="14">
        <v>0.01</v>
      </c>
      <c r="J97" s="14">
        <v>9999999.9900000002</v>
      </c>
      <c r="K97" s="14" t="s">
        <v>228</v>
      </c>
      <c r="L97" s="14" t="s">
        <v>226</v>
      </c>
      <c r="P97" s="14" t="s">
        <v>260</v>
      </c>
      <c r="Q97" s="14" t="s">
        <v>260</v>
      </c>
      <c r="R97" s="14" t="s">
        <v>229</v>
      </c>
    </row>
    <row r="98" spans="1:18" s="14" customFormat="1" x14ac:dyDescent="0.25">
      <c r="A98" s="14" t="str">
        <f>"13003"</f>
        <v>13003</v>
      </c>
      <c r="B98" s="14" t="str">
        <f>"03050"</f>
        <v>03050</v>
      </c>
      <c r="C98" s="14" t="str">
        <f>"1400"</f>
        <v>1400</v>
      </c>
      <c r="D98" s="14" t="str">
        <f>""</f>
        <v/>
      </c>
      <c r="E98" s="14" t="s">
        <v>490</v>
      </c>
      <c r="F98" s="14" t="s">
        <v>225</v>
      </c>
      <c r="G98" s="14" t="str">
        <f>""</f>
        <v/>
      </c>
      <c r="H98" s="14" t="str">
        <f>" 00"</f>
        <v xml:space="preserve"> 00</v>
      </c>
      <c r="I98" s="14">
        <v>0.01</v>
      </c>
      <c r="J98" s="14">
        <v>9999999.9900000002</v>
      </c>
      <c r="K98" s="14" t="s">
        <v>228</v>
      </c>
      <c r="P98" s="14" t="s">
        <v>260</v>
      </c>
      <c r="Q98" s="14" t="s">
        <v>260</v>
      </c>
      <c r="R98" s="14" t="s">
        <v>229</v>
      </c>
    </row>
    <row r="99" spans="1:18" s="14" customFormat="1" x14ac:dyDescent="0.25">
      <c r="A99" s="14" t="str">
        <f>"13007"</f>
        <v>13007</v>
      </c>
      <c r="B99" s="14" t="str">
        <f>"03050"</f>
        <v>03050</v>
      </c>
      <c r="C99" s="14" t="str">
        <f>"1400"</f>
        <v>1400</v>
      </c>
      <c r="D99" s="14" t="str">
        <f>"13007"</f>
        <v>13007</v>
      </c>
      <c r="E99" s="14" t="s">
        <v>491</v>
      </c>
      <c r="F99" s="14" t="s">
        <v>225</v>
      </c>
      <c r="G99" s="14" t="str">
        <f>""</f>
        <v/>
      </c>
      <c r="H99" s="14" t="str">
        <f>" 00"</f>
        <v xml:space="preserve"> 00</v>
      </c>
      <c r="I99" s="14">
        <v>0.01</v>
      </c>
      <c r="J99" s="14">
        <v>9999999.9900000002</v>
      </c>
      <c r="K99" s="14" t="s">
        <v>227</v>
      </c>
      <c r="P99" s="14" t="s">
        <v>260</v>
      </c>
      <c r="Q99" s="14" t="s">
        <v>260</v>
      </c>
      <c r="R99" s="14" t="s">
        <v>229</v>
      </c>
    </row>
    <row r="100" spans="1:18" s="14" customFormat="1" x14ac:dyDescent="0.25">
      <c r="A100" s="14" t="str">
        <f>"13008"</f>
        <v>13008</v>
      </c>
      <c r="B100" s="14" t="str">
        <f>"03094"</f>
        <v>03094</v>
      </c>
      <c r="C100" s="14" t="str">
        <f>"1400"</f>
        <v>1400</v>
      </c>
      <c r="D100" s="14" t="str">
        <f>"13008"</f>
        <v>13008</v>
      </c>
      <c r="E100" s="14" t="s">
        <v>492</v>
      </c>
      <c r="F100" s="14" t="s">
        <v>240</v>
      </c>
      <c r="G100" s="14" t="str">
        <f>""</f>
        <v/>
      </c>
      <c r="H100" s="14" t="str">
        <f>" 00"</f>
        <v xml:space="preserve"> 00</v>
      </c>
      <c r="I100" s="14">
        <v>0.01</v>
      </c>
      <c r="J100" s="14">
        <v>9999999.9900000002</v>
      </c>
      <c r="K100" s="14" t="s">
        <v>241</v>
      </c>
      <c r="L100" s="14" t="s">
        <v>231</v>
      </c>
      <c r="P100" s="14" t="s">
        <v>260</v>
      </c>
      <c r="Q100" s="14" t="s">
        <v>260</v>
      </c>
      <c r="R100" s="14" t="s">
        <v>242</v>
      </c>
    </row>
    <row r="101" spans="1:18" s="14" customFormat="1" x14ac:dyDescent="0.25">
      <c r="A101" s="14" t="str">
        <f>"14001"</f>
        <v>14001</v>
      </c>
      <c r="B101" s="14" t="str">
        <f>"03050"</f>
        <v>03050</v>
      </c>
      <c r="C101" s="14" t="str">
        <f>"1400"</f>
        <v>1400</v>
      </c>
      <c r="D101" s="14" t="str">
        <f>""</f>
        <v/>
      </c>
      <c r="E101" s="14" t="s">
        <v>493</v>
      </c>
      <c r="F101" s="14" t="s">
        <v>225</v>
      </c>
      <c r="G101" s="14" t="str">
        <f>""</f>
        <v/>
      </c>
      <c r="H101" s="14" t="str">
        <f>" 00"</f>
        <v xml:space="preserve"> 00</v>
      </c>
      <c r="I101" s="14">
        <v>0.01</v>
      </c>
      <c r="J101" s="14">
        <v>9999999.9900000002</v>
      </c>
      <c r="K101" s="14" t="s">
        <v>228</v>
      </c>
      <c r="P101" s="14" t="s">
        <v>260</v>
      </c>
      <c r="Q101" s="14" t="s">
        <v>260</v>
      </c>
      <c r="R101" s="14" t="s">
        <v>229</v>
      </c>
    </row>
    <row r="102" spans="1:18" s="14" customFormat="1" x14ac:dyDescent="0.25">
      <c r="A102" s="14" t="str">
        <f>"14002"</f>
        <v>14002</v>
      </c>
      <c r="B102" s="14" t="str">
        <f>"03050"</f>
        <v>03050</v>
      </c>
      <c r="C102" s="14" t="str">
        <f>"1400"</f>
        <v>1400</v>
      </c>
      <c r="D102" s="14" t="str">
        <f>""</f>
        <v/>
      </c>
      <c r="E102" s="14" t="s">
        <v>494</v>
      </c>
      <c r="F102" s="14" t="s">
        <v>225</v>
      </c>
      <c r="G102" s="14" t="str">
        <f>""</f>
        <v/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228</v>
      </c>
      <c r="P102" s="14" t="s">
        <v>260</v>
      </c>
      <c r="Q102" s="14" t="s">
        <v>260</v>
      </c>
      <c r="R102" s="14" t="s">
        <v>229</v>
      </c>
    </row>
    <row r="103" spans="1:18" s="14" customFormat="1" x14ac:dyDescent="0.25">
      <c r="A103" s="14" t="str">
        <f>"14004"</f>
        <v>14004</v>
      </c>
      <c r="B103" s="14" t="str">
        <f>"03050"</f>
        <v>03050</v>
      </c>
      <c r="C103" s="14" t="str">
        <f>"1400"</f>
        <v>1400</v>
      </c>
      <c r="D103" s="14" t="str">
        <f>""</f>
        <v/>
      </c>
      <c r="E103" s="14" t="s">
        <v>495</v>
      </c>
      <c r="F103" s="14" t="s">
        <v>225</v>
      </c>
      <c r="G103" s="14" t="str">
        <f>""</f>
        <v/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228</v>
      </c>
      <c r="P103" s="14" t="s">
        <v>260</v>
      </c>
      <c r="Q103" s="14" t="s">
        <v>260</v>
      </c>
      <c r="R103" s="14" t="s">
        <v>229</v>
      </c>
    </row>
    <row r="104" spans="1:18" s="14" customFormat="1" x14ac:dyDescent="0.25">
      <c r="A104" s="14" t="str">
        <f>"14006"</f>
        <v>14006</v>
      </c>
      <c r="B104" s="14" t="str">
        <f>"03050"</f>
        <v>03050</v>
      </c>
      <c r="C104" s="14" t="str">
        <f>"1400"</f>
        <v>1400</v>
      </c>
      <c r="D104" s="14" t="str">
        <f>""</f>
        <v/>
      </c>
      <c r="E104" s="14" t="s">
        <v>496</v>
      </c>
      <c r="F104" s="14" t="s">
        <v>225</v>
      </c>
      <c r="G104" s="14" t="str">
        <f>""</f>
        <v/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228</v>
      </c>
      <c r="P104" s="14" t="s">
        <v>260</v>
      </c>
      <c r="Q104" s="14" t="s">
        <v>260</v>
      </c>
      <c r="R104" s="14" t="s">
        <v>229</v>
      </c>
    </row>
    <row r="105" spans="1:18" s="14" customFormat="1" x14ac:dyDescent="0.25">
      <c r="A105" s="14" t="str">
        <f>"14007"</f>
        <v>14007</v>
      </c>
      <c r="B105" s="14" t="str">
        <f>"03050"</f>
        <v>03050</v>
      </c>
      <c r="C105" s="14" t="str">
        <f>"1400"</f>
        <v>1400</v>
      </c>
      <c r="D105" s="14" t="str">
        <f>""</f>
        <v/>
      </c>
      <c r="E105" s="14" t="s">
        <v>497</v>
      </c>
      <c r="F105" s="14" t="s">
        <v>225</v>
      </c>
      <c r="G105" s="14" t="str">
        <f>""</f>
        <v/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228</v>
      </c>
      <c r="P105" s="14" t="s">
        <v>260</v>
      </c>
      <c r="Q105" s="14" t="s">
        <v>260</v>
      </c>
      <c r="R105" s="14" t="s">
        <v>229</v>
      </c>
    </row>
    <row r="106" spans="1:18" s="14" customFormat="1" x14ac:dyDescent="0.25">
      <c r="A106" s="14" t="str">
        <f>"14008"</f>
        <v>14008</v>
      </c>
      <c r="B106" s="14" t="str">
        <f>"03050"</f>
        <v>03050</v>
      </c>
      <c r="C106" s="14" t="str">
        <f>"1400"</f>
        <v>1400</v>
      </c>
      <c r="D106" s="14" t="str">
        <f>""</f>
        <v/>
      </c>
      <c r="E106" s="14" t="s">
        <v>498</v>
      </c>
      <c r="F106" s="14" t="s">
        <v>225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228</v>
      </c>
      <c r="P106" s="14" t="s">
        <v>260</v>
      </c>
      <c r="Q106" s="14" t="s">
        <v>260</v>
      </c>
      <c r="R106" s="14" t="s">
        <v>229</v>
      </c>
    </row>
    <row r="107" spans="1:18" s="14" customFormat="1" x14ac:dyDescent="0.25">
      <c r="A107" s="14" t="str">
        <f>"14009"</f>
        <v>14009</v>
      </c>
      <c r="B107" s="14" t="str">
        <f>"03050"</f>
        <v>03050</v>
      </c>
      <c r="C107" s="14" t="str">
        <f>"1400"</f>
        <v>1400</v>
      </c>
      <c r="D107" s="14" t="str">
        <f>""</f>
        <v/>
      </c>
      <c r="E107" s="14" t="s">
        <v>499</v>
      </c>
      <c r="F107" s="14" t="s">
        <v>225</v>
      </c>
      <c r="G107" s="14" t="str">
        <f>""</f>
        <v/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228</v>
      </c>
      <c r="P107" s="14" t="s">
        <v>260</v>
      </c>
      <c r="Q107" s="14" t="s">
        <v>260</v>
      </c>
      <c r="R107" s="14" t="s">
        <v>229</v>
      </c>
    </row>
    <row r="108" spans="1:18" s="14" customFormat="1" x14ac:dyDescent="0.25">
      <c r="A108" s="14" t="str">
        <f>"14010"</f>
        <v>14010</v>
      </c>
      <c r="B108" s="14" t="str">
        <f>"03050"</f>
        <v>03050</v>
      </c>
      <c r="C108" s="14" t="str">
        <f>"1400"</f>
        <v>1400</v>
      </c>
      <c r="D108" s="14" t="str">
        <f>""</f>
        <v/>
      </c>
      <c r="E108" s="14" t="s">
        <v>500</v>
      </c>
      <c r="F108" s="14" t="s">
        <v>225</v>
      </c>
      <c r="G108" s="14" t="str">
        <f>""</f>
        <v/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228</v>
      </c>
      <c r="P108" s="14" t="s">
        <v>260</v>
      </c>
      <c r="Q108" s="14" t="s">
        <v>260</v>
      </c>
      <c r="R108" s="14" t="s">
        <v>229</v>
      </c>
    </row>
    <row r="109" spans="1:18" s="14" customFormat="1" x14ac:dyDescent="0.25">
      <c r="A109" s="14" t="str">
        <f>"14011"</f>
        <v>14011</v>
      </c>
      <c r="B109" s="14" t="str">
        <f>"03050"</f>
        <v>03050</v>
      </c>
      <c r="C109" s="14" t="str">
        <f>"1400"</f>
        <v>1400</v>
      </c>
      <c r="D109" s="14" t="str">
        <f>""</f>
        <v/>
      </c>
      <c r="E109" s="14" t="s">
        <v>501</v>
      </c>
      <c r="F109" s="14" t="s">
        <v>225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228</v>
      </c>
      <c r="P109" s="14" t="s">
        <v>260</v>
      </c>
      <c r="Q109" s="14" t="s">
        <v>260</v>
      </c>
      <c r="R109" s="14" t="s">
        <v>229</v>
      </c>
    </row>
    <row r="110" spans="1:18" s="14" customFormat="1" x14ac:dyDescent="0.25">
      <c r="A110" s="14" t="str">
        <f>"14012"</f>
        <v>14012</v>
      </c>
      <c r="B110" s="14" t="str">
        <f>"03050"</f>
        <v>03050</v>
      </c>
      <c r="C110" s="14" t="str">
        <f>"1400"</f>
        <v>1400</v>
      </c>
      <c r="D110" s="14" t="str">
        <f>""</f>
        <v/>
      </c>
      <c r="E110" s="14" t="s">
        <v>502</v>
      </c>
      <c r="F110" s="14" t="s">
        <v>225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228</v>
      </c>
      <c r="P110" s="14" t="s">
        <v>260</v>
      </c>
      <c r="Q110" s="14" t="s">
        <v>260</v>
      </c>
      <c r="R110" s="14" t="s">
        <v>229</v>
      </c>
    </row>
    <row r="111" spans="1:18" s="14" customFormat="1" x14ac:dyDescent="0.25">
      <c r="A111" s="14" t="str">
        <f>"14013"</f>
        <v>14013</v>
      </c>
      <c r="B111" s="14" t="str">
        <f>"03050"</f>
        <v>03050</v>
      </c>
      <c r="C111" s="14" t="str">
        <f>"1400"</f>
        <v>1400</v>
      </c>
      <c r="D111" s="14" t="str">
        <f>""</f>
        <v/>
      </c>
      <c r="E111" s="14" t="s">
        <v>503</v>
      </c>
      <c r="F111" s="14" t="s">
        <v>225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228</v>
      </c>
      <c r="P111" s="14" t="s">
        <v>260</v>
      </c>
      <c r="Q111" s="14" t="s">
        <v>260</v>
      </c>
      <c r="R111" s="14" t="s">
        <v>229</v>
      </c>
    </row>
    <row r="112" spans="1:18" s="14" customFormat="1" x14ac:dyDescent="0.25">
      <c r="A112" s="14" t="str">
        <f>"14014"</f>
        <v>14014</v>
      </c>
      <c r="B112" s="14" t="str">
        <f>"03050"</f>
        <v>03050</v>
      </c>
      <c r="C112" s="14" t="str">
        <f>"1400"</f>
        <v>1400</v>
      </c>
      <c r="D112" s="14" t="str">
        <f>""</f>
        <v/>
      </c>
      <c r="E112" s="14" t="s">
        <v>504</v>
      </c>
      <c r="F112" s="14" t="s">
        <v>225</v>
      </c>
      <c r="G112" s="14" t="str">
        <f>""</f>
        <v/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228</v>
      </c>
      <c r="P112" s="14" t="s">
        <v>260</v>
      </c>
      <c r="Q112" s="14" t="s">
        <v>260</v>
      </c>
      <c r="R112" s="14" t="s">
        <v>229</v>
      </c>
    </row>
    <row r="113" spans="1:18" s="14" customFormat="1" x14ac:dyDescent="0.25">
      <c r="A113" s="14" t="str">
        <f>"14015"</f>
        <v>14015</v>
      </c>
      <c r="B113" s="14" t="str">
        <f>"03050"</f>
        <v>03050</v>
      </c>
      <c r="C113" s="14" t="str">
        <f>"1400"</f>
        <v>1400</v>
      </c>
      <c r="D113" s="14" t="str">
        <f>""</f>
        <v/>
      </c>
      <c r="E113" s="14" t="s">
        <v>505</v>
      </c>
      <c r="F113" s="14" t="s">
        <v>225</v>
      </c>
      <c r="G113" s="14" t="str">
        <f>""</f>
        <v/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228</v>
      </c>
      <c r="P113" s="14" t="s">
        <v>260</v>
      </c>
      <c r="Q113" s="14" t="s">
        <v>260</v>
      </c>
      <c r="R113" s="14" t="s">
        <v>229</v>
      </c>
    </row>
    <row r="114" spans="1:18" s="14" customFormat="1" x14ac:dyDescent="0.25">
      <c r="A114" s="14" t="str">
        <f>"14016"</f>
        <v>14016</v>
      </c>
      <c r="B114" s="14" t="str">
        <f>"03050"</f>
        <v>03050</v>
      </c>
      <c r="C114" s="14" t="str">
        <f>"1400"</f>
        <v>1400</v>
      </c>
      <c r="D114" s="14" t="str">
        <f>""</f>
        <v/>
      </c>
      <c r="E114" s="14" t="s">
        <v>506</v>
      </c>
      <c r="F114" s="14" t="s">
        <v>225</v>
      </c>
      <c r="G114" s="14" t="str">
        <f>""</f>
        <v/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228</v>
      </c>
      <c r="P114" s="14" t="s">
        <v>260</v>
      </c>
      <c r="Q114" s="14" t="s">
        <v>260</v>
      </c>
      <c r="R114" s="14" t="s">
        <v>229</v>
      </c>
    </row>
    <row r="115" spans="1:18" s="14" customFormat="1" x14ac:dyDescent="0.25">
      <c r="A115" s="14" t="str">
        <f>"14017"</f>
        <v>14017</v>
      </c>
      <c r="B115" s="14" t="str">
        <f>"03050"</f>
        <v>03050</v>
      </c>
      <c r="C115" s="14" t="str">
        <f>"1400"</f>
        <v>1400</v>
      </c>
      <c r="D115" s="14" t="str">
        <f>""</f>
        <v/>
      </c>
      <c r="E115" s="14" t="s">
        <v>507</v>
      </c>
      <c r="F115" s="14" t="s">
        <v>225</v>
      </c>
      <c r="G115" s="14" t="str">
        <f>""</f>
        <v/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228</v>
      </c>
      <c r="P115" s="14" t="s">
        <v>260</v>
      </c>
      <c r="Q115" s="14" t="s">
        <v>260</v>
      </c>
      <c r="R115" s="14" t="s">
        <v>229</v>
      </c>
    </row>
    <row r="116" spans="1:18" s="14" customFormat="1" x14ac:dyDescent="0.25">
      <c r="A116" s="14" t="str">
        <f>"42001"</f>
        <v>42001</v>
      </c>
      <c r="B116" s="14" t="str">
        <f>"05160"</f>
        <v>05160</v>
      </c>
      <c r="C116" s="14" t="str">
        <f>"1400"</f>
        <v>1400</v>
      </c>
      <c r="D116" s="14" t="str">
        <f>""</f>
        <v/>
      </c>
      <c r="E116" s="14" t="s">
        <v>996</v>
      </c>
      <c r="F116" s="14" t="s">
        <v>406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318</v>
      </c>
      <c r="L116" s="14" t="s">
        <v>319</v>
      </c>
      <c r="M116" s="14" t="s">
        <v>90</v>
      </c>
      <c r="P116" s="14" t="s">
        <v>260</v>
      </c>
      <c r="Q116" s="14" t="s">
        <v>260</v>
      </c>
      <c r="R116" s="14" t="s">
        <v>318</v>
      </c>
    </row>
    <row r="117" spans="1:18" s="14" customFormat="1" x14ac:dyDescent="0.25">
      <c r="A117" s="14" t="str">
        <f>"42002"</f>
        <v>42002</v>
      </c>
      <c r="B117" s="14" t="str">
        <f>"05160"</f>
        <v>05160</v>
      </c>
      <c r="C117" s="14" t="str">
        <f>"1400"</f>
        <v>1400</v>
      </c>
      <c r="D117" s="14" t="str">
        <f>""</f>
        <v/>
      </c>
      <c r="E117" s="14" t="s">
        <v>997</v>
      </c>
      <c r="F117" s="14" t="s">
        <v>406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318</v>
      </c>
      <c r="L117" s="14" t="s">
        <v>319</v>
      </c>
      <c r="M117" s="14" t="s">
        <v>90</v>
      </c>
      <c r="P117" s="14" t="s">
        <v>260</v>
      </c>
      <c r="Q117" s="14" t="s">
        <v>260</v>
      </c>
      <c r="R117" s="14" t="s">
        <v>318</v>
      </c>
    </row>
    <row r="118" spans="1:18" s="14" customFormat="1" x14ac:dyDescent="0.25">
      <c r="A118" s="14" t="str">
        <f>"42101"</f>
        <v>42101</v>
      </c>
      <c r="B118" s="14" t="str">
        <f>"05160"</f>
        <v>05160</v>
      </c>
      <c r="C118" s="14" t="str">
        <f>"1400"</f>
        <v>1400</v>
      </c>
      <c r="D118" s="14" t="str">
        <f>""</f>
        <v/>
      </c>
      <c r="E118" s="14" t="s">
        <v>998</v>
      </c>
      <c r="F118" s="14" t="s">
        <v>406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318</v>
      </c>
      <c r="L118" s="14" t="s">
        <v>319</v>
      </c>
      <c r="M118" s="14" t="s">
        <v>90</v>
      </c>
      <c r="P118" s="14" t="s">
        <v>260</v>
      </c>
      <c r="Q118" s="14" t="s">
        <v>260</v>
      </c>
      <c r="R118" s="14" t="s">
        <v>318</v>
      </c>
    </row>
    <row r="119" spans="1:18" s="14" customFormat="1" x14ac:dyDescent="0.25">
      <c r="A119" s="14" t="str">
        <f>"42103"</f>
        <v>42103</v>
      </c>
      <c r="B119" s="14" t="str">
        <f>"05160"</f>
        <v>05160</v>
      </c>
      <c r="C119" s="14" t="str">
        <f>"1400"</f>
        <v>1400</v>
      </c>
      <c r="D119" s="14" t="str">
        <f>""</f>
        <v/>
      </c>
      <c r="E119" s="14" t="s">
        <v>999</v>
      </c>
      <c r="F119" s="14" t="s">
        <v>406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318</v>
      </c>
      <c r="L119" s="14" t="s">
        <v>319</v>
      </c>
      <c r="M119" s="14" t="s">
        <v>90</v>
      </c>
      <c r="P119" s="14" t="s">
        <v>260</v>
      </c>
      <c r="Q119" s="14" t="s">
        <v>260</v>
      </c>
      <c r="R119" s="14" t="s">
        <v>318</v>
      </c>
    </row>
    <row r="120" spans="1:18" s="14" customFormat="1" x14ac:dyDescent="0.25">
      <c r="A120" s="14" t="str">
        <f>"42901"</f>
        <v>42901</v>
      </c>
      <c r="B120" s="14" t="str">
        <f>"05160"</f>
        <v>05160</v>
      </c>
      <c r="C120" s="14" t="str">
        <f>"1400"</f>
        <v>1400</v>
      </c>
      <c r="D120" s="14" t="str">
        <f>""</f>
        <v/>
      </c>
      <c r="E120" s="14" t="s">
        <v>1000</v>
      </c>
      <c r="F120" s="14" t="s">
        <v>406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318</v>
      </c>
      <c r="L120" s="14" t="s">
        <v>319</v>
      </c>
      <c r="M120" s="14" t="s">
        <v>90</v>
      </c>
      <c r="P120" s="14" t="s">
        <v>260</v>
      </c>
      <c r="Q120" s="14" t="s">
        <v>260</v>
      </c>
      <c r="R120" s="14" t="s">
        <v>318</v>
      </c>
    </row>
    <row r="121" spans="1:18" s="14" customFormat="1" x14ac:dyDescent="0.25">
      <c r="A121" s="14" t="str">
        <f>"83001"</f>
        <v>83001</v>
      </c>
      <c r="B121" s="14" t="str">
        <f>"07010"</f>
        <v>07010</v>
      </c>
      <c r="C121" s="14" t="str">
        <f>"1800"</f>
        <v>1800</v>
      </c>
      <c r="D121" s="14" t="str">
        <f>""</f>
        <v/>
      </c>
      <c r="E121" s="14" t="s">
        <v>1001</v>
      </c>
      <c r="F121" s="14" t="s">
        <v>1002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228</v>
      </c>
      <c r="P121" s="14" t="s">
        <v>260</v>
      </c>
      <c r="Q121" s="14" t="s">
        <v>260</v>
      </c>
      <c r="R121" s="14" t="s">
        <v>229</v>
      </c>
    </row>
    <row r="122" spans="1:18" s="14" customFormat="1" x14ac:dyDescent="0.25">
      <c r="A122" s="14" t="str">
        <f>"83003"</f>
        <v>83003</v>
      </c>
      <c r="B122" s="14" t="str">
        <f>"07010"</f>
        <v>07010</v>
      </c>
      <c r="C122" s="14" t="str">
        <f>"1800"</f>
        <v>1800</v>
      </c>
      <c r="D122" s="14" t="str">
        <f>""</f>
        <v/>
      </c>
      <c r="E122" s="14" t="s">
        <v>1003</v>
      </c>
      <c r="F122" s="14" t="s">
        <v>1002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228</v>
      </c>
      <c r="P122" s="14" t="s">
        <v>260</v>
      </c>
      <c r="Q122" s="14" t="s">
        <v>260</v>
      </c>
      <c r="R122" s="14" t="s">
        <v>229</v>
      </c>
    </row>
    <row r="123" spans="1:18" s="14" customFormat="1" x14ac:dyDescent="0.25">
      <c r="A123" s="14" t="str">
        <f>"83005"</f>
        <v>83005</v>
      </c>
      <c r="B123" s="14" t="str">
        <f>"07010"</f>
        <v>07010</v>
      </c>
      <c r="C123" s="14" t="str">
        <f>"1800"</f>
        <v>1800</v>
      </c>
      <c r="D123" s="14" t="str">
        <f>""</f>
        <v/>
      </c>
      <c r="E123" s="14" t="s">
        <v>1004</v>
      </c>
      <c r="F123" s="14" t="s">
        <v>1002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228</v>
      </c>
      <c r="P123" s="14" t="s">
        <v>260</v>
      </c>
      <c r="Q123" s="14" t="s">
        <v>260</v>
      </c>
      <c r="R123" s="14" t="s">
        <v>229</v>
      </c>
    </row>
    <row r="124" spans="1:18" s="14" customFormat="1" x14ac:dyDescent="0.25">
      <c r="A124" s="14" t="str">
        <f>"83006"</f>
        <v>83006</v>
      </c>
      <c r="B124" s="14" t="str">
        <f>"07010"</f>
        <v>07010</v>
      </c>
      <c r="C124" s="14" t="str">
        <f>"1800"</f>
        <v>1800</v>
      </c>
      <c r="D124" s="14" t="str">
        <f>""</f>
        <v/>
      </c>
      <c r="E124" s="14" t="s">
        <v>1005</v>
      </c>
      <c r="F124" s="14" t="s">
        <v>1002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228</v>
      </c>
      <c r="P124" s="14" t="s">
        <v>260</v>
      </c>
      <c r="Q124" s="14" t="s">
        <v>260</v>
      </c>
      <c r="R124" s="14" t="s">
        <v>229</v>
      </c>
    </row>
    <row r="125" spans="1:18" s="14" customFormat="1" x14ac:dyDescent="0.25">
      <c r="A125" s="14" t="str">
        <f>"83007"</f>
        <v>83007</v>
      </c>
      <c r="B125" s="14" t="str">
        <f>"07010"</f>
        <v>07010</v>
      </c>
      <c r="C125" s="14" t="str">
        <f>"1800"</f>
        <v>1800</v>
      </c>
      <c r="D125" s="14" t="str">
        <f>""</f>
        <v/>
      </c>
      <c r="E125" s="14" t="s">
        <v>1006</v>
      </c>
      <c r="F125" s="14" t="s">
        <v>1002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228</v>
      </c>
      <c r="P125" s="14" t="s">
        <v>260</v>
      </c>
      <c r="Q125" s="14" t="s">
        <v>260</v>
      </c>
      <c r="R125" s="14" t="s">
        <v>229</v>
      </c>
    </row>
    <row r="126" spans="1:18" s="14" customFormat="1" x14ac:dyDescent="0.25">
      <c r="A126" s="14" t="str">
        <f>"83013"</f>
        <v>83013</v>
      </c>
      <c r="B126" s="14" t="str">
        <f>"07010"</f>
        <v>07010</v>
      </c>
      <c r="C126" s="14" t="str">
        <f>"1800"</f>
        <v>1800</v>
      </c>
      <c r="D126" s="14" t="str">
        <f>""</f>
        <v/>
      </c>
      <c r="E126" s="14" t="s">
        <v>1007</v>
      </c>
      <c r="F126" s="14" t="s">
        <v>1002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228</v>
      </c>
      <c r="P126" s="14" t="s">
        <v>260</v>
      </c>
      <c r="Q126" s="14" t="s">
        <v>260</v>
      </c>
      <c r="R126" s="14" t="s">
        <v>229</v>
      </c>
    </row>
    <row r="127" spans="1:18" s="14" customFormat="1" x14ac:dyDescent="0.25">
      <c r="A127" s="14" t="str">
        <f>"83014"</f>
        <v>83014</v>
      </c>
      <c r="B127" s="14" t="str">
        <f>"07010"</f>
        <v>07010</v>
      </c>
      <c r="C127" s="14" t="str">
        <f>"1800"</f>
        <v>1800</v>
      </c>
      <c r="D127" s="14" t="str">
        <f>""</f>
        <v/>
      </c>
      <c r="E127" s="14" t="s">
        <v>1008</v>
      </c>
      <c r="F127" s="14" t="s">
        <v>1002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228</v>
      </c>
      <c r="P127" s="14" t="s">
        <v>260</v>
      </c>
      <c r="Q127" s="14" t="s">
        <v>260</v>
      </c>
      <c r="R127" s="14" t="s">
        <v>229</v>
      </c>
    </row>
    <row r="128" spans="1:18" s="14" customFormat="1" x14ac:dyDescent="0.25">
      <c r="A128" s="14" t="str">
        <f>"83015"</f>
        <v>83015</v>
      </c>
      <c r="B128" s="14" t="str">
        <f>"07010"</f>
        <v>07010</v>
      </c>
      <c r="C128" s="14" t="str">
        <f>"1800"</f>
        <v>1800</v>
      </c>
      <c r="D128" s="14" t="str">
        <f>""</f>
        <v/>
      </c>
      <c r="E128" s="14" t="s">
        <v>1009</v>
      </c>
      <c r="F128" s="14" t="s">
        <v>1002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228</v>
      </c>
      <c r="P128" s="14" t="s">
        <v>260</v>
      </c>
      <c r="Q128" s="14" t="s">
        <v>260</v>
      </c>
      <c r="R128" s="14" t="s">
        <v>229</v>
      </c>
    </row>
    <row r="129" spans="1:18" s="14" customFormat="1" x14ac:dyDescent="0.25">
      <c r="A129" s="14" t="str">
        <f>"83016"</f>
        <v>83016</v>
      </c>
      <c r="B129" s="14" t="str">
        <f>"07010"</f>
        <v>07010</v>
      </c>
      <c r="C129" s="14" t="str">
        <f>"1800"</f>
        <v>1800</v>
      </c>
      <c r="D129" s="14" t="str">
        <f>""</f>
        <v/>
      </c>
      <c r="E129" s="14" t="s">
        <v>1010</v>
      </c>
      <c r="F129" s="14" t="s">
        <v>1002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228</v>
      </c>
      <c r="P129" s="14" t="s">
        <v>260</v>
      </c>
      <c r="Q129" s="14" t="s">
        <v>260</v>
      </c>
      <c r="R129" s="14" t="s">
        <v>229</v>
      </c>
    </row>
    <row r="130" spans="1:18" s="14" customFormat="1" x14ac:dyDescent="0.25">
      <c r="A130" s="14" t="str">
        <f>"83017"</f>
        <v>83017</v>
      </c>
      <c r="B130" s="14" t="str">
        <f>"07010"</f>
        <v>07010</v>
      </c>
      <c r="C130" s="14" t="str">
        <f>"1800"</f>
        <v>1800</v>
      </c>
      <c r="D130" s="14" t="str">
        <f>""</f>
        <v/>
      </c>
      <c r="E130" s="14" t="s">
        <v>1011</v>
      </c>
      <c r="F130" s="14" t="s">
        <v>1002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228</v>
      </c>
      <c r="P130" s="14" t="s">
        <v>260</v>
      </c>
      <c r="Q130" s="14" t="s">
        <v>260</v>
      </c>
      <c r="R130" s="14" t="s">
        <v>229</v>
      </c>
    </row>
    <row r="131" spans="1:18" s="14" customFormat="1" x14ac:dyDescent="0.25">
      <c r="A131" s="14" t="str">
        <f>"83019"</f>
        <v>83019</v>
      </c>
      <c r="B131" s="14" t="str">
        <f>"07010"</f>
        <v>07010</v>
      </c>
      <c r="C131" s="14" t="str">
        <f>"1800"</f>
        <v>1800</v>
      </c>
      <c r="D131" s="14" t="str">
        <f>""</f>
        <v/>
      </c>
      <c r="E131" s="14" t="s">
        <v>1012</v>
      </c>
      <c r="F131" s="14" t="s">
        <v>1002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228</v>
      </c>
      <c r="P131" s="14" t="s">
        <v>260</v>
      </c>
      <c r="Q131" s="14" t="s">
        <v>260</v>
      </c>
      <c r="R131" s="14" t="s">
        <v>229</v>
      </c>
    </row>
    <row r="132" spans="1:18" s="14" customFormat="1" x14ac:dyDescent="0.25">
      <c r="A132" s="14" t="str">
        <f>"83020"</f>
        <v>83020</v>
      </c>
      <c r="B132" s="14" t="str">
        <f>"07010"</f>
        <v>07010</v>
      </c>
      <c r="C132" s="14" t="str">
        <f>"1800"</f>
        <v>1800</v>
      </c>
      <c r="D132" s="14" t="str">
        <f>""</f>
        <v/>
      </c>
      <c r="E132" s="14" t="s">
        <v>1013</v>
      </c>
      <c r="F132" s="14" t="s">
        <v>1002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228</v>
      </c>
      <c r="P132" s="14" t="s">
        <v>260</v>
      </c>
      <c r="Q132" s="14" t="s">
        <v>260</v>
      </c>
      <c r="R132" s="14" t="s">
        <v>229</v>
      </c>
    </row>
    <row r="133" spans="1:18" s="14" customFormat="1" x14ac:dyDescent="0.25">
      <c r="A133" s="14" t="str">
        <f>"83021"</f>
        <v>83021</v>
      </c>
      <c r="B133" s="14" t="str">
        <f>"07010"</f>
        <v>07010</v>
      </c>
      <c r="C133" s="14" t="str">
        <f>"1800"</f>
        <v>1800</v>
      </c>
      <c r="D133" s="14" t="str">
        <f>""</f>
        <v/>
      </c>
      <c r="E133" s="14" t="s">
        <v>1014</v>
      </c>
      <c r="F133" s="14" t="s">
        <v>1002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228</v>
      </c>
      <c r="P133" s="14" t="s">
        <v>260</v>
      </c>
      <c r="Q133" s="14" t="s">
        <v>260</v>
      </c>
      <c r="R133" s="14" t="s">
        <v>229</v>
      </c>
    </row>
    <row r="134" spans="1:18" s="14" customFormat="1" x14ac:dyDescent="0.25">
      <c r="A134" s="14" t="str">
        <f>"83023"</f>
        <v>83023</v>
      </c>
      <c r="B134" s="14" t="str">
        <f>"07010"</f>
        <v>07010</v>
      </c>
      <c r="C134" s="14" t="str">
        <f>"1800"</f>
        <v>1800</v>
      </c>
      <c r="D134" s="14" t="str">
        <f>""</f>
        <v/>
      </c>
      <c r="E134" s="14" t="s">
        <v>1015</v>
      </c>
      <c r="F134" s="14" t="s">
        <v>1002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228</v>
      </c>
      <c r="P134" s="14" t="s">
        <v>260</v>
      </c>
      <c r="Q134" s="14" t="s">
        <v>260</v>
      </c>
      <c r="R134" s="14" t="s">
        <v>229</v>
      </c>
    </row>
    <row r="135" spans="1:18" s="14" customFormat="1" x14ac:dyDescent="0.25">
      <c r="A135" s="14" t="str">
        <f>"83025"</f>
        <v>83025</v>
      </c>
      <c r="B135" s="14" t="str">
        <f>"07010"</f>
        <v>07010</v>
      </c>
      <c r="C135" s="14" t="str">
        <f>"1800"</f>
        <v>1800</v>
      </c>
      <c r="D135" s="14" t="str">
        <f>""</f>
        <v/>
      </c>
      <c r="E135" s="14" t="s">
        <v>1016</v>
      </c>
      <c r="F135" s="14" t="s">
        <v>1002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228</v>
      </c>
      <c r="P135" s="14" t="s">
        <v>260</v>
      </c>
      <c r="Q135" s="14" t="s">
        <v>260</v>
      </c>
      <c r="R135" s="14" t="s">
        <v>229</v>
      </c>
    </row>
    <row r="136" spans="1:18" s="14" customFormat="1" x14ac:dyDescent="0.25">
      <c r="A136" s="14" t="str">
        <f>"83026"</f>
        <v>83026</v>
      </c>
      <c r="B136" s="14" t="str">
        <f>"07010"</f>
        <v>07010</v>
      </c>
      <c r="C136" s="14" t="str">
        <f>"1800"</f>
        <v>1800</v>
      </c>
      <c r="D136" s="14" t="str">
        <f>""</f>
        <v/>
      </c>
      <c r="E136" s="14" t="s">
        <v>1017</v>
      </c>
      <c r="F136" s="14" t="s">
        <v>1002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228</v>
      </c>
      <c r="P136" s="14" t="s">
        <v>260</v>
      </c>
      <c r="Q136" s="14" t="s">
        <v>260</v>
      </c>
      <c r="R136" s="14" t="s">
        <v>229</v>
      </c>
    </row>
    <row r="137" spans="1:18" s="14" customFormat="1" x14ac:dyDescent="0.25">
      <c r="A137" s="14" t="str">
        <f>"83027"</f>
        <v>83027</v>
      </c>
      <c r="B137" s="14" t="str">
        <f>"07010"</f>
        <v>07010</v>
      </c>
      <c r="C137" s="14" t="str">
        <f>"1800"</f>
        <v>1800</v>
      </c>
      <c r="D137" s="14" t="str">
        <f>""</f>
        <v/>
      </c>
      <c r="E137" s="14" t="s">
        <v>1018</v>
      </c>
      <c r="F137" s="14" t="s">
        <v>1002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228</v>
      </c>
      <c r="P137" s="14" t="s">
        <v>260</v>
      </c>
      <c r="Q137" s="14" t="s">
        <v>260</v>
      </c>
      <c r="R137" s="14" t="s">
        <v>229</v>
      </c>
    </row>
    <row r="138" spans="1:18" s="14" customFormat="1" x14ac:dyDescent="0.25">
      <c r="A138" s="14" t="str">
        <f>"83031"</f>
        <v>83031</v>
      </c>
      <c r="B138" s="14" t="str">
        <f>"07010"</f>
        <v>07010</v>
      </c>
      <c r="C138" s="14" t="str">
        <f>"1800"</f>
        <v>1800</v>
      </c>
      <c r="D138" s="14" t="str">
        <f>""</f>
        <v/>
      </c>
      <c r="E138" s="14" t="s">
        <v>1019</v>
      </c>
      <c r="F138" s="14" t="s">
        <v>1002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228</v>
      </c>
      <c r="P138" s="14" t="s">
        <v>260</v>
      </c>
      <c r="Q138" s="14" t="s">
        <v>260</v>
      </c>
      <c r="R138" s="14" t="s">
        <v>229</v>
      </c>
    </row>
    <row r="139" spans="1:18" s="14" customFormat="1" x14ac:dyDescent="0.25">
      <c r="A139" s="14" t="str">
        <f>"83032"</f>
        <v>83032</v>
      </c>
      <c r="B139" s="14" t="str">
        <f>"07010"</f>
        <v>07010</v>
      </c>
      <c r="C139" s="14" t="str">
        <f>"1800"</f>
        <v>1800</v>
      </c>
      <c r="D139" s="14" t="str">
        <f>""</f>
        <v/>
      </c>
      <c r="E139" s="14" t="s">
        <v>1020</v>
      </c>
      <c r="F139" s="14" t="s">
        <v>1002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228</v>
      </c>
      <c r="P139" s="14" t="s">
        <v>260</v>
      </c>
      <c r="Q139" s="14" t="s">
        <v>260</v>
      </c>
      <c r="R139" s="14" t="s">
        <v>229</v>
      </c>
    </row>
    <row r="140" spans="1:18" s="14" customFormat="1" x14ac:dyDescent="0.25">
      <c r="A140" s="14" t="str">
        <f>"83034"</f>
        <v>83034</v>
      </c>
      <c r="B140" s="14" t="str">
        <f>"07010"</f>
        <v>07010</v>
      </c>
      <c r="C140" s="14" t="str">
        <f>"1800"</f>
        <v>1800</v>
      </c>
      <c r="D140" s="14" t="str">
        <f>""</f>
        <v/>
      </c>
      <c r="E140" s="14" t="s">
        <v>1021</v>
      </c>
      <c r="F140" s="14" t="s">
        <v>1002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228</v>
      </c>
      <c r="P140" s="14" t="s">
        <v>260</v>
      </c>
      <c r="Q140" s="14" t="s">
        <v>260</v>
      </c>
      <c r="R140" s="14" t="s">
        <v>229</v>
      </c>
    </row>
    <row r="141" spans="1:18" s="14" customFormat="1" x14ac:dyDescent="0.25">
      <c r="A141" s="14" t="str">
        <f>"83035"</f>
        <v>83035</v>
      </c>
      <c r="B141" s="14" t="str">
        <f>"07010"</f>
        <v>07010</v>
      </c>
      <c r="C141" s="14" t="str">
        <f>"1800"</f>
        <v>1800</v>
      </c>
      <c r="D141" s="14" t="str">
        <f>""</f>
        <v/>
      </c>
      <c r="E141" s="14" t="s">
        <v>1022</v>
      </c>
      <c r="F141" s="14" t="s">
        <v>1002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228</v>
      </c>
      <c r="P141" s="14" t="s">
        <v>260</v>
      </c>
      <c r="Q141" s="14" t="s">
        <v>260</v>
      </c>
      <c r="R141" s="14" t="s">
        <v>229</v>
      </c>
    </row>
    <row r="142" spans="1:18" s="14" customFormat="1" x14ac:dyDescent="0.25">
      <c r="A142" s="14" t="str">
        <f>"83036"</f>
        <v>83036</v>
      </c>
      <c r="B142" s="14" t="str">
        <f>"07010"</f>
        <v>07010</v>
      </c>
      <c r="C142" s="14" t="str">
        <f>"1800"</f>
        <v>1800</v>
      </c>
      <c r="D142" s="14" t="str">
        <f>""</f>
        <v/>
      </c>
      <c r="E142" s="14" t="s">
        <v>1023</v>
      </c>
      <c r="F142" s="14" t="s">
        <v>1002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228</v>
      </c>
      <c r="P142" s="14" t="s">
        <v>260</v>
      </c>
      <c r="Q142" s="14" t="s">
        <v>260</v>
      </c>
      <c r="R142" s="14" t="s">
        <v>229</v>
      </c>
    </row>
    <row r="143" spans="1:18" s="14" customFormat="1" x14ac:dyDescent="0.25">
      <c r="A143" s="14" t="str">
        <f>"83042"</f>
        <v>83042</v>
      </c>
      <c r="B143" s="14" t="str">
        <f>"07010"</f>
        <v>07010</v>
      </c>
      <c r="C143" s="14" t="str">
        <f>"1800"</f>
        <v>1800</v>
      </c>
      <c r="D143" s="14" t="str">
        <f>""</f>
        <v/>
      </c>
      <c r="E143" s="14" t="s">
        <v>1024</v>
      </c>
      <c r="F143" s="14" t="s">
        <v>1002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228</v>
      </c>
      <c r="P143" s="14" t="s">
        <v>260</v>
      </c>
      <c r="Q143" s="14" t="s">
        <v>260</v>
      </c>
      <c r="R143" s="14" t="s">
        <v>229</v>
      </c>
    </row>
    <row r="144" spans="1:18" s="14" customFormat="1" x14ac:dyDescent="0.25">
      <c r="A144" s="14" t="str">
        <f>"83050"</f>
        <v>83050</v>
      </c>
      <c r="B144" s="14" t="str">
        <f>"07010"</f>
        <v>07010</v>
      </c>
      <c r="C144" s="14" t="str">
        <f>"1800"</f>
        <v>1800</v>
      </c>
      <c r="D144" s="14" t="str">
        <f>""</f>
        <v/>
      </c>
      <c r="E144" s="14" t="s">
        <v>1025</v>
      </c>
      <c r="F144" s="14" t="s">
        <v>1002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228</v>
      </c>
      <c r="P144" s="14" t="s">
        <v>260</v>
      </c>
      <c r="Q144" s="14" t="s">
        <v>260</v>
      </c>
      <c r="R144" s="14" t="s">
        <v>229</v>
      </c>
    </row>
    <row r="145" spans="1:18" s="14" customFormat="1" x14ac:dyDescent="0.25">
      <c r="A145" s="14" t="str">
        <f>"83051"</f>
        <v>83051</v>
      </c>
      <c r="B145" s="14" t="str">
        <f>"07010"</f>
        <v>07010</v>
      </c>
      <c r="C145" s="14" t="str">
        <f>"1800"</f>
        <v>1800</v>
      </c>
      <c r="D145" s="14" t="str">
        <f>""</f>
        <v/>
      </c>
      <c r="E145" s="14" t="s">
        <v>1026</v>
      </c>
      <c r="F145" s="14" t="s">
        <v>1002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228</v>
      </c>
      <c r="P145" s="14" t="s">
        <v>260</v>
      </c>
      <c r="Q145" s="14" t="s">
        <v>260</v>
      </c>
      <c r="R145" s="14" t="s">
        <v>229</v>
      </c>
    </row>
    <row r="146" spans="1:18" s="14" customFormat="1" x14ac:dyDescent="0.25">
      <c r="A146" s="14" t="str">
        <f>"83054"</f>
        <v>83054</v>
      </c>
      <c r="B146" s="14" t="str">
        <f>"07010"</f>
        <v>07010</v>
      </c>
      <c r="C146" s="14" t="str">
        <f>"1800"</f>
        <v>1800</v>
      </c>
      <c r="D146" s="14" t="str">
        <f>""</f>
        <v/>
      </c>
      <c r="E146" s="14" t="s">
        <v>1027</v>
      </c>
      <c r="F146" s="14" t="s">
        <v>1002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228</v>
      </c>
      <c r="P146" s="14" t="s">
        <v>260</v>
      </c>
      <c r="Q146" s="14" t="s">
        <v>260</v>
      </c>
      <c r="R146" s="14" t="s">
        <v>229</v>
      </c>
    </row>
    <row r="147" spans="1:18" s="14" customFormat="1" x14ac:dyDescent="0.25">
      <c r="A147" s="14" t="str">
        <f>"83058"</f>
        <v>83058</v>
      </c>
      <c r="B147" s="14" t="str">
        <f>"07010"</f>
        <v>07010</v>
      </c>
      <c r="C147" s="14" t="str">
        <f>"1800"</f>
        <v>1800</v>
      </c>
      <c r="D147" s="14" t="str">
        <f>""</f>
        <v/>
      </c>
      <c r="E147" s="14" t="s">
        <v>1028</v>
      </c>
      <c r="F147" s="14" t="s">
        <v>1002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228</v>
      </c>
      <c r="P147" s="14" t="s">
        <v>260</v>
      </c>
      <c r="Q147" s="14" t="s">
        <v>260</v>
      </c>
      <c r="R147" s="14" t="s">
        <v>229</v>
      </c>
    </row>
    <row r="148" spans="1:18" s="14" customFormat="1" x14ac:dyDescent="0.25">
      <c r="A148" s="14" t="str">
        <f>"83060"</f>
        <v>83060</v>
      </c>
      <c r="B148" s="14" t="str">
        <f>"07010"</f>
        <v>07010</v>
      </c>
      <c r="C148" s="14" t="str">
        <f>"1800"</f>
        <v>1800</v>
      </c>
      <c r="D148" s="14" t="str">
        <f>""</f>
        <v/>
      </c>
      <c r="E148" s="14" t="s">
        <v>1029</v>
      </c>
      <c r="F148" s="14" t="s">
        <v>1002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228</v>
      </c>
      <c r="P148" s="14" t="s">
        <v>260</v>
      </c>
      <c r="Q148" s="14" t="s">
        <v>260</v>
      </c>
      <c r="R148" s="14" t="s">
        <v>229</v>
      </c>
    </row>
    <row r="149" spans="1:18" s="14" customFormat="1" x14ac:dyDescent="0.25">
      <c r="A149" s="14" t="str">
        <f>"83061"</f>
        <v>83061</v>
      </c>
      <c r="B149" s="14" t="str">
        <f>"07010"</f>
        <v>07010</v>
      </c>
      <c r="C149" s="14" t="str">
        <f>"1800"</f>
        <v>1800</v>
      </c>
      <c r="D149" s="14" t="str">
        <f>""</f>
        <v/>
      </c>
      <c r="E149" s="14" t="s">
        <v>1030</v>
      </c>
      <c r="F149" s="14" t="s">
        <v>1002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228</v>
      </c>
      <c r="P149" s="14" t="s">
        <v>260</v>
      </c>
      <c r="Q149" s="14" t="s">
        <v>260</v>
      </c>
      <c r="R149" s="14" t="s">
        <v>229</v>
      </c>
    </row>
    <row r="150" spans="1:18" s="14" customFormat="1" x14ac:dyDescent="0.25">
      <c r="A150" s="14" t="str">
        <f>"83062"</f>
        <v>83062</v>
      </c>
      <c r="B150" s="14" t="str">
        <f>"07010"</f>
        <v>07010</v>
      </c>
      <c r="C150" s="14" t="str">
        <f>"1800"</f>
        <v>1800</v>
      </c>
      <c r="D150" s="14" t="str">
        <f>""</f>
        <v/>
      </c>
      <c r="E150" s="14" t="s">
        <v>1031</v>
      </c>
      <c r="F150" s="14" t="s">
        <v>1002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228</v>
      </c>
      <c r="P150" s="14" t="s">
        <v>260</v>
      </c>
      <c r="Q150" s="14" t="s">
        <v>260</v>
      </c>
      <c r="R150" s="14" t="s">
        <v>229</v>
      </c>
    </row>
    <row r="151" spans="1:18" s="14" customFormat="1" x14ac:dyDescent="0.25">
      <c r="A151" s="14" t="str">
        <f>"83063"</f>
        <v>83063</v>
      </c>
      <c r="B151" s="14" t="str">
        <f>"07010"</f>
        <v>07010</v>
      </c>
      <c r="C151" s="14" t="str">
        <f>"1800"</f>
        <v>1800</v>
      </c>
      <c r="D151" s="14" t="str">
        <f>""</f>
        <v/>
      </c>
      <c r="E151" s="14" t="s">
        <v>1032</v>
      </c>
      <c r="F151" s="14" t="s">
        <v>1002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228</v>
      </c>
      <c r="P151" s="14" t="s">
        <v>260</v>
      </c>
      <c r="Q151" s="14" t="s">
        <v>260</v>
      </c>
      <c r="R151" s="14" t="s">
        <v>229</v>
      </c>
    </row>
    <row r="152" spans="1:18" s="14" customFormat="1" x14ac:dyDescent="0.25">
      <c r="A152" s="14" t="str">
        <f>"83068"</f>
        <v>83068</v>
      </c>
      <c r="B152" s="14" t="str">
        <f>"07010"</f>
        <v>07010</v>
      </c>
      <c r="C152" s="14" t="str">
        <f>"1800"</f>
        <v>1800</v>
      </c>
      <c r="D152" s="14" t="str">
        <f>""</f>
        <v/>
      </c>
      <c r="E152" s="14" t="s">
        <v>1033</v>
      </c>
      <c r="F152" s="14" t="s">
        <v>1002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228</v>
      </c>
      <c r="P152" s="14" t="s">
        <v>260</v>
      </c>
      <c r="Q152" s="14" t="s">
        <v>260</v>
      </c>
      <c r="R152" s="14" t="s">
        <v>229</v>
      </c>
    </row>
    <row r="153" spans="1:18" s="14" customFormat="1" x14ac:dyDescent="0.25">
      <c r="A153" s="14" t="str">
        <f>"83071"</f>
        <v>83071</v>
      </c>
      <c r="B153" s="14" t="str">
        <f>"07010"</f>
        <v>07010</v>
      </c>
      <c r="C153" s="14" t="str">
        <f>"1800"</f>
        <v>1800</v>
      </c>
      <c r="D153" s="14" t="str">
        <f>""</f>
        <v/>
      </c>
      <c r="E153" s="14" t="s">
        <v>1034</v>
      </c>
      <c r="F153" s="14" t="s">
        <v>1002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228</v>
      </c>
      <c r="P153" s="14" t="s">
        <v>260</v>
      </c>
      <c r="Q153" s="14" t="s">
        <v>260</v>
      </c>
      <c r="R153" s="14" t="s">
        <v>229</v>
      </c>
    </row>
    <row r="154" spans="1:18" s="14" customFormat="1" x14ac:dyDescent="0.25">
      <c r="A154" s="14" t="str">
        <f>"83073"</f>
        <v>83073</v>
      </c>
      <c r="B154" s="14" t="str">
        <f>"07010"</f>
        <v>07010</v>
      </c>
      <c r="C154" s="14" t="str">
        <f>"1800"</f>
        <v>1800</v>
      </c>
      <c r="D154" s="14" t="str">
        <f>""</f>
        <v/>
      </c>
      <c r="E154" s="14" t="s">
        <v>1035</v>
      </c>
      <c r="F154" s="14" t="s">
        <v>1002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228</v>
      </c>
      <c r="P154" s="14" t="s">
        <v>260</v>
      </c>
      <c r="Q154" s="14" t="s">
        <v>260</v>
      </c>
      <c r="R154" s="14" t="s">
        <v>229</v>
      </c>
    </row>
    <row r="155" spans="1:18" s="14" customFormat="1" x14ac:dyDescent="0.25">
      <c r="A155" s="14" t="str">
        <f>"83075"</f>
        <v>83075</v>
      </c>
      <c r="B155" s="14" t="str">
        <f>"07010"</f>
        <v>07010</v>
      </c>
      <c r="C155" s="14" t="str">
        <f>"1800"</f>
        <v>1800</v>
      </c>
      <c r="D155" s="14" t="str">
        <f>""</f>
        <v/>
      </c>
      <c r="E155" s="14" t="s">
        <v>1036</v>
      </c>
      <c r="F155" s="14" t="s">
        <v>1002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228</v>
      </c>
      <c r="P155" s="14" t="s">
        <v>260</v>
      </c>
      <c r="Q155" s="14" t="s">
        <v>260</v>
      </c>
      <c r="R155" s="14" t="s">
        <v>229</v>
      </c>
    </row>
    <row r="156" spans="1:18" s="14" customFormat="1" x14ac:dyDescent="0.25">
      <c r="A156" s="14" t="str">
        <f>"83076"</f>
        <v>83076</v>
      </c>
      <c r="B156" s="14" t="str">
        <f>"07010"</f>
        <v>07010</v>
      </c>
      <c r="C156" s="14" t="str">
        <f>"1800"</f>
        <v>1800</v>
      </c>
      <c r="D156" s="14" t="str">
        <f>""</f>
        <v/>
      </c>
      <c r="E156" s="14" t="s">
        <v>1037</v>
      </c>
      <c r="F156" s="14" t="s">
        <v>1002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228</v>
      </c>
      <c r="P156" s="14" t="s">
        <v>260</v>
      </c>
      <c r="Q156" s="14" t="s">
        <v>260</v>
      </c>
      <c r="R156" s="14" t="s">
        <v>229</v>
      </c>
    </row>
    <row r="157" spans="1:18" s="14" customFormat="1" x14ac:dyDescent="0.25">
      <c r="A157" s="14" t="str">
        <f>"83079"</f>
        <v>83079</v>
      </c>
      <c r="B157" s="14" t="str">
        <f>"07010"</f>
        <v>07010</v>
      </c>
      <c r="C157" s="14" t="str">
        <f>"1800"</f>
        <v>1800</v>
      </c>
      <c r="D157" s="14" t="str">
        <f>""</f>
        <v/>
      </c>
      <c r="E157" s="14" t="s">
        <v>1038</v>
      </c>
      <c r="F157" s="14" t="s">
        <v>1002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228</v>
      </c>
      <c r="P157" s="14" t="s">
        <v>260</v>
      </c>
      <c r="Q157" s="14" t="s">
        <v>260</v>
      </c>
      <c r="R157" s="14" t="s">
        <v>229</v>
      </c>
    </row>
    <row r="158" spans="1:18" s="14" customFormat="1" x14ac:dyDescent="0.25">
      <c r="A158" s="14" t="str">
        <f>"83080"</f>
        <v>83080</v>
      </c>
      <c r="B158" s="14" t="str">
        <f>"07010"</f>
        <v>07010</v>
      </c>
      <c r="C158" s="14" t="str">
        <f>"1800"</f>
        <v>1800</v>
      </c>
      <c r="D158" s="14" t="str">
        <f>""</f>
        <v/>
      </c>
      <c r="E158" s="14" t="s">
        <v>1039</v>
      </c>
      <c r="F158" s="14" t="s">
        <v>1002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228</v>
      </c>
      <c r="P158" s="14" t="s">
        <v>260</v>
      </c>
      <c r="Q158" s="14" t="s">
        <v>260</v>
      </c>
      <c r="R158" s="14" t="s">
        <v>229</v>
      </c>
    </row>
    <row r="159" spans="1:18" s="14" customFormat="1" x14ac:dyDescent="0.25">
      <c r="A159" s="14" t="str">
        <f>"83081"</f>
        <v>83081</v>
      </c>
      <c r="B159" s="14" t="str">
        <f>"07010"</f>
        <v>07010</v>
      </c>
      <c r="C159" s="14" t="str">
        <f>"1800"</f>
        <v>1800</v>
      </c>
      <c r="D159" s="14" t="str">
        <f>""</f>
        <v/>
      </c>
      <c r="E159" s="14" t="s">
        <v>1040</v>
      </c>
      <c r="F159" s="14" t="s">
        <v>1002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228</v>
      </c>
      <c r="P159" s="14" t="s">
        <v>260</v>
      </c>
      <c r="Q159" s="14" t="s">
        <v>260</v>
      </c>
      <c r="R159" s="14" t="s">
        <v>229</v>
      </c>
    </row>
    <row r="160" spans="1:18" s="14" customFormat="1" x14ac:dyDescent="0.25">
      <c r="A160" s="14" t="str">
        <f>"83082"</f>
        <v>83082</v>
      </c>
      <c r="B160" s="14" t="str">
        <f>"07010"</f>
        <v>07010</v>
      </c>
      <c r="C160" s="14" t="str">
        <f>"1800"</f>
        <v>1800</v>
      </c>
      <c r="D160" s="14" t="str">
        <f>""</f>
        <v/>
      </c>
      <c r="E160" s="14" t="s">
        <v>1041</v>
      </c>
      <c r="F160" s="14" t="s">
        <v>1002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228</v>
      </c>
      <c r="P160" s="14" t="s">
        <v>260</v>
      </c>
      <c r="Q160" s="14" t="s">
        <v>260</v>
      </c>
      <c r="R160" s="14" t="s">
        <v>229</v>
      </c>
    </row>
    <row r="161" spans="1:18" s="14" customFormat="1" x14ac:dyDescent="0.25">
      <c r="A161" s="14" t="str">
        <f>"83084"</f>
        <v>83084</v>
      </c>
      <c r="B161" s="14" t="str">
        <f>"07010"</f>
        <v>07010</v>
      </c>
      <c r="C161" s="14" t="str">
        <f>"1800"</f>
        <v>1800</v>
      </c>
      <c r="D161" s="14" t="str">
        <f>""</f>
        <v/>
      </c>
      <c r="E161" s="14" t="s">
        <v>1042</v>
      </c>
      <c r="F161" s="14" t="s">
        <v>1002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228</v>
      </c>
      <c r="P161" s="14" t="s">
        <v>260</v>
      </c>
      <c r="Q161" s="14" t="s">
        <v>260</v>
      </c>
      <c r="R161" s="14" t="s">
        <v>229</v>
      </c>
    </row>
    <row r="162" spans="1:18" s="14" customFormat="1" x14ac:dyDescent="0.25">
      <c r="A162" s="14" t="str">
        <f>"83086"</f>
        <v>83086</v>
      </c>
      <c r="B162" s="14" t="str">
        <f>"07010"</f>
        <v>07010</v>
      </c>
      <c r="C162" s="14" t="str">
        <f>"1800"</f>
        <v>1800</v>
      </c>
      <c r="D162" s="14" t="str">
        <f>""</f>
        <v/>
      </c>
      <c r="E162" s="14" t="s">
        <v>1043</v>
      </c>
      <c r="F162" s="14" t="s">
        <v>1002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228</v>
      </c>
      <c r="P162" s="14" t="s">
        <v>260</v>
      </c>
      <c r="Q162" s="14" t="s">
        <v>260</v>
      </c>
      <c r="R162" s="14" t="s">
        <v>229</v>
      </c>
    </row>
    <row r="163" spans="1:18" s="14" customFormat="1" x14ac:dyDescent="0.25">
      <c r="A163" s="14" t="str">
        <f>"83087"</f>
        <v>83087</v>
      </c>
      <c r="B163" s="14" t="str">
        <f>"07010"</f>
        <v>07010</v>
      </c>
      <c r="C163" s="14" t="str">
        <f>"1800"</f>
        <v>1800</v>
      </c>
      <c r="D163" s="14" t="str">
        <f>""</f>
        <v/>
      </c>
      <c r="E163" s="14" t="s">
        <v>1044</v>
      </c>
      <c r="F163" s="14" t="s">
        <v>1002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228</v>
      </c>
      <c r="P163" s="14" t="s">
        <v>260</v>
      </c>
      <c r="Q163" s="14" t="s">
        <v>260</v>
      </c>
      <c r="R163" s="14" t="s">
        <v>229</v>
      </c>
    </row>
    <row r="164" spans="1:18" s="14" customFormat="1" x14ac:dyDescent="0.25">
      <c r="A164" s="14" t="str">
        <f>"83088"</f>
        <v>83088</v>
      </c>
      <c r="B164" s="14" t="str">
        <f>"07010"</f>
        <v>07010</v>
      </c>
      <c r="C164" s="14" t="str">
        <f>"1800"</f>
        <v>1800</v>
      </c>
      <c r="D164" s="14" t="str">
        <f>""</f>
        <v/>
      </c>
      <c r="E164" s="14" t="s">
        <v>1045</v>
      </c>
      <c r="F164" s="14" t="s">
        <v>1002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228</v>
      </c>
      <c r="P164" s="14" t="s">
        <v>260</v>
      </c>
      <c r="Q164" s="14" t="s">
        <v>260</v>
      </c>
      <c r="R164" s="14" t="s">
        <v>229</v>
      </c>
    </row>
    <row r="165" spans="1:18" s="14" customFormat="1" x14ac:dyDescent="0.25">
      <c r="A165" s="14" t="str">
        <f>"83093"</f>
        <v>83093</v>
      </c>
      <c r="B165" s="14" t="str">
        <f>"07010"</f>
        <v>07010</v>
      </c>
      <c r="C165" s="14" t="str">
        <f>"1800"</f>
        <v>1800</v>
      </c>
      <c r="D165" s="14" t="str">
        <f>""</f>
        <v/>
      </c>
      <c r="E165" s="14" t="s">
        <v>1046</v>
      </c>
      <c r="F165" s="14" t="s">
        <v>1002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228</v>
      </c>
      <c r="P165" s="14" t="s">
        <v>260</v>
      </c>
      <c r="Q165" s="14" t="s">
        <v>260</v>
      </c>
      <c r="R165" s="14" t="s">
        <v>229</v>
      </c>
    </row>
    <row r="166" spans="1:18" s="14" customFormat="1" x14ac:dyDescent="0.25">
      <c r="A166" s="14" t="str">
        <f>"83094"</f>
        <v>83094</v>
      </c>
      <c r="B166" s="14" t="str">
        <f>"07010"</f>
        <v>07010</v>
      </c>
      <c r="C166" s="14" t="str">
        <f>"1800"</f>
        <v>1800</v>
      </c>
      <c r="D166" s="14" t="str">
        <f>""</f>
        <v/>
      </c>
      <c r="E166" s="14" t="s">
        <v>1047</v>
      </c>
      <c r="F166" s="14" t="s">
        <v>1002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228</v>
      </c>
      <c r="P166" s="14" t="s">
        <v>260</v>
      </c>
      <c r="Q166" s="14" t="s">
        <v>260</v>
      </c>
      <c r="R166" s="14" t="s">
        <v>229</v>
      </c>
    </row>
    <row r="167" spans="1:18" s="14" customFormat="1" x14ac:dyDescent="0.25">
      <c r="A167" s="14" t="str">
        <f>"83099"</f>
        <v>83099</v>
      </c>
      <c r="B167" s="14" t="str">
        <f>"07010"</f>
        <v>07010</v>
      </c>
      <c r="C167" s="14" t="str">
        <f>"1800"</f>
        <v>1800</v>
      </c>
      <c r="D167" s="14" t="str">
        <f>""</f>
        <v/>
      </c>
      <c r="E167" s="14" t="s">
        <v>1048</v>
      </c>
      <c r="F167" s="14" t="s">
        <v>1002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228</v>
      </c>
      <c r="P167" s="14" t="s">
        <v>260</v>
      </c>
      <c r="Q167" s="14" t="s">
        <v>260</v>
      </c>
      <c r="R167" s="14" t="s">
        <v>229</v>
      </c>
    </row>
    <row r="168" spans="1:18" s="14" customFormat="1" x14ac:dyDescent="0.25">
      <c r="A168" s="14" t="str">
        <f>"83100"</f>
        <v>83100</v>
      </c>
      <c r="B168" s="14" t="str">
        <f>"07010"</f>
        <v>07010</v>
      </c>
      <c r="C168" s="14" t="str">
        <f>"1800"</f>
        <v>1800</v>
      </c>
      <c r="D168" s="14" t="str">
        <f>""</f>
        <v/>
      </c>
      <c r="E168" s="14" t="s">
        <v>1049</v>
      </c>
      <c r="F168" s="14" t="s">
        <v>1002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228</v>
      </c>
      <c r="P168" s="14" t="s">
        <v>260</v>
      </c>
      <c r="Q168" s="14" t="s">
        <v>260</v>
      </c>
      <c r="R168" s="14" t="s">
        <v>229</v>
      </c>
    </row>
    <row r="169" spans="1:18" s="14" customFormat="1" x14ac:dyDescent="0.25">
      <c r="A169" s="14" t="str">
        <f>"83102"</f>
        <v>83102</v>
      </c>
      <c r="B169" s="14" t="str">
        <f>"07010"</f>
        <v>07010</v>
      </c>
      <c r="C169" s="14" t="str">
        <f>"1800"</f>
        <v>1800</v>
      </c>
      <c r="D169" s="14" t="str">
        <f>""</f>
        <v/>
      </c>
      <c r="E169" s="14" t="s">
        <v>1050</v>
      </c>
      <c r="F169" s="14" t="s">
        <v>1002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228</v>
      </c>
      <c r="P169" s="14" t="s">
        <v>260</v>
      </c>
      <c r="Q169" s="14" t="s">
        <v>260</v>
      </c>
      <c r="R169" s="14" t="s">
        <v>229</v>
      </c>
    </row>
    <row r="170" spans="1:18" s="14" customFormat="1" x14ac:dyDescent="0.25">
      <c r="A170" s="14" t="str">
        <f>"83103"</f>
        <v>83103</v>
      </c>
      <c r="B170" s="14" t="str">
        <f>"07010"</f>
        <v>07010</v>
      </c>
      <c r="C170" s="14" t="str">
        <f>"1800"</f>
        <v>1800</v>
      </c>
      <c r="D170" s="14" t="str">
        <f>""</f>
        <v/>
      </c>
      <c r="E170" s="14" t="s">
        <v>1051</v>
      </c>
      <c r="F170" s="14" t="s">
        <v>1002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228</v>
      </c>
      <c r="P170" s="14" t="s">
        <v>260</v>
      </c>
      <c r="Q170" s="14" t="s">
        <v>260</v>
      </c>
      <c r="R170" s="14" t="s">
        <v>229</v>
      </c>
    </row>
    <row r="171" spans="1:18" s="14" customFormat="1" x14ac:dyDescent="0.25">
      <c r="A171" s="14" t="str">
        <f>"83109"</f>
        <v>83109</v>
      </c>
      <c r="B171" s="14" t="str">
        <f>"07010"</f>
        <v>07010</v>
      </c>
      <c r="C171" s="14" t="str">
        <f>"1800"</f>
        <v>1800</v>
      </c>
      <c r="D171" s="14" t="str">
        <f>""</f>
        <v/>
      </c>
      <c r="E171" s="14" t="s">
        <v>1052</v>
      </c>
      <c r="F171" s="14" t="s">
        <v>1002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228</v>
      </c>
      <c r="P171" s="14" t="s">
        <v>260</v>
      </c>
      <c r="Q171" s="14" t="s">
        <v>260</v>
      </c>
      <c r="R171" s="14" t="s">
        <v>229</v>
      </c>
    </row>
    <row r="172" spans="1:18" s="14" customFormat="1" x14ac:dyDescent="0.25">
      <c r="A172" s="14" t="str">
        <f>"83111"</f>
        <v>83111</v>
      </c>
      <c r="B172" s="14" t="str">
        <f>"07010"</f>
        <v>07010</v>
      </c>
      <c r="C172" s="14" t="str">
        <f>"1800"</f>
        <v>1800</v>
      </c>
      <c r="D172" s="14" t="str">
        <f>""</f>
        <v/>
      </c>
      <c r="E172" s="14" t="s">
        <v>1053</v>
      </c>
      <c r="F172" s="14" t="s">
        <v>1002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228</v>
      </c>
      <c r="P172" s="14" t="s">
        <v>260</v>
      </c>
      <c r="Q172" s="14" t="s">
        <v>260</v>
      </c>
      <c r="R172" s="14" t="s">
        <v>229</v>
      </c>
    </row>
    <row r="173" spans="1:18" s="14" customFormat="1" x14ac:dyDescent="0.25">
      <c r="A173" s="14" t="str">
        <f>"83113"</f>
        <v>83113</v>
      </c>
      <c r="B173" s="14" t="str">
        <f>"07010"</f>
        <v>07010</v>
      </c>
      <c r="C173" s="14" t="str">
        <f>"1800"</f>
        <v>1800</v>
      </c>
      <c r="D173" s="14" t="str">
        <f>""</f>
        <v/>
      </c>
      <c r="E173" s="14" t="s">
        <v>1054</v>
      </c>
      <c r="F173" s="14" t="s">
        <v>1002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228</v>
      </c>
      <c r="P173" s="14" t="s">
        <v>260</v>
      </c>
      <c r="Q173" s="14" t="s">
        <v>260</v>
      </c>
      <c r="R173" s="14" t="s">
        <v>229</v>
      </c>
    </row>
    <row r="174" spans="1:18" s="14" customFormat="1" x14ac:dyDescent="0.25">
      <c r="A174" s="14" t="str">
        <f>"83115"</f>
        <v>83115</v>
      </c>
      <c r="B174" s="14" t="str">
        <f>"07010"</f>
        <v>07010</v>
      </c>
      <c r="C174" s="14" t="str">
        <f>"1800"</f>
        <v>1800</v>
      </c>
      <c r="D174" s="14" t="str">
        <f>""</f>
        <v/>
      </c>
      <c r="E174" s="14" t="s">
        <v>1055</v>
      </c>
      <c r="F174" s="14" t="s">
        <v>1002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228</v>
      </c>
      <c r="P174" s="14" t="s">
        <v>260</v>
      </c>
      <c r="Q174" s="14" t="s">
        <v>260</v>
      </c>
      <c r="R174" s="14" t="s">
        <v>229</v>
      </c>
    </row>
    <row r="175" spans="1:18" s="14" customFormat="1" x14ac:dyDescent="0.25">
      <c r="A175" s="14" t="str">
        <f>"83120"</f>
        <v>83120</v>
      </c>
      <c r="B175" s="14" t="str">
        <f>"07010"</f>
        <v>07010</v>
      </c>
      <c r="C175" s="14" t="str">
        <f>"1800"</f>
        <v>1800</v>
      </c>
      <c r="D175" s="14" t="str">
        <f>""</f>
        <v/>
      </c>
      <c r="E175" s="14" t="s">
        <v>1056</v>
      </c>
      <c r="F175" s="14" t="s">
        <v>1002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228</v>
      </c>
      <c r="P175" s="14" t="s">
        <v>260</v>
      </c>
      <c r="Q175" s="14" t="s">
        <v>260</v>
      </c>
      <c r="R175" s="14" t="s">
        <v>229</v>
      </c>
    </row>
    <row r="176" spans="1:18" s="14" customFormat="1" x14ac:dyDescent="0.25">
      <c r="A176" s="14" t="str">
        <f>"83122"</f>
        <v>83122</v>
      </c>
      <c r="B176" s="14" t="str">
        <f>"07010"</f>
        <v>07010</v>
      </c>
      <c r="C176" s="14" t="str">
        <f>"1800"</f>
        <v>1800</v>
      </c>
      <c r="D176" s="14" t="str">
        <f>""</f>
        <v/>
      </c>
      <c r="E176" s="14" t="s">
        <v>1057</v>
      </c>
      <c r="F176" s="14" t="s">
        <v>1002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228</v>
      </c>
      <c r="P176" s="14" t="s">
        <v>260</v>
      </c>
      <c r="Q176" s="14" t="s">
        <v>260</v>
      </c>
      <c r="R176" s="14" t="s">
        <v>229</v>
      </c>
    </row>
    <row r="177" spans="1:18" s="14" customFormat="1" x14ac:dyDescent="0.25">
      <c r="A177" s="14" t="str">
        <f>"83125"</f>
        <v>83125</v>
      </c>
      <c r="B177" s="14" t="str">
        <f>"07010"</f>
        <v>07010</v>
      </c>
      <c r="C177" s="14" t="str">
        <f>"1800"</f>
        <v>1800</v>
      </c>
      <c r="D177" s="14" t="str">
        <f>""</f>
        <v/>
      </c>
      <c r="E177" s="14" t="s">
        <v>1058</v>
      </c>
      <c r="F177" s="14" t="s">
        <v>1002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228</v>
      </c>
      <c r="P177" s="14" t="s">
        <v>260</v>
      </c>
      <c r="Q177" s="14" t="s">
        <v>260</v>
      </c>
      <c r="R177" s="14" t="s">
        <v>229</v>
      </c>
    </row>
    <row r="178" spans="1:18" s="14" customFormat="1" x14ac:dyDescent="0.25">
      <c r="A178" s="14" t="str">
        <f>"83130"</f>
        <v>83130</v>
      </c>
      <c r="B178" s="14" t="str">
        <f>"07010"</f>
        <v>07010</v>
      </c>
      <c r="C178" s="14" t="str">
        <f>"1800"</f>
        <v>1800</v>
      </c>
      <c r="D178" s="14" t="str">
        <f>""</f>
        <v/>
      </c>
      <c r="E178" s="14" t="s">
        <v>1059</v>
      </c>
      <c r="F178" s="14" t="s">
        <v>1002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228</v>
      </c>
      <c r="P178" s="14" t="s">
        <v>260</v>
      </c>
      <c r="Q178" s="14" t="s">
        <v>260</v>
      </c>
      <c r="R178" s="14" t="s">
        <v>229</v>
      </c>
    </row>
    <row r="179" spans="1:18" s="14" customFormat="1" x14ac:dyDescent="0.25">
      <c r="A179" s="14" t="str">
        <f>"83131"</f>
        <v>83131</v>
      </c>
      <c r="B179" s="14" t="str">
        <f>"07010"</f>
        <v>07010</v>
      </c>
      <c r="C179" s="14" t="str">
        <f>"1800"</f>
        <v>1800</v>
      </c>
      <c r="D179" s="14" t="str">
        <f>""</f>
        <v/>
      </c>
      <c r="E179" s="14" t="s">
        <v>1060</v>
      </c>
      <c r="F179" s="14" t="s">
        <v>1002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228</v>
      </c>
      <c r="P179" s="14" t="s">
        <v>260</v>
      </c>
      <c r="Q179" s="14" t="s">
        <v>260</v>
      </c>
      <c r="R179" s="14" t="s">
        <v>229</v>
      </c>
    </row>
    <row r="180" spans="1:18" s="14" customFormat="1" x14ac:dyDescent="0.25">
      <c r="A180" s="14" t="str">
        <f>"83132"</f>
        <v>83132</v>
      </c>
      <c r="B180" s="14" t="str">
        <f>"07010"</f>
        <v>07010</v>
      </c>
      <c r="C180" s="14" t="str">
        <f>"1800"</f>
        <v>1800</v>
      </c>
      <c r="D180" s="14" t="str">
        <f>""</f>
        <v/>
      </c>
      <c r="E180" s="14" t="s">
        <v>1061</v>
      </c>
      <c r="F180" s="14" t="s">
        <v>1002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228</v>
      </c>
      <c r="P180" s="14" t="s">
        <v>260</v>
      </c>
      <c r="Q180" s="14" t="s">
        <v>260</v>
      </c>
      <c r="R180" s="14" t="s">
        <v>229</v>
      </c>
    </row>
    <row r="181" spans="1:18" s="14" customFormat="1" x14ac:dyDescent="0.25">
      <c r="A181" s="14" t="str">
        <f>"83135"</f>
        <v>83135</v>
      </c>
      <c r="B181" s="14" t="str">
        <f>"07010"</f>
        <v>07010</v>
      </c>
      <c r="C181" s="14" t="str">
        <f>"1800"</f>
        <v>1800</v>
      </c>
      <c r="D181" s="14" t="str">
        <f>""</f>
        <v/>
      </c>
      <c r="E181" s="14" t="s">
        <v>1062</v>
      </c>
      <c r="F181" s="14" t="s">
        <v>1002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228</v>
      </c>
      <c r="P181" s="14" t="s">
        <v>260</v>
      </c>
      <c r="Q181" s="14" t="s">
        <v>260</v>
      </c>
      <c r="R181" s="14" t="s">
        <v>229</v>
      </c>
    </row>
    <row r="182" spans="1:18" s="14" customFormat="1" x14ac:dyDescent="0.25">
      <c r="A182" s="14" t="str">
        <f>"83137"</f>
        <v>83137</v>
      </c>
      <c r="B182" s="14" t="str">
        <f>"07010"</f>
        <v>07010</v>
      </c>
      <c r="C182" s="14" t="str">
        <f>"1800"</f>
        <v>1800</v>
      </c>
      <c r="D182" s="14" t="str">
        <f>""</f>
        <v/>
      </c>
      <c r="E182" s="14" t="s">
        <v>1063</v>
      </c>
      <c r="F182" s="14" t="s">
        <v>1002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228</v>
      </c>
      <c r="P182" s="14" t="s">
        <v>260</v>
      </c>
      <c r="Q182" s="14" t="s">
        <v>260</v>
      </c>
      <c r="R182" s="14" t="s">
        <v>229</v>
      </c>
    </row>
    <row r="183" spans="1:18" s="14" customFormat="1" x14ac:dyDescent="0.25">
      <c r="A183" s="14" t="str">
        <f>"83138"</f>
        <v>83138</v>
      </c>
      <c r="B183" s="14" t="str">
        <f>"07010"</f>
        <v>07010</v>
      </c>
      <c r="C183" s="14" t="str">
        <f>"1800"</f>
        <v>1800</v>
      </c>
      <c r="D183" s="14" t="str">
        <f>""</f>
        <v/>
      </c>
      <c r="E183" s="14" t="s">
        <v>1064</v>
      </c>
      <c r="F183" s="14" t="s">
        <v>1002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228</v>
      </c>
      <c r="P183" s="14" t="s">
        <v>260</v>
      </c>
      <c r="Q183" s="14" t="s">
        <v>260</v>
      </c>
      <c r="R183" s="14" t="s">
        <v>229</v>
      </c>
    </row>
    <row r="184" spans="1:18" s="14" customFormat="1" x14ac:dyDescent="0.25">
      <c r="A184" s="14" t="str">
        <f>"83139"</f>
        <v>83139</v>
      </c>
      <c r="B184" s="14" t="str">
        <f>"07010"</f>
        <v>07010</v>
      </c>
      <c r="C184" s="14" t="str">
        <f>"1800"</f>
        <v>1800</v>
      </c>
      <c r="D184" s="14" t="str">
        <f>""</f>
        <v/>
      </c>
      <c r="E184" s="14" t="s">
        <v>1065</v>
      </c>
      <c r="F184" s="14" t="s">
        <v>1002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228</v>
      </c>
      <c r="P184" s="14" t="s">
        <v>260</v>
      </c>
      <c r="Q184" s="14" t="s">
        <v>260</v>
      </c>
      <c r="R184" s="14" t="s">
        <v>229</v>
      </c>
    </row>
    <row r="185" spans="1:18" s="14" customFormat="1" x14ac:dyDescent="0.25">
      <c r="A185" s="14" t="str">
        <f>"83140"</f>
        <v>83140</v>
      </c>
      <c r="B185" s="14" t="str">
        <f>"07010"</f>
        <v>07010</v>
      </c>
      <c r="C185" s="14" t="str">
        <f>"1800"</f>
        <v>1800</v>
      </c>
      <c r="D185" s="14" t="str">
        <f>""</f>
        <v/>
      </c>
      <c r="E185" s="14" t="s">
        <v>1066</v>
      </c>
      <c r="F185" s="14" t="s">
        <v>1002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228</v>
      </c>
      <c r="P185" s="14" t="s">
        <v>260</v>
      </c>
      <c r="Q185" s="14" t="s">
        <v>260</v>
      </c>
      <c r="R185" s="14" t="s">
        <v>229</v>
      </c>
    </row>
    <row r="186" spans="1:18" s="14" customFormat="1" x14ac:dyDescent="0.25">
      <c r="A186" s="14" t="str">
        <f>"83141"</f>
        <v>83141</v>
      </c>
      <c r="B186" s="14" t="str">
        <f>"07010"</f>
        <v>07010</v>
      </c>
      <c r="C186" s="14" t="str">
        <f>"1800"</f>
        <v>1800</v>
      </c>
      <c r="D186" s="14" t="str">
        <f>""</f>
        <v/>
      </c>
      <c r="E186" s="14" t="s">
        <v>1067</v>
      </c>
      <c r="F186" s="14" t="s">
        <v>1002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228</v>
      </c>
      <c r="P186" s="14" t="s">
        <v>260</v>
      </c>
      <c r="Q186" s="14" t="s">
        <v>260</v>
      </c>
      <c r="R186" s="14" t="s">
        <v>229</v>
      </c>
    </row>
    <row r="187" spans="1:18" s="14" customFormat="1" x14ac:dyDescent="0.25">
      <c r="A187" s="14" t="str">
        <f>"83142"</f>
        <v>83142</v>
      </c>
      <c r="B187" s="14" t="str">
        <f>"07010"</f>
        <v>07010</v>
      </c>
      <c r="C187" s="14" t="str">
        <f>"1800"</f>
        <v>1800</v>
      </c>
      <c r="D187" s="14" t="str">
        <f>""</f>
        <v/>
      </c>
      <c r="E187" s="14" t="s">
        <v>1068</v>
      </c>
      <c r="F187" s="14" t="s">
        <v>1002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228</v>
      </c>
      <c r="P187" s="14" t="s">
        <v>260</v>
      </c>
      <c r="Q187" s="14" t="s">
        <v>260</v>
      </c>
      <c r="R187" s="14" t="s">
        <v>229</v>
      </c>
    </row>
    <row r="188" spans="1:18" s="14" customFormat="1" x14ac:dyDescent="0.25">
      <c r="A188" s="14" t="str">
        <f>"83147"</f>
        <v>83147</v>
      </c>
      <c r="B188" s="14" t="str">
        <f>"07010"</f>
        <v>07010</v>
      </c>
      <c r="C188" s="14" t="str">
        <f>"1800"</f>
        <v>1800</v>
      </c>
      <c r="D188" s="14" t="str">
        <f>""</f>
        <v/>
      </c>
      <c r="E188" s="14" t="s">
        <v>1069</v>
      </c>
      <c r="F188" s="14" t="s">
        <v>1002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228</v>
      </c>
      <c r="P188" s="14" t="s">
        <v>260</v>
      </c>
      <c r="Q188" s="14" t="s">
        <v>260</v>
      </c>
      <c r="R188" s="14" t="s">
        <v>229</v>
      </c>
    </row>
    <row r="189" spans="1:18" s="14" customFormat="1" x14ac:dyDescent="0.25">
      <c r="A189" s="14" t="str">
        <f>"83150"</f>
        <v>83150</v>
      </c>
      <c r="B189" s="14" t="str">
        <f>"07010"</f>
        <v>07010</v>
      </c>
      <c r="C189" s="14" t="str">
        <f>"1800"</f>
        <v>1800</v>
      </c>
      <c r="D189" s="14" t="str">
        <f>""</f>
        <v/>
      </c>
      <c r="E189" s="14" t="s">
        <v>1070</v>
      </c>
      <c r="F189" s="14" t="s">
        <v>1002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228</v>
      </c>
      <c r="P189" s="14" t="s">
        <v>260</v>
      </c>
      <c r="Q189" s="14" t="s">
        <v>260</v>
      </c>
      <c r="R189" s="14" t="s">
        <v>229</v>
      </c>
    </row>
    <row r="190" spans="1:18" s="14" customFormat="1" x14ac:dyDescent="0.25">
      <c r="A190" s="14" t="str">
        <f>"83154"</f>
        <v>83154</v>
      </c>
      <c r="B190" s="14" t="str">
        <f>"07010"</f>
        <v>07010</v>
      </c>
      <c r="C190" s="14" t="str">
        <f>"1800"</f>
        <v>1800</v>
      </c>
      <c r="D190" s="14" t="str">
        <f>""</f>
        <v/>
      </c>
      <c r="E190" s="14" t="s">
        <v>1071</v>
      </c>
      <c r="F190" s="14" t="s">
        <v>1002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228</v>
      </c>
      <c r="P190" s="14" t="s">
        <v>260</v>
      </c>
      <c r="Q190" s="14" t="s">
        <v>260</v>
      </c>
      <c r="R190" s="14" t="s">
        <v>229</v>
      </c>
    </row>
    <row r="191" spans="1:18" s="14" customFormat="1" x14ac:dyDescent="0.25">
      <c r="A191" s="14" t="str">
        <f>"83156"</f>
        <v>83156</v>
      </c>
      <c r="B191" s="14" t="str">
        <f>"07010"</f>
        <v>07010</v>
      </c>
      <c r="C191" s="14" t="str">
        <f>"1800"</f>
        <v>1800</v>
      </c>
      <c r="D191" s="14" t="str">
        <f>""</f>
        <v/>
      </c>
      <c r="E191" s="14" t="s">
        <v>1072</v>
      </c>
      <c r="F191" s="14" t="s">
        <v>1002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228</v>
      </c>
      <c r="P191" s="14" t="s">
        <v>260</v>
      </c>
      <c r="Q191" s="14" t="s">
        <v>260</v>
      </c>
      <c r="R191" s="14" t="s">
        <v>229</v>
      </c>
    </row>
    <row r="192" spans="1:18" s="14" customFormat="1" x14ac:dyDescent="0.25">
      <c r="A192" s="14" t="str">
        <f>"83159"</f>
        <v>83159</v>
      </c>
      <c r="B192" s="14" t="str">
        <f>"07010"</f>
        <v>07010</v>
      </c>
      <c r="C192" s="14" t="str">
        <f>"1800"</f>
        <v>1800</v>
      </c>
      <c r="D192" s="14" t="str">
        <f>""</f>
        <v/>
      </c>
      <c r="E192" s="14" t="s">
        <v>1073</v>
      </c>
      <c r="F192" s="14" t="s">
        <v>1002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228</v>
      </c>
      <c r="P192" s="14" t="s">
        <v>260</v>
      </c>
      <c r="Q192" s="14" t="s">
        <v>260</v>
      </c>
      <c r="R192" s="14" t="s">
        <v>229</v>
      </c>
    </row>
    <row r="193" spans="1:18" s="14" customFormat="1" x14ac:dyDescent="0.25">
      <c r="A193" s="14" t="str">
        <f>"83160"</f>
        <v>83160</v>
      </c>
      <c r="B193" s="14" t="str">
        <f>"07010"</f>
        <v>07010</v>
      </c>
      <c r="C193" s="14" t="str">
        <f>"1800"</f>
        <v>1800</v>
      </c>
      <c r="D193" s="14" t="str">
        <f>""</f>
        <v/>
      </c>
      <c r="E193" s="14" t="s">
        <v>1074</v>
      </c>
      <c r="F193" s="14" t="s">
        <v>1002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228</v>
      </c>
      <c r="P193" s="14" t="s">
        <v>260</v>
      </c>
      <c r="Q193" s="14" t="s">
        <v>260</v>
      </c>
      <c r="R193" s="14" t="s">
        <v>229</v>
      </c>
    </row>
    <row r="194" spans="1:18" s="14" customFormat="1" x14ac:dyDescent="0.25">
      <c r="A194" s="14" t="str">
        <f>"83161"</f>
        <v>83161</v>
      </c>
      <c r="B194" s="14" t="str">
        <f>"07010"</f>
        <v>07010</v>
      </c>
      <c r="C194" s="14" t="str">
        <f>"1800"</f>
        <v>1800</v>
      </c>
      <c r="D194" s="14" t="str">
        <f>""</f>
        <v/>
      </c>
      <c r="E194" s="14" t="s">
        <v>1075</v>
      </c>
      <c r="F194" s="14" t="s">
        <v>1002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228</v>
      </c>
      <c r="P194" s="14" t="s">
        <v>260</v>
      </c>
      <c r="Q194" s="14" t="s">
        <v>260</v>
      </c>
      <c r="R194" s="14" t="s">
        <v>229</v>
      </c>
    </row>
    <row r="195" spans="1:18" s="14" customFormat="1" x14ac:dyDescent="0.25">
      <c r="A195" s="14" t="str">
        <f>"83164"</f>
        <v>83164</v>
      </c>
      <c r="B195" s="14" t="str">
        <f>"07010"</f>
        <v>07010</v>
      </c>
      <c r="C195" s="14" t="str">
        <f>"1800"</f>
        <v>1800</v>
      </c>
      <c r="D195" s="14" t="str">
        <f>""</f>
        <v/>
      </c>
      <c r="E195" s="14" t="s">
        <v>1076</v>
      </c>
      <c r="F195" s="14" t="s">
        <v>1002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228</v>
      </c>
      <c r="P195" s="14" t="s">
        <v>260</v>
      </c>
      <c r="Q195" s="14" t="s">
        <v>260</v>
      </c>
      <c r="R195" s="14" t="s">
        <v>229</v>
      </c>
    </row>
    <row r="196" spans="1:18" s="14" customFormat="1" x14ac:dyDescent="0.25">
      <c r="A196" s="14" t="str">
        <f>"83167"</f>
        <v>83167</v>
      </c>
      <c r="B196" s="14" t="str">
        <f>"07010"</f>
        <v>07010</v>
      </c>
      <c r="C196" s="14" t="str">
        <f>"1800"</f>
        <v>1800</v>
      </c>
      <c r="D196" s="14" t="str">
        <f>""</f>
        <v/>
      </c>
      <c r="E196" s="14" t="s">
        <v>1077</v>
      </c>
      <c r="F196" s="14" t="s">
        <v>1002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228</v>
      </c>
      <c r="P196" s="14" t="s">
        <v>260</v>
      </c>
      <c r="Q196" s="14" t="s">
        <v>260</v>
      </c>
      <c r="R196" s="14" t="s">
        <v>229</v>
      </c>
    </row>
    <row r="197" spans="1:18" s="14" customFormat="1" x14ac:dyDescent="0.25">
      <c r="A197" s="14" t="str">
        <f>"83168"</f>
        <v>83168</v>
      </c>
      <c r="B197" s="14" t="str">
        <f>"07010"</f>
        <v>07010</v>
      </c>
      <c r="C197" s="14" t="str">
        <f>"1800"</f>
        <v>1800</v>
      </c>
      <c r="D197" s="14" t="str">
        <f>""</f>
        <v/>
      </c>
      <c r="E197" s="14" t="s">
        <v>1078</v>
      </c>
      <c r="F197" s="14" t="s">
        <v>1002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228</v>
      </c>
      <c r="P197" s="14" t="s">
        <v>260</v>
      </c>
      <c r="Q197" s="14" t="s">
        <v>260</v>
      </c>
      <c r="R197" s="14" t="s">
        <v>229</v>
      </c>
    </row>
    <row r="198" spans="1:18" s="14" customFormat="1" x14ac:dyDescent="0.25">
      <c r="A198" s="14" t="str">
        <f>"83172"</f>
        <v>83172</v>
      </c>
      <c r="B198" s="14" t="str">
        <f>"07010"</f>
        <v>07010</v>
      </c>
      <c r="C198" s="14" t="str">
        <f>"1800"</f>
        <v>1800</v>
      </c>
      <c r="D198" s="14" t="str">
        <f>""</f>
        <v/>
      </c>
      <c r="E198" s="14" t="s">
        <v>1079</v>
      </c>
      <c r="F198" s="14" t="s">
        <v>1002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228</v>
      </c>
      <c r="P198" s="14" t="s">
        <v>260</v>
      </c>
      <c r="Q198" s="14" t="s">
        <v>260</v>
      </c>
      <c r="R198" s="14" t="s">
        <v>229</v>
      </c>
    </row>
    <row r="199" spans="1:18" s="14" customFormat="1" x14ac:dyDescent="0.25">
      <c r="A199" s="14" t="str">
        <f>"83175"</f>
        <v>83175</v>
      </c>
      <c r="B199" s="14" t="str">
        <f>"07010"</f>
        <v>07010</v>
      </c>
      <c r="C199" s="14" t="str">
        <f>"1800"</f>
        <v>1800</v>
      </c>
      <c r="D199" s="14" t="str">
        <f>""</f>
        <v/>
      </c>
      <c r="E199" s="14" t="s">
        <v>1080</v>
      </c>
      <c r="F199" s="14" t="s">
        <v>1002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228</v>
      </c>
      <c r="P199" s="14" t="s">
        <v>260</v>
      </c>
      <c r="Q199" s="14" t="s">
        <v>260</v>
      </c>
      <c r="R199" s="14" t="s">
        <v>229</v>
      </c>
    </row>
    <row r="200" spans="1:18" s="14" customFormat="1" x14ac:dyDescent="0.25">
      <c r="A200" s="14" t="str">
        <f>"83177"</f>
        <v>83177</v>
      </c>
      <c r="B200" s="14" t="str">
        <f>"07010"</f>
        <v>07010</v>
      </c>
      <c r="C200" s="14" t="str">
        <f>"1800"</f>
        <v>1800</v>
      </c>
      <c r="D200" s="14" t="str">
        <f>""</f>
        <v/>
      </c>
      <c r="E200" s="14" t="s">
        <v>1081</v>
      </c>
      <c r="F200" s="14" t="s">
        <v>1002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228</v>
      </c>
      <c r="P200" s="14" t="s">
        <v>260</v>
      </c>
      <c r="Q200" s="14" t="s">
        <v>260</v>
      </c>
      <c r="R200" s="14" t="s">
        <v>229</v>
      </c>
    </row>
    <row r="201" spans="1:18" s="14" customFormat="1" x14ac:dyDescent="0.25">
      <c r="A201" s="14" t="str">
        <f>"83178"</f>
        <v>83178</v>
      </c>
      <c r="B201" s="14" t="str">
        <f>"07010"</f>
        <v>07010</v>
      </c>
      <c r="C201" s="14" t="str">
        <f>"1800"</f>
        <v>1800</v>
      </c>
      <c r="D201" s="14" t="str">
        <f>""</f>
        <v/>
      </c>
      <c r="E201" s="14" t="s">
        <v>1082</v>
      </c>
      <c r="F201" s="14" t="s">
        <v>1002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228</v>
      </c>
      <c r="P201" s="14" t="s">
        <v>260</v>
      </c>
      <c r="Q201" s="14" t="s">
        <v>260</v>
      </c>
      <c r="R201" s="14" t="s">
        <v>229</v>
      </c>
    </row>
    <row r="202" spans="1:18" s="14" customFormat="1" x14ac:dyDescent="0.25">
      <c r="A202" s="14" t="str">
        <f>"83179"</f>
        <v>83179</v>
      </c>
      <c r="B202" s="14" t="str">
        <f>"07010"</f>
        <v>07010</v>
      </c>
      <c r="C202" s="14" t="str">
        <f>"1800"</f>
        <v>1800</v>
      </c>
      <c r="D202" s="14" t="str">
        <f>""</f>
        <v/>
      </c>
      <c r="E202" s="14" t="s">
        <v>1083</v>
      </c>
      <c r="F202" s="14" t="s">
        <v>1002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228</v>
      </c>
      <c r="P202" s="14" t="s">
        <v>260</v>
      </c>
      <c r="Q202" s="14" t="s">
        <v>260</v>
      </c>
      <c r="R202" s="14" t="s">
        <v>229</v>
      </c>
    </row>
    <row r="203" spans="1:18" s="14" customFormat="1" x14ac:dyDescent="0.25">
      <c r="A203" s="14" t="str">
        <f>"83186"</f>
        <v>83186</v>
      </c>
      <c r="B203" s="14" t="str">
        <f>"07010"</f>
        <v>07010</v>
      </c>
      <c r="C203" s="14" t="str">
        <f>"1800"</f>
        <v>1800</v>
      </c>
      <c r="D203" s="14" t="str">
        <f>""</f>
        <v/>
      </c>
      <c r="E203" s="14" t="s">
        <v>1084</v>
      </c>
      <c r="F203" s="14" t="s">
        <v>1002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228</v>
      </c>
      <c r="P203" s="14" t="s">
        <v>260</v>
      </c>
      <c r="Q203" s="14" t="s">
        <v>260</v>
      </c>
      <c r="R203" s="14" t="s">
        <v>229</v>
      </c>
    </row>
    <row r="204" spans="1:18" s="14" customFormat="1" x14ac:dyDescent="0.25">
      <c r="A204" s="14" t="str">
        <f>"83188"</f>
        <v>83188</v>
      </c>
      <c r="B204" s="14" t="str">
        <f>"07010"</f>
        <v>07010</v>
      </c>
      <c r="C204" s="14" t="str">
        <f>"1800"</f>
        <v>1800</v>
      </c>
      <c r="D204" s="14" t="str">
        <f>""</f>
        <v/>
      </c>
      <c r="E204" s="14" t="s">
        <v>1085</v>
      </c>
      <c r="F204" s="14" t="s">
        <v>1002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228</v>
      </c>
      <c r="P204" s="14" t="s">
        <v>260</v>
      </c>
      <c r="Q204" s="14" t="s">
        <v>260</v>
      </c>
      <c r="R204" s="14" t="s">
        <v>229</v>
      </c>
    </row>
    <row r="205" spans="1:18" s="14" customFormat="1" x14ac:dyDescent="0.25">
      <c r="A205" s="14" t="str">
        <f>"83189"</f>
        <v>83189</v>
      </c>
      <c r="B205" s="14" t="str">
        <f>"07010"</f>
        <v>07010</v>
      </c>
      <c r="C205" s="14" t="str">
        <f>"1800"</f>
        <v>1800</v>
      </c>
      <c r="D205" s="14" t="str">
        <f>""</f>
        <v/>
      </c>
      <c r="E205" s="14" t="s">
        <v>1086</v>
      </c>
      <c r="F205" s="14" t="s">
        <v>1002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228</v>
      </c>
      <c r="P205" s="14" t="s">
        <v>260</v>
      </c>
      <c r="Q205" s="14" t="s">
        <v>260</v>
      </c>
      <c r="R205" s="14" t="s">
        <v>229</v>
      </c>
    </row>
    <row r="206" spans="1:18" s="14" customFormat="1" x14ac:dyDescent="0.25">
      <c r="A206" s="14" t="str">
        <f>"83191"</f>
        <v>83191</v>
      </c>
      <c r="B206" s="14" t="str">
        <f>"07010"</f>
        <v>07010</v>
      </c>
      <c r="C206" s="14" t="str">
        <f>"1800"</f>
        <v>1800</v>
      </c>
      <c r="D206" s="14" t="str">
        <f>""</f>
        <v/>
      </c>
      <c r="E206" s="14" t="s">
        <v>1087</v>
      </c>
      <c r="F206" s="14" t="s">
        <v>1002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228</v>
      </c>
      <c r="P206" s="14" t="s">
        <v>260</v>
      </c>
      <c r="Q206" s="14" t="s">
        <v>260</v>
      </c>
      <c r="R206" s="14" t="s">
        <v>229</v>
      </c>
    </row>
    <row r="207" spans="1:18" s="14" customFormat="1" x14ac:dyDescent="0.25">
      <c r="A207" s="14" t="str">
        <f>"83193"</f>
        <v>83193</v>
      </c>
      <c r="B207" s="14" t="str">
        <f>"07010"</f>
        <v>07010</v>
      </c>
      <c r="C207" s="14" t="str">
        <f>"1800"</f>
        <v>1800</v>
      </c>
      <c r="D207" s="14" t="str">
        <f>""</f>
        <v/>
      </c>
      <c r="E207" s="14" t="s">
        <v>1088</v>
      </c>
      <c r="F207" s="14" t="s">
        <v>1002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228</v>
      </c>
      <c r="P207" s="14" t="s">
        <v>260</v>
      </c>
      <c r="Q207" s="14" t="s">
        <v>260</v>
      </c>
      <c r="R207" s="14" t="s">
        <v>229</v>
      </c>
    </row>
    <row r="208" spans="1:18" s="14" customFormat="1" x14ac:dyDescent="0.25">
      <c r="A208" s="14" t="str">
        <f>"83194"</f>
        <v>83194</v>
      </c>
      <c r="B208" s="14" t="str">
        <f>"07010"</f>
        <v>07010</v>
      </c>
      <c r="C208" s="14" t="str">
        <f>"1800"</f>
        <v>1800</v>
      </c>
      <c r="D208" s="14" t="str">
        <f>""</f>
        <v/>
      </c>
      <c r="E208" s="14" t="s">
        <v>1089</v>
      </c>
      <c r="F208" s="14" t="s">
        <v>1002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228</v>
      </c>
      <c r="P208" s="14" t="s">
        <v>260</v>
      </c>
      <c r="Q208" s="14" t="s">
        <v>260</v>
      </c>
      <c r="R208" s="14" t="s">
        <v>229</v>
      </c>
    </row>
    <row r="209" spans="1:18" s="14" customFormat="1" x14ac:dyDescent="0.25">
      <c r="A209" s="14" t="str">
        <f>"83197"</f>
        <v>83197</v>
      </c>
      <c r="B209" s="14" t="str">
        <f>"07010"</f>
        <v>07010</v>
      </c>
      <c r="C209" s="14" t="str">
        <f>"1800"</f>
        <v>1800</v>
      </c>
      <c r="D209" s="14" t="str">
        <f>""</f>
        <v/>
      </c>
      <c r="E209" s="14" t="s">
        <v>1090</v>
      </c>
      <c r="F209" s="14" t="s">
        <v>1002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228</v>
      </c>
      <c r="P209" s="14" t="s">
        <v>260</v>
      </c>
      <c r="Q209" s="14" t="s">
        <v>260</v>
      </c>
      <c r="R209" s="14" t="s">
        <v>229</v>
      </c>
    </row>
    <row r="210" spans="1:18" s="14" customFormat="1" x14ac:dyDescent="0.25">
      <c r="A210" s="14" t="str">
        <f>"83200"</f>
        <v>83200</v>
      </c>
      <c r="B210" s="14" t="str">
        <f>"07010"</f>
        <v>07010</v>
      </c>
      <c r="C210" s="14" t="str">
        <f>"1800"</f>
        <v>1800</v>
      </c>
      <c r="D210" s="14" t="str">
        <f>""</f>
        <v/>
      </c>
      <c r="E210" s="14" t="s">
        <v>1091</v>
      </c>
      <c r="F210" s="14" t="s">
        <v>1002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228</v>
      </c>
      <c r="P210" s="14" t="s">
        <v>260</v>
      </c>
      <c r="Q210" s="14" t="s">
        <v>260</v>
      </c>
      <c r="R210" s="14" t="s">
        <v>229</v>
      </c>
    </row>
    <row r="211" spans="1:18" s="14" customFormat="1" x14ac:dyDescent="0.25">
      <c r="A211" s="14" t="str">
        <f>"83202"</f>
        <v>83202</v>
      </c>
      <c r="B211" s="14" t="str">
        <f>"07010"</f>
        <v>07010</v>
      </c>
      <c r="C211" s="14" t="str">
        <f>"1800"</f>
        <v>1800</v>
      </c>
      <c r="D211" s="14" t="str">
        <f>""</f>
        <v/>
      </c>
      <c r="E211" s="14" t="s">
        <v>1092</v>
      </c>
      <c r="F211" s="14" t="s">
        <v>1002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228</v>
      </c>
      <c r="P211" s="14" t="s">
        <v>260</v>
      </c>
      <c r="Q211" s="14" t="s">
        <v>260</v>
      </c>
      <c r="R211" s="14" t="s">
        <v>229</v>
      </c>
    </row>
    <row r="212" spans="1:18" s="14" customFormat="1" x14ac:dyDescent="0.25">
      <c r="A212" s="14" t="str">
        <f>"83204"</f>
        <v>83204</v>
      </c>
      <c r="B212" s="14" t="str">
        <f>"07010"</f>
        <v>07010</v>
      </c>
      <c r="C212" s="14" t="str">
        <f>"1800"</f>
        <v>1800</v>
      </c>
      <c r="D212" s="14" t="str">
        <f>""</f>
        <v/>
      </c>
      <c r="E212" s="14" t="s">
        <v>1093</v>
      </c>
      <c r="F212" s="14" t="s">
        <v>1002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228</v>
      </c>
      <c r="P212" s="14" t="s">
        <v>260</v>
      </c>
      <c r="Q212" s="14" t="s">
        <v>260</v>
      </c>
      <c r="R212" s="14" t="s">
        <v>229</v>
      </c>
    </row>
    <row r="213" spans="1:18" s="14" customFormat="1" x14ac:dyDescent="0.25">
      <c r="A213" s="14" t="str">
        <f>"83205"</f>
        <v>83205</v>
      </c>
      <c r="B213" s="14" t="str">
        <f>"07010"</f>
        <v>07010</v>
      </c>
      <c r="C213" s="14" t="str">
        <f>"1800"</f>
        <v>1800</v>
      </c>
      <c r="D213" s="14" t="str">
        <f>""</f>
        <v/>
      </c>
      <c r="E213" s="14" t="s">
        <v>1094</v>
      </c>
      <c r="F213" s="14" t="s">
        <v>1002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228</v>
      </c>
      <c r="P213" s="14" t="s">
        <v>260</v>
      </c>
      <c r="Q213" s="14" t="s">
        <v>260</v>
      </c>
      <c r="R213" s="14" t="s">
        <v>229</v>
      </c>
    </row>
    <row r="214" spans="1:18" s="14" customFormat="1" x14ac:dyDescent="0.25">
      <c r="A214" s="14" t="str">
        <f>"83206"</f>
        <v>83206</v>
      </c>
      <c r="B214" s="14" t="str">
        <f>"07010"</f>
        <v>07010</v>
      </c>
      <c r="C214" s="14" t="str">
        <f>"1800"</f>
        <v>1800</v>
      </c>
      <c r="D214" s="14" t="str">
        <f>""</f>
        <v/>
      </c>
      <c r="E214" s="14" t="s">
        <v>1095</v>
      </c>
      <c r="F214" s="14" t="s">
        <v>1002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228</v>
      </c>
      <c r="P214" s="14" t="s">
        <v>260</v>
      </c>
      <c r="Q214" s="14" t="s">
        <v>260</v>
      </c>
      <c r="R214" s="14" t="s">
        <v>229</v>
      </c>
    </row>
    <row r="215" spans="1:18" s="14" customFormat="1" x14ac:dyDescent="0.25">
      <c r="A215" s="14" t="str">
        <f>"83207"</f>
        <v>83207</v>
      </c>
      <c r="B215" s="14" t="str">
        <f>"07010"</f>
        <v>07010</v>
      </c>
      <c r="C215" s="14" t="str">
        <f>"1800"</f>
        <v>1800</v>
      </c>
      <c r="D215" s="14" t="str">
        <f>""</f>
        <v/>
      </c>
      <c r="E215" s="14" t="s">
        <v>1096</v>
      </c>
      <c r="F215" s="14" t="s">
        <v>1002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228</v>
      </c>
      <c r="P215" s="14" t="s">
        <v>260</v>
      </c>
      <c r="Q215" s="14" t="s">
        <v>260</v>
      </c>
      <c r="R215" s="14" t="s">
        <v>229</v>
      </c>
    </row>
    <row r="216" spans="1:18" s="14" customFormat="1" x14ac:dyDescent="0.25">
      <c r="A216" s="14" t="str">
        <f>"83210"</f>
        <v>83210</v>
      </c>
      <c r="B216" s="14" t="str">
        <f>"07010"</f>
        <v>07010</v>
      </c>
      <c r="C216" s="14" t="str">
        <f>"1800"</f>
        <v>1800</v>
      </c>
      <c r="D216" s="14" t="str">
        <f>""</f>
        <v/>
      </c>
      <c r="E216" s="14" t="s">
        <v>1097</v>
      </c>
      <c r="F216" s="14" t="s">
        <v>1002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228</v>
      </c>
      <c r="P216" s="14" t="s">
        <v>260</v>
      </c>
      <c r="Q216" s="14" t="s">
        <v>260</v>
      </c>
      <c r="R216" s="14" t="s">
        <v>229</v>
      </c>
    </row>
    <row r="217" spans="1:18" s="14" customFormat="1" x14ac:dyDescent="0.25">
      <c r="A217" s="14" t="str">
        <f>"83214"</f>
        <v>83214</v>
      </c>
      <c r="B217" s="14" t="str">
        <f>"07010"</f>
        <v>07010</v>
      </c>
      <c r="C217" s="14" t="str">
        <f>"1800"</f>
        <v>1800</v>
      </c>
      <c r="D217" s="14" t="str">
        <f>""</f>
        <v/>
      </c>
      <c r="E217" s="14" t="s">
        <v>1098</v>
      </c>
      <c r="F217" s="14" t="s">
        <v>1002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228</v>
      </c>
      <c r="P217" s="14" t="s">
        <v>260</v>
      </c>
      <c r="Q217" s="14" t="s">
        <v>260</v>
      </c>
      <c r="R217" s="14" t="s">
        <v>229</v>
      </c>
    </row>
    <row r="218" spans="1:18" s="14" customFormat="1" x14ac:dyDescent="0.25">
      <c r="A218" s="14" t="str">
        <f>"83215"</f>
        <v>83215</v>
      </c>
      <c r="B218" s="14" t="str">
        <f>"07010"</f>
        <v>07010</v>
      </c>
      <c r="C218" s="14" t="str">
        <f>"1800"</f>
        <v>1800</v>
      </c>
      <c r="D218" s="14" t="str">
        <f>""</f>
        <v/>
      </c>
      <c r="E218" s="14" t="s">
        <v>1099</v>
      </c>
      <c r="F218" s="14" t="s">
        <v>1002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228</v>
      </c>
      <c r="P218" s="14" t="s">
        <v>260</v>
      </c>
      <c r="Q218" s="14" t="s">
        <v>260</v>
      </c>
      <c r="R218" s="14" t="s">
        <v>229</v>
      </c>
    </row>
    <row r="219" spans="1:18" s="14" customFormat="1" x14ac:dyDescent="0.25">
      <c r="A219" s="14" t="str">
        <f>"83216"</f>
        <v>83216</v>
      </c>
      <c r="B219" s="14" t="str">
        <f>"07010"</f>
        <v>07010</v>
      </c>
      <c r="C219" s="14" t="str">
        <f>"1800"</f>
        <v>1800</v>
      </c>
      <c r="D219" s="14" t="str">
        <f>""</f>
        <v/>
      </c>
      <c r="E219" s="14" t="s">
        <v>1100</v>
      </c>
      <c r="F219" s="14" t="s">
        <v>1002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228</v>
      </c>
      <c r="P219" s="14" t="s">
        <v>260</v>
      </c>
      <c r="Q219" s="14" t="s">
        <v>260</v>
      </c>
      <c r="R219" s="14" t="s">
        <v>229</v>
      </c>
    </row>
    <row r="220" spans="1:18" s="14" customFormat="1" x14ac:dyDescent="0.25">
      <c r="A220" s="14" t="str">
        <f>"83217"</f>
        <v>83217</v>
      </c>
      <c r="B220" s="14" t="str">
        <f>"07010"</f>
        <v>07010</v>
      </c>
      <c r="C220" s="14" t="str">
        <f>"1800"</f>
        <v>1800</v>
      </c>
      <c r="D220" s="14" t="str">
        <f>""</f>
        <v/>
      </c>
      <c r="E220" s="14" t="s">
        <v>1101</v>
      </c>
      <c r="F220" s="14" t="s">
        <v>1002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228</v>
      </c>
      <c r="P220" s="14" t="s">
        <v>260</v>
      </c>
      <c r="Q220" s="14" t="s">
        <v>260</v>
      </c>
      <c r="R220" s="14" t="s">
        <v>229</v>
      </c>
    </row>
    <row r="221" spans="1:18" s="14" customFormat="1" x14ac:dyDescent="0.25">
      <c r="A221" s="14" t="str">
        <f>"83218"</f>
        <v>83218</v>
      </c>
      <c r="B221" s="14" t="str">
        <f>"07010"</f>
        <v>07010</v>
      </c>
      <c r="C221" s="14" t="str">
        <f>"1800"</f>
        <v>1800</v>
      </c>
      <c r="D221" s="14" t="str">
        <f>""</f>
        <v/>
      </c>
      <c r="E221" s="14" t="s">
        <v>1102</v>
      </c>
      <c r="F221" s="14" t="s">
        <v>1002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228</v>
      </c>
      <c r="P221" s="14" t="s">
        <v>260</v>
      </c>
      <c r="Q221" s="14" t="s">
        <v>260</v>
      </c>
      <c r="R221" s="14" t="s">
        <v>229</v>
      </c>
    </row>
    <row r="222" spans="1:18" s="14" customFormat="1" x14ac:dyDescent="0.25">
      <c r="A222" s="14" t="str">
        <f>"83219"</f>
        <v>83219</v>
      </c>
      <c r="B222" s="14" t="str">
        <f>"07010"</f>
        <v>07010</v>
      </c>
      <c r="C222" s="14" t="str">
        <f>"1800"</f>
        <v>1800</v>
      </c>
      <c r="D222" s="14" t="str">
        <f>""</f>
        <v/>
      </c>
      <c r="E222" s="14" t="s">
        <v>1103</v>
      </c>
      <c r="F222" s="14" t="s">
        <v>1002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228</v>
      </c>
      <c r="P222" s="14" t="s">
        <v>260</v>
      </c>
      <c r="Q222" s="14" t="s">
        <v>260</v>
      </c>
      <c r="R222" s="14" t="s">
        <v>229</v>
      </c>
    </row>
    <row r="223" spans="1:18" s="14" customFormat="1" x14ac:dyDescent="0.25">
      <c r="A223" s="14" t="str">
        <f>"83220"</f>
        <v>83220</v>
      </c>
      <c r="B223" s="14" t="str">
        <f>"07010"</f>
        <v>07010</v>
      </c>
      <c r="C223" s="14" t="str">
        <f>"1800"</f>
        <v>1800</v>
      </c>
      <c r="D223" s="14" t="str">
        <f>""</f>
        <v/>
      </c>
      <c r="E223" s="14" t="s">
        <v>1104</v>
      </c>
      <c r="F223" s="14" t="s">
        <v>1002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228</v>
      </c>
      <c r="P223" s="14" t="s">
        <v>260</v>
      </c>
      <c r="Q223" s="14" t="s">
        <v>260</v>
      </c>
      <c r="R223" s="14" t="s">
        <v>229</v>
      </c>
    </row>
    <row r="224" spans="1:18" s="14" customFormat="1" x14ac:dyDescent="0.25">
      <c r="A224" s="14" t="str">
        <f>"83221"</f>
        <v>83221</v>
      </c>
      <c r="B224" s="14" t="str">
        <f>"07010"</f>
        <v>07010</v>
      </c>
      <c r="C224" s="14" t="str">
        <f>"1800"</f>
        <v>1800</v>
      </c>
      <c r="D224" s="14" t="str">
        <f>""</f>
        <v/>
      </c>
      <c r="E224" s="14" t="s">
        <v>1105</v>
      </c>
      <c r="F224" s="14" t="s">
        <v>1002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228</v>
      </c>
      <c r="P224" s="14" t="s">
        <v>260</v>
      </c>
      <c r="Q224" s="14" t="s">
        <v>260</v>
      </c>
      <c r="R224" s="14" t="s">
        <v>229</v>
      </c>
    </row>
    <row r="225" spans="1:18" s="14" customFormat="1" x14ac:dyDescent="0.25">
      <c r="A225" s="14" t="str">
        <f>"83222"</f>
        <v>83222</v>
      </c>
      <c r="B225" s="14" t="str">
        <f>"07010"</f>
        <v>07010</v>
      </c>
      <c r="C225" s="14" t="str">
        <f>"1800"</f>
        <v>1800</v>
      </c>
      <c r="D225" s="14" t="str">
        <f>""</f>
        <v/>
      </c>
      <c r="E225" s="14" t="s">
        <v>1106</v>
      </c>
      <c r="F225" s="14" t="s">
        <v>1002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228</v>
      </c>
      <c r="P225" s="14" t="s">
        <v>260</v>
      </c>
      <c r="Q225" s="14" t="s">
        <v>260</v>
      </c>
      <c r="R225" s="14" t="s">
        <v>229</v>
      </c>
    </row>
    <row r="226" spans="1:18" s="14" customFormat="1" x14ac:dyDescent="0.25">
      <c r="A226" s="14" t="str">
        <f>"83225"</f>
        <v>83225</v>
      </c>
      <c r="B226" s="14" t="str">
        <f>"07010"</f>
        <v>07010</v>
      </c>
      <c r="C226" s="14" t="str">
        <f>"1800"</f>
        <v>1800</v>
      </c>
      <c r="D226" s="14" t="str">
        <f>""</f>
        <v/>
      </c>
      <c r="E226" s="14" t="s">
        <v>1107</v>
      </c>
      <c r="F226" s="14" t="s">
        <v>1002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228</v>
      </c>
      <c r="P226" s="14" t="s">
        <v>260</v>
      </c>
      <c r="Q226" s="14" t="s">
        <v>260</v>
      </c>
      <c r="R226" s="14" t="s">
        <v>229</v>
      </c>
    </row>
    <row r="227" spans="1:18" s="14" customFormat="1" x14ac:dyDescent="0.25">
      <c r="A227" s="14" t="str">
        <f>"83226"</f>
        <v>83226</v>
      </c>
      <c r="B227" s="14" t="str">
        <f>"07010"</f>
        <v>07010</v>
      </c>
      <c r="C227" s="14" t="str">
        <f>"1800"</f>
        <v>1800</v>
      </c>
      <c r="D227" s="14" t="str">
        <f>""</f>
        <v/>
      </c>
      <c r="E227" s="14" t="s">
        <v>1108</v>
      </c>
      <c r="F227" s="14" t="s">
        <v>1002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228</v>
      </c>
      <c r="P227" s="14" t="s">
        <v>260</v>
      </c>
      <c r="Q227" s="14" t="s">
        <v>260</v>
      </c>
      <c r="R227" s="14" t="s">
        <v>229</v>
      </c>
    </row>
    <row r="228" spans="1:18" s="14" customFormat="1" x14ac:dyDescent="0.25">
      <c r="A228" s="14" t="str">
        <f>"83228"</f>
        <v>83228</v>
      </c>
      <c r="B228" s="14" t="str">
        <f>"07010"</f>
        <v>07010</v>
      </c>
      <c r="C228" s="14" t="str">
        <f>"1800"</f>
        <v>1800</v>
      </c>
      <c r="D228" s="14" t="str">
        <f>""</f>
        <v/>
      </c>
      <c r="E228" s="14" t="s">
        <v>1109</v>
      </c>
      <c r="F228" s="14" t="s">
        <v>1002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228</v>
      </c>
      <c r="P228" s="14" t="s">
        <v>260</v>
      </c>
      <c r="Q228" s="14" t="s">
        <v>260</v>
      </c>
      <c r="R228" s="14" t="s">
        <v>229</v>
      </c>
    </row>
    <row r="229" spans="1:18" s="14" customFormat="1" x14ac:dyDescent="0.25">
      <c r="A229" s="14" t="str">
        <f>"83229"</f>
        <v>83229</v>
      </c>
      <c r="B229" s="14" t="str">
        <f>"07010"</f>
        <v>07010</v>
      </c>
      <c r="C229" s="14" t="str">
        <f>"1800"</f>
        <v>1800</v>
      </c>
      <c r="D229" s="14" t="str">
        <f>""</f>
        <v/>
      </c>
      <c r="E229" s="14" t="s">
        <v>1110</v>
      </c>
      <c r="F229" s="14" t="s">
        <v>1002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228</v>
      </c>
      <c r="P229" s="14" t="s">
        <v>260</v>
      </c>
      <c r="Q229" s="14" t="s">
        <v>260</v>
      </c>
      <c r="R229" s="14" t="s">
        <v>229</v>
      </c>
    </row>
    <row r="230" spans="1:18" s="14" customFormat="1" x14ac:dyDescent="0.25">
      <c r="A230" s="14" t="str">
        <f>"83230"</f>
        <v>83230</v>
      </c>
      <c r="B230" s="14" t="str">
        <f>"07010"</f>
        <v>07010</v>
      </c>
      <c r="C230" s="14" t="str">
        <f>"1800"</f>
        <v>1800</v>
      </c>
      <c r="D230" s="14" t="str">
        <f>""</f>
        <v/>
      </c>
      <c r="E230" s="14" t="s">
        <v>1111</v>
      </c>
      <c r="F230" s="14" t="s">
        <v>1002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228</v>
      </c>
      <c r="P230" s="14" t="s">
        <v>260</v>
      </c>
      <c r="Q230" s="14" t="s">
        <v>260</v>
      </c>
      <c r="R230" s="14" t="s">
        <v>229</v>
      </c>
    </row>
    <row r="231" spans="1:18" s="14" customFormat="1" x14ac:dyDescent="0.25">
      <c r="A231" s="14" t="str">
        <f>"83231"</f>
        <v>83231</v>
      </c>
      <c r="B231" s="14" t="str">
        <f>"07010"</f>
        <v>07010</v>
      </c>
      <c r="C231" s="14" t="str">
        <f>"1800"</f>
        <v>1800</v>
      </c>
      <c r="D231" s="14" t="str">
        <f>""</f>
        <v/>
      </c>
      <c r="E231" s="14" t="s">
        <v>1112</v>
      </c>
      <c r="F231" s="14" t="s">
        <v>1002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228</v>
      </c>
      <c r="P231" s="14" t="s">
        <v>260</v>
      </c>
      <c r="Q231" s="14" t="s">
        <v>260</v>
      </c>
      <c r="R231" s="14" t="s">
        <v>229</v>
      </c>
    </row>
    <row r="232" spans="1:18" s="14" customFormat="1" x14ac:dyDescent="0.25">
      <c r="A232" s="14" t="str">
        <f>"83232"</f>
        <v>83232</v>
      </c>
      <c r="B232" s="14" t="str">
        <f>"07010"</f>
        <v>07010</v>
      </c>
      <c r="C232" s="14" t="str">
        <f>"1800"</f>
        <v>1800</v>
      </c>
      <c r="D232" s="14" t="str">
        <f>""</f>
        <v/>
      </c>
      <c r="E232" s="14" t="s">
        <v>1113</v>
      </c>
      <c r="F232" s="14" t="s">
        <v>1002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228</v>
      </c>
      <c r="P232" s="14" t="s">
        <v>260</v>
      </c>
      <c r="Q232" s="14" t="s">
        <v>260</v>
      </c>
      <c r="R232" s="14" t="s">
        <v>229</v>
      </c>
    </row>
    <row r="233" spans="1:18" s="14" customFormat="1" x14ac:dyDescent="0.25">
      <c r="A233" s="14" t="str">
        <f>"83233"</f>
        <v>83233</v>
      </c>
      <c r="B233" s="14" t="str">
        <f>"07010"</f>
        <v>07010</v>
      </c>
      <c r="C233" s="14" t="str">
        <f>"1800"</f>
        <v>1800</v>
      </c>
      <c r="D233" s="14" t="str">
        <f>""</f>
        <v/>
      </c>
      <c r="E233" s="14" t="s">
        <v>1114</v>
      </c>
      <c r="F233" s="14" t="s">
        <v>1002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228</v>
      </c>
      <c r="P233" s="14" t="s">
        <v>260</v>
      </c>
      <c r="Q233" s="14" t="s">
        <v>260</v>
      </c>
      <c r="R233" s="14" t="s">
        <v>229</v>
      </c>
    </row>
    <row r="234" spans="1:18" s="14" customFormat="1" x14ac:dyDescent="0.25">
      <c r="A234" s="14" t="str">
        <f>"83234"</f>
        <v>83234</v>
      </c>
      <c r="B234" s="14" t="str">
        <f>"07010"</f>
        <v>07010</v>
      </c>
      <c r="C234" s="14" t="str">
        <f>"1800"</f>
        <v>1800</v>
      </c>
      <c r="D234" s="14" t="str">
        <f>""</f>
        <v/>
      </c>
      <c r="E234" s="14" t="s">
        <v>1115</v>
      </c>
      <c r="F234" s="14" t="s">
        <v>1002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228</v>
      </c>
      <c r="P234" s="14" t="s">
        <v>260</v>
      </c>
      <c r="Q234" s="14" t="s">
        <v>260</v>
      </c>
      <c r="R234" s="14" t="s">
        <v>229</v>
      </c>
    </row>
    <row r="235" spans="1:18" s="14" customFormat="1" x14ac:dyDescent="0.25">
      <c r="A235" s="14" t="str">
        <f>"83237"</f>
        <v>83237</v>
      </c>
      <c r="B235" s="14" t="str">
        <f>"07010"</f>
        <v>07010</v>
      </c>
      <c r="C235" s="14" t="str">
        <f>"1800"</f>
        <v>1800</v>
      </c>
      <c r="D235" s="14" t="str">
        <f>""</f>
        <v/>
      </c>
      <c r="E235" s="14" t="s">
        <v>1116</v>
      </c>
      <c r="F235" s="14" t="s">
        <v>1002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228</v>
      </c>
      <c r="P235" s="14" t="s">
        <v>260</v>
      </c>
      <c r="Q235" s="14" t="s">
        <v>260</v>
      </c>
      <c r="R235" s="14" t="s">
        <v>229</v>
      </c>
    </row>
    <row r="236" spans="1:18" s="14" customFormat="1" x14ac:dyDescent="0.25">
      <c r="A236" s="14" t="str">
        <f>"83241"</f>
        <v>83241</v>
      </c>
      <c r="B236" s="14" t="str">
        <f>"07010"</f>
        <v>07010</v>
      </c>
      <c r="C236" s="14" t="str">
        <f>"1800"</f>
        <v>1800</v>
      </c>
      <c r="D236" s="14" t="str">
        <f>""</f>
        <v/>
      </c>
      <c r="E236" s="14" t="s">
        <v>1117</v>
      </c>
      <c r="F236" s="14" t="s">
        <v>1002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228</v>
      </c>
      <c r="P236" s="14" t="s">
        <v>260</v>
      </c>
      <c r="Q236" s="14" t="s">
        <v>260</v>
      </c>
      <c r="R236" s="14" t="s">
        <v>229</v>
      </c>
    </row>
    <row r="237" spans="1:18" s="14" customFormat="1" x14ac:dyDescent="0.25">
      <c r="A237" s="14" t="str">
        <f>"83243"</f>
        <v>83243</v>
      </c>
      <c r="B237" s="14" t="str">
        <f>"07010"</f>
        <v>07010</v>
      </c>
      <c r="C237" s="14" t="str">
        <f>"1800"</f>
        <v>1800</v>
      </c>
      <c r="D237" s="14" t="str">
        <f>""</f>
        <v/>
      </c>
      <c r="E237" s="14" t="s">
        <v>1118</v>
      </c>
      <c r="F237" s="14" t="s">
        <v>1002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228</v>
      </c>
      <c r="P237" s="14" t="s">
        <v>260</v>
      </c>
      <c r="Q237" s="14" t="s">
        <v>260</v>
      </c>
      <c r="R237" s="14" t="s">
        <v>229</v>
      </c>
    </row>
    <row r="238" spans="1:18" s="14" customFormat="1" x14ac:dyDescent="0.25">
      <c r="A238" s="14" t="str">
        <f>"83244"</f>
        <v>83244</v>
      </c>
      <c r="B238" s="14" t="str">
        <f>"07010"</f>
        <v>07010</v>
      </c>
      <c r="C238" s="14" t="str">
        <f>"1800"</f>
        <v>1800</v>
      </c>
      <c r="D238" s="14" t="str">
        <f>""</f>
        <v/>
      </c>
      <c r="E238" s="14" t="s">
        <v>1119</v>
      </c>
      <c r="F238" s="14" t="s">
        <v>1002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228</v>
      </c>
      <c r="P238" s="14" t="s">
        <v>260</v>
      </c>
      <c r="Q238" s="14" t="s">
        <v>260</v>
      </c>
      <c r="R238" s="14" t="s">
        <v>229</v>
      </c>
    </row>
    <row r="239" spans="1:18" s="14" customFormat="1" x14ac:dyDescent="0.25">
      <c r="A239" s="14" t="str">
        <f>"83247"</f>
        <v>83247</v>
      </c>
      <c r="B239" s="14" t="str">
        <f>"07010"</f>
        <v>07010</v>
      </c>
      <c r="C239" s="14" t="str">
        <f>"1800"</f>
        <v>1800</v>
      </c>
      <c r="D239" s="14" t="str">
        <f>""</f>
        <v/>
      </c>
      <c r="E239" s="14" t="s">
        <v>1120</v>
      </c>
      <c r="F239" s="14" t="s">
        <v>1002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228</v>
      </c>
      <c r="P239" s="14" t="s">
        <v>260</v>
      </c>
      <c r="Q239" s="14" t="s">
        <v>260</v>
      </c>
      <c r="R239" s="14" t="s">
        <v>229</v>
      </c>
    </row>
    <row r="240" spans="1:18" s="14" customFormat="1" x14ac:dyDescent="0.25">
      <c r="A240" s="14" t="str">
        <f>"83248"</f>
        <v>83248</v>
      </c>
      <c r="B240" s="14" t="str">
        <f>"07010"</f>
        <v>07010</v>
      </c>
      <c r="C240" s="14" t="str">
        <f>"1800"</f>
        <v>1800</v>
      </c>
      <c r="D240" s="14" t="str">
        <f>""</f>
        <v/>
      </c>
      <c r="E240" s="14" t="s">
        <v>1121</v>
      </c>
      <c r="F240" s="14" t="s">
        <v>1002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228</v>
      </c>
      <c r="P240" s="14" t="s">
        <v>260</v>
      </c>
      <c r="Q240" s="14" t="s">
        <v>260</v>
      </c>
      <c r="R240" s="14" t="s">
        <v>229</v>
      </c>
    </row>
    <row r="241" spans="1:18" s="14" customFormat="1" x14ac:dyDescent="0.25">
      <c r="A241" s="14" t="str">
        <f>"83251"</f>
        <v>83251</v>
      </c>
      <c r="B241" s="14" t="str">
        <f>"07010"</f>
        <v>07010</v>
      </c>
      <c r="C241" s="14" t="str">
        <f>"1800"</f>
        <v>1800</v>
      </c>
      <c r="D241" s="14" t="str">
        <f>""</f>
        <v/>
      </c>
      <c r="E241" s="14" t="s">
        <v>1122</v>
      </c>
      <c r="F241" s="14" t="s">
        <v>1002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228</v>
      </c>
      <c r="P241" s="14" t="s">
        <v>260</v>
      </c>
      <c r="Q241" s="14" t="s">
        <v>260</v>
      </c>
      <c r="R241" s="14" t="s">
        <v>229</v>
      </c>
    </row>
    <row r="242" spans="1:18" s="14" customFormat="1" x14ac:dyDescent="0.25">
      <c r="A242" s="14" t="str">
        <f>"83257"</f>
        <v>83257</v>
      </c>
      <c r="B242" s="14" t="str">
        <f>"07010"</f>
        <v>07010</v>
      </c>
      <c r="C242" s="14" t="str">
        <f>"1800"</f>
        <v>1800</v>
      </c>
      <c r="D242" s="14" t="str">
        <f>""</f>
        <v/>
      </c>
      <c r="E242" s="14" t="s">
        <v>1123</v>
      </c>
      <c r="F242" s="14" t="s">
        <v>1002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228</v>
      </c>
      <c r="P242" s="14" t="s">
        <v>260</v>
      </c>
      <c r="Q242" s="14" t="s">
        <v>260</v>
      </c>
      <c r="R242" s="14" t="s">
        <v>229</v>
      </c>
    </row>
    <row r="243" spans="1:18" s="14" customFormat="1" x14ac:dyDescent="0.25">
      <c r="A243" s="14" t="str">
        <f>"83258"</f>
        <v>83258</v>
      </c>
      <c r="B243" s="14" t="str">
        <f>"07010"</f>
        <v>07010</v>
      </c>
      <c r="C243" s="14" t="str">
        <f>"1800"</f>
        <v>1800</v>
      </c>
      <c r="D243" s="14" t="str">
        <f>""</f>
        <v/>
      </c>
      <c r="E243" s="14" t="s">
        <v>1124</v>
      </c>
      <c r="F243" s="14" t="s">
        <v>1002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228</v>
      </c>
      <c r="P243" s="14" t="s">
        <v>260</v>
      </c>
      <c r="Q243" s="14" t="s">
        <v>260</v>
      </c>
      <c r="R243" s="14" t="s">
        <v>229</v>
      </c>
    </row>
    <row r="244" spans="1:18" s="14" customFormat="1" x14ac:dyDescent="0.25">
      <c r="A244" s="14" t="str">
        <f>"83259"</f>
        <v>83259</v>
      </c>
      <c r="B244" s="14" t="str">
        <f>"07010"</f>
        <v>07010</v>
      </c>
      <c r="C244" s="14" t="str">
        <f>"1800"</f>
        <v>1800</v>
      </c>
      <c r="D244" s="14" t="str">
        <f>""</f>
        <v/>
      </c>
      <c r="E244" s="14" t="s">
        <v>1125</v>
      </c>
      <c r="F244" s="14" t="s">
        <v>1002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228</v>
      </c>
      <c r="P244" s="14" t="s">
        <v>260</v>
      </c>
      <c r="Q244" s="14" t="s">
        <v>260</v>
      </c>
      <c r="R244" s="14" t="s">
        <v>229</v>
      </c>
    </row>
    <row r="245" spans="1:18" s="14" customFormat="1" x14ac:dyDescent="0.25">
      <c r="A245" s="14" t="str">
        <f>"83260"</f>
        <v>83260</v>
      </c>
      <c r="B245" s="14" t="str">
        <f>"07010"</f>
        <v>07010</v>
      </c>
      <c r="C245" s="14" t="str">
        <f>"1800"</f>
        <v>1800</v>
      </c>
      <c r="D245" s="14" t="str">
        <f>""</f>
        <v/>
      </c>
      <c r="E245" s="14" t="s">
        <v>1126</v>
      </c>
      <c r="F245" s="14" t="s">
        <v>1002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228</v>
      </c>
      <c r="P245" s="14" t="s">
        <v>260</v>
      </c>
      <c r="Q245" s="14" t="s">
        <v>260</v>
      </c>
      <c r="R245" s="14" t="s">
        <v>229</v>
      </c>
    </row>
    <row r="246" spans="1:18" s="14" customFormat="1" x14ac:dyDescent="0.25">
      <c r="A246" s="14" t="str">
        <f>"83261"</f>
        <v>83261</v>
      </c>
      <c r="B246" s="14" t="str">
        <f>"07010"</f>
        <v>07010</v>
      </c>
      <c r="C246" s="14" t="str">
        <f>"1800"</f>
        <v>1800</v>
      </c>
      <c r="D246" s="14" t="str">
        <f>""</f>
        <v/>
      </c>
      <c r="E246" s="14" t="s">
        <v>1127</v>
      </c>
      <c r="F246" s="14" t="s">
        <v>1002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228</v>
      </c>
      <c r="P246" s="14" t="s">
        <v>260</v>
      </c>
      <c r="Q246" s="14" t="s">
        <v>260</v>
      </c>
      <c r="R246" s="14" t="s">
        <v>229</v>
      </c>
    </row>
    <row r="247" spans="1:18" s="14" customFormat="1" x14ac:dyDescent="0.25">
      <c r="A247" s="14" t="str">
        <f>"83262"</f>
        <v>83262</v>
      </c>
      <c r="B247" s="14" t="str">
        <f>"07010"</f>
        <v>07010</v>
      </c>
      <c r="C247" s="14" t="str">
        <f>"1800"</f>
        <v>1800</v>
      </c>
      <c r="D247" s="14" t="str">
        <f>""</f>
        <v/>
      </c>
      <c r="E247" s="14" t="s">
        <v>1128</v>
      </c>
      <c r="F247" s="14" t="s">
        <v>1002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228</v>
      </c>
      <c r="P247" s="14" t="s">
        <v>260</v>
      </c>
      <c r="Q247" s="14" t="s">
        <v>260</v>
      </c>
      <c r="R247" s="14" t="s">
        <v>229</v>
      </c>
    </row>
    <row r="248" spans="1:18" s="14" customFormat="1" x14ac:dyDescent="0.25">
      <c r="A248" s="14" t="str">
        <f>"83265"</f>
        <v>83265</v>
      </c>
      <c r="B248" s="14" t="str">
        <f>"07010"</f>
        <v>07010</v>
      </c>
      <c r="C248" s="14" t="str">
        <f>"1800"</f>
        <v>1800</v>
      </c>
      <c r="D248" s="14" t="str">
        <f>""</f>
        <v/>
      </c>
      <c r="E248" s="14" t="s">
        <v>1129</v>
      </c>
      <c r="F248" s="14" t="s">
        <v>1002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228</v>
      </c>
      <c r="P248" s="14" t="s">
        <v>260</v>
      </c>
      <c r="Q248" s="14" t="s">
        <v>260</v>
      </c>
      <c r="R248" s="14" t="s">
        <v>229</v>
      </c>
    </row>
    <row r="249" spans="1:18" s="14" customFormat="1" x14ac:dyDescent="0.25">
      <c r="A249" s="14" t="str">
        <f>"83269"</f>
        <v>83269</v>
      </c>
      <c r="B249" s="14" t="str">
        <f>"07010"</f>
        <v>07010</v>
      </c>
      <c r="C249" s="14" t="str">
        <f>"1800"</f>
        <v>1800</v>
      </c>
      <c r="D249" s="14" t="str">
        <f>""</f>
        <v/>
      </c>
      <c r="E249" s="14" t="s">
        <v>1130</v>
      </c>
      <c r="F249" s="14" t="s">
        <v>1002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228</v>
      </c>
      <c r="P249" s="14" t="s">
        <v>260</v>
      </c>
      <c r="Q249" s="14" t="s">
        <v>260</v>
      </c>
      <c r="R249" s="14" t="s">
        <v>229</v>
      </c>
    </row>
    <row r="250" spans="1:18" s="14" customFormat="1" x14ac:dyDescent="0.25">
      <c r="A250" s="14" t="str">
        <f>"83270"</f>
        <v>83270</v>
      </c>
      <c r="B250" s="14" t="str">
        <f>"07010"</f>
        <v>07010</v>
      </c>
      <c r="C250" s="14" t="str">
        <f>"1800"</f>
        <v>1800</v>
      </c>
      <c r="D250" s="14" t="str">
        <f>""</f>
        <v/>
      </c>
      <c r="E250" s="14" t="s">
        <v>1131</v>
      </c>
      <c r="F250" s="14" t="s">
        <v>1002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228</v>
      </c>
      <c r="P250" s="14" t="s">
        <v>260</v>
      </c>
      <c r="Q250" s="14" t="s">
        <v>260</v>
      </c>
      <c r="R250" s="14" t="s">
        <v>229</v>
      </c>
    </row>
    <row r="251" spans="1:18" s="14" customFormat="1" x14ac:dyDescent="0.25">
      <c r="A251" s="14" t="str">
        <f>"83273"</f>
        <v>83273</v>
      </c>
      <c r="B251" s="14" t="str">
        <f>"07010"</f>
        <v>07010</v>
      </c>
      <c r="C251" s="14" t="str">
        <f>"1800"</f>
        <v>1800</v>
      </c>
      <c r="D251" s="14" t="str">
        <f>""</f>
        <v/>
      </c>
      <c r="E251" s="14" t="s">
        <v>1132</v>
      </c>
      <c r="F251" s="14" t="s">
        <v>1002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228</v>
      </c>
      <c r="P251" s="14" t="s">
        <v>260</v>
      </c>
      <c r="Q251" s="14" t="s">
        <v>260</v>
      </c>
      <c r="R251" s="14" t="s">
        <v>229</v>
      </c>
    </row>
    <row r="252" spans="1:18" s="14" customFormat="1" x14ac:dyDescent="0.25">
      <c r="A252" s="14" t="str">
        <f>"83275"</f>
        <v>83275</v>
      </c>
      <c r="B252" s="14" t="str">
        <f>"07010"</f>
        <v>07010</v>
      </c>
      <c r="C252" s="14" t="str">
        <f>"1800"</f>
        <v>1800</v>
      </c>
      <c r="D252" s="14" t="str">
        <f>""</f>
        <v/>
      </c>
      <c r="E252" s="14" t="s">
        <v>1133</v>
      </c>
      <c r="F252" s="14" t="s">
        <v>1002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228</v>
      </c>
      <c r="P252" s="14" t="s">
        <v>260</v>
      </c>
      <c r="Q252" s="14" t="s">
        <v>260</v>
      </c>
      <c r="R252" s="14" t="s">
        <v>229</v>
      </c>
    </row>
    <row r="253" spans="1:18" s="14" customFormat="1" x14ac:dyDescent="0.25">
      <c r="A253" s="14" t="str">
        <f>"83278"</f>
        <v>83278</v>
      </c>
      <c r="B253" s="14" t="str">
        <f>"07010"</f>
        <v>07010</v>
      </c>
      <c r="C253" s="14" t="str">
        <f>"1800"</f>
        <v>1800</v>
      </c>
      <c r="D253" s="14" t="str">
        <f>""</f>
        <v/>
      </c>
      <c r="E253" s="14" t="s">
        <v>1134</v>
      </c>
      <c r="F253" s="14" t="s">
        <v>1002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228</v>
      </c>
      <c r="P253" s="14" t="s">
        <v>260</v>
      </c>
      <c r="Q253" s="14" t="s">
        <v>260</v>
      </c>
      <c r="R253" s="14" t="s">
        <v>229</v>
      </c>
    </row>
    <row r="254" spans="1:18" s="14" customFormat="1" x14ac:dyDescent="0.25">
      <c r="A254" s="14" t="str">
        <f>"83279"</f>
        <v>83279</v>
      </c>
      <c r="B254" s="14" t="str">
        <f>"07010"</f>
        <v>07010</v>
      </c>
      <c r="C254" s="14" t="str">
        <f>"1800"</f>
        <v>1800</v>
      </c>
      <c r="D254" s="14" t="str">
        <f>""</f>
        <v/>
      </c>
      <c r="E254" s="14" t="s">
        <v>1135</v>
      </c>
      <c r="F254" s="14" t="s">
        <v>1002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228</v>
      </c>
      <c r="P254" s="14" t="s">
        <v>260</v>
      </c>
      <c r="Q254" s="14" t="s">
        <v>260</v>
      </c>
      <c r="R254" s="14" t="s">
        <v>229</v>
      </c>
    </row>
    <row r="255" spans="1:18" s="14" customFormat="1" x14ac:dyDescent="0.25">
      <c r="A255" s="14" t="str">
        <f>"83280"</f>
        <v>83280</v>
      </c>
      <c r="B255" s="14" t="str">
        <f>"07010"</f>
        <v>07010</v>
      </c>
      <c r="C255" s="14" t="str">
        <f>"1800"</f>
        <v>1800</v>
      </c>
      <c r="D255" s="14" t="str">
        <f>""</f>
        <v/>
      </c>
      <c r="E255" s="14" t="s">
        <v>1136</v>
      </c>
      <c r="F255" s="14" t="s">
        <v>1002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228</v>
      </c>
      <c r="P255" s="14" t="s">
        <v>260</v>
      </c>
      <c r="Q255" s="14" t="s">
        <v>260</v>
      </c>
      <c r="R255" s="14" t="s">
        <v>229</v>
      </c>
    </row>
    <row r="256" spans="1:18" s="14" customFormat="1" x14ac:dyDescent="0.25">
      <c r="A256" s="14" t="str">
        <f>"83283"</f>
        <v>83283</v>
      </c>
      <c r="B256" s="14" t="str">
        <f>"07010"</f>
        <v>07010</v>
      </c>
      <c r="C256" s="14" t="str">
        <f>"1800"</f>
        <v>1800</v>
      </c>
      <c r="D256" s="14" t="str">
        <f>""</f>
        <v/>
      </c>
      <c r="E256" s="14" t="s">
        <v>1137</v>
      </c>
      <c r="F256" s="14" t="s">
        <v>1002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228</v>
      </c>
      <c r="P256" s="14" t="s">
        <v>260</v>
      </c>
      <c r="Q256" s="14" t="s">
        <v>260</v>
      </c>
      <c r="R256" s="14" t="s">
        <v>229</v>
      </c>
    </row>
    <row r="257" spans="1:18" s="14" customFormat="1" x14ac:dyDescent="0.25">
      <c r="A257" s="14" t="str">
        <f>"83284"</f>
        <v>83284</v>
      </c>
      <c r="B257" s="14" t="str">
        <f>"07010"</f>
        <v>07010</v>
      </c>
      <c r="C257" s="14" t="str">
        <f>"1800"</f>
        <v>1800</v>
      </c>
      <c r="D257" s="14" t="str">
        <f>""</f>
        <v/>
      </c>
      <c r="E257" s="14" t="s">
        <v>1138</v>
      </c>
      <c r="F257" s="14" t="s">
        <v>1002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228</v>
      </c>
      <c r="P257" s="14" t="s">
        <v>260</v>
      </c>
      <c r="Q257" s="14" t="s">
        <v>260</v>
      </c>
      <c r="R257" s="14" t="s">
        <v>229</v>
      </c>
    </row>
    <row r="258" spans="1:18" s="14" customFormat="1" x14ac:dyDescent="0.25">
      <c r="A258" s="14" t="str">
        <f>"83287"</f>
        <v>83287</v>
      </c>
      <c r="B258" s="14" t="str">
        <f>"07010"</f>
        <v>07010</v>
      </c>
      <c r="C258" s="14" t="str">
        <f>"1800"</f>
        <v>1800</v>
      </c>
      <c r="D258" s="14" t="str">
        <f>""</f>
        <v/>
      </c>
      <c r="E258" s="14" t="s">
        <v>1139</v>
      </c>
      <c r="F258" s="14" t="s">
        <v>1002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228</v>
      </c>
      <c r="P258" s="14" t="s">
        <v>260</v>
      </c>
      <c r="Q258" s="14" t="s">
        <v>260</v>
      </c>
      <c r="R258" s="14" t="s">
        <v>229</v>
      </c>
    </row>
    <row r="259" spans="1:18" s="14" customFormat="1" x14ac:dyDescent="0.25">
      <c r="A259" s="14" t="str">
        <f>"83288"</f>
        <v>83288</v>
      </c>
      <c r="B259" s="14" t="str">
        <f>"07010"</f>
        <v>07010</v>
      </c>
      <c r="C259" s="14" t="str">
        <f>"1800"</f>
        <v>1800</v>
      </c>
      <c r="D259" s="14" t="str">
        <f>""</f>
        <v/>
      </c>
      <c r="E259" s="14" t="s">
        <v>1140</v>
      </c>
      <c r="F259" s="14" t="s">
        <v>1002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228</v>
      </c>
      <c r="P259" s="14" t="s">
        <v>260</v>
      </c>
      <c r="Q259" s="14" t="s">
        <v>260</v>
      </c>
      <c r="R259" s="14" t="s">
        <v>229</v>
      </c>
    </row>
    <row r="260" spans="1:18" s="14" customFormat="1" x14ac:dyDescent="0.25">
      <c r="A260" s="14" t="str">
        <f>"83289"</f>
        <v>83289</v>
      </c>
      <c r="B260" s="14" t="str">
        <f>"07010"</f>
        <v>07010</v>
      </c>
      <c r="C260" s="14" t="str">
        <f>"1800"</f>
        <v>1800</v>
      </c>
      <c r="D260" s="14" t="str">
        <f>""</f>
        <v/>
      </c>
      <c r="E260" s="14" t="s">
        <v>1141</v>
      </c>
      <c r="F260" s="14" t="s">
        <v>1002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228</v>
      </c>
      <c r="P260" s="14" t="s">
        <v>260</v>
      </c>
      <c r="Q260" s="14" t="s">
        <v>260</v>
      </c>
      <c r="R260" s="14" t="s">
        <v>229</v>
      </c>
    </row>
    <row r="261" spans="1:18" s="14" customFormat="1" x14ac:dyDescent="0.25">
      <c r="A261" s="14" t="str">
        <f>"83290"</f>
        <v>83290</v>
      </c>
      <c r="B261" s="14" t="str">
        <f>"07010"</f>
        <v>07010</v>
      </c>
      <c r="C261" s="14" t="str">
        <f>"1800"</f>
        <v>1800</v>
      </c>
      <c r="D261" s="14" t="str">
        <f>""</f>
        <v/>
      </c>
      <c r="E261" s="14" t="s">
        <v>1142</v>
      </c>
      <c r="F261" s="14" t="s">
        <v>1002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228</v>
      </c>
      <c r="P261" s="14" t="s">
        <v>260</v>
      </c>
      <c r="Q261" s="14" t="s">
        <v>260</v>
      </c>
      <c r="R261" s="14" t="s">
        <v>229</v>
      </c>
    </row>
    <row r="262" spans="1:18" s="14" customFormat="1" x14ac:dyDescent="0.25">
      <c r="A262" s="14" t="str">
        <f>"83291"</f>
        <v>83291</v>
      </c>
      <c r="B262" s="14" t="str">
        <f>"07010"</f>
        <v>07010</v>
      </c>
      <c r="C262" s="14" t="str">
        <f>"1800"</f>
        <v>1800</v>
      </c>
      <c r="D262" s="14" t="str">
        <f>""</f>
        <v/>
      </c>
      <c r="E262" s="14" t="s">
        <v>1143</v>
      </c>
      <c r="F262" s="14" t="s">
        <v>1002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228</v>
      </c>
      <c r="P262" s="14" t="s">
        <v>260</v>
      </c>
      <c r="Q262" s="14" t="s">
        <v>260</v>
      </c>
      <c r="R262" s="14" t="s">
        <v>229</v>
      </c>
    </row>
    <row r="263" spans="1:18" s="14" customFormat="1" x14ac:dyDescent="0.25">
      <c r="A263" s="14" t="str">
        <f>"83293"</f>
        <v>83293</v>
      </c>
      <c r="B263" s="14" t="str">
        <f>"07010"</f>
        <v>07010</v>
      </c>
      <c r="C263" s="14" t="str">
        <f>"1800"</f>
        <v>1800</v>
      </c>
      <c r="D263" s="14" t="str">
        <f>""</f>
        <v/>
      </c>
      <c r="E263" s="14" t="s">
        <v>1144</v>
      </c>
      <c r="F263" s="14" t="s">
        <v>1002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228</v>
      </c>
      <c r="P263" s="14" t="s">
        <v>260</v>
      </c>
      <c r="Q263" s="14" t="s">
        <v>260</v>
      </c>
      <c r="R263" s="14" t="s">
        <v>229</v>
      </c>
    </row>
    <row r="264" spans="1:18" s="14" customFormat="1" x14ac:dyDescent="0.25">
      <c r="A264" s="14" t="str">
        <f>"83294"</f>
        <v>83294</v>
      </c>
      <c r="B264" s="14" t="str">
        <f>"07010"</f>
        <v>07010</v>
      </c>
      <c r="C264" s="14" t="str">
        <f>"1800"</f>
        <v>1800</v>
      </c>
      <c r="D264" s="14" t="str">
        <f>""</f>
        <v/>
      </c>
      <c r="E264" s="14" t="s">
        <v>1145</v>
      </c>
      <c r="F264" s="14" t="s">
        <v>1002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228</v>
      </c>
      <c r="P264" s="14" t="s">
        <v>260</v>
      </c>
      <c r="Q264" s="14" t="s">
        <v>260</v>
      </c>
      <c r="R264" s="14" t="s">
        <v>229</v>
      </c>
    </row>
    <row r="265" spans="1:18" s="14" customFormat="1" x14ac:dyDescent="0.25">
      <c r="A265" s="14" t="str">
        <f>"83296"</f>
        <v>83296</v>
      </c>
      <c r="B265" s="14" t="str">
        <f>"07010"</f>
        <v>07010</v>
      </c>
      <c r="C265" s="14" t="str">
        <f>"1800"</f>
        <v>1800</v>
      </c>
      <c r="D265" s="14" t="str">
        <f>""</f>
        <v/>
      </c>
      <c r="E265" s="14" t="s">
        <v>1146</v>
      </c>
      <c r="F265" s="14" t="s">
        <v>1002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228</v>
      </c>
      <c r="P265" s="14" t="s">
        <v>260</v>
      </c>
      <c r="Q265" s="14" t="s">
        <v>260</v>
      </c>
      <c r="R265" s="14" t="s">
        <v>229</v>
      </c>
    </row>
    <row r="266" spans="1:18" s="14" customFormat="1" x14ac:dyDescent="0.25">
      <c r="A266" s="14" t="str">
        <f>"83299"</f>
        <v>83299</v>
      </c>
      <c r="B266" s="14" t="str">
        <f>"07010"</f>
        <v>07010</v>
      </c>
      <c r="C266" s="14" t="str">
        <f>"1800"</f>
        <v>1800</v>
      </c>
      <c r="D266" s="14" t="str">
        <f>""</f>
        <v/>
      </c>
      <c r="E266" s="14" t="s">
        <v>1147</v>
      </c>
      <c r="F266" s="14" t="s">
        <v>1002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228</v>
      </c>
      <c r="P266" s="14" t="s">
        <v>260</v>
      </c>
      <c r="Q266" s="14" t="s">
        <v>260</v>
      </c>
      <c r="R266" s="14" t="s">
        <v>229</v>
      </c>
    </row>
    <row r="267" spans="1:18" s="14" customFormat="1" x14ac:dyDescent="0.25">
      <c r="A267" s="14" t="str">
        <f>"83300"</f>
        <v>83300</v>
      </c>
      <c r="B267" s="14" t="str">
        <f>"07010"</f>
        <v>07010</v>
      </c>
      <c r="C267" s="14" t="str">
        <f>"1800"</f>
        <v>1800</v>
      </c>
      <c r="D267" s="14" t="str">
        <f>""</f>
        <v/>
      </c>
      <c r="E267" s="14" t="s">
        <v>1148</v>
      </c>
      <c r="F267" s="14" t="s">
        <v>1002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228</v>
      </c>
      <c r="P267" s="14" t="s">
        <v>260</v>
      </c>
      <c r="Q267" s="14" t="s">
        <v>260</v>
      </c>
      <c r="R267" s="14" t="s">
        <v>229</v>
      </c>
    </row>
    <row r="268" spans="1:18" s="14" customFormat="1" x14ac:dyDescent="0.25">
      <c r="A268" s="14" t="str">
        <f>"83301"</f>
        <v>83301</v>
      </c>
      <c r="B268" s="14" t="str">
        <f>"07010"</f>
        <v>07010</v>
      </c>
      <c r="C268" s="14" t="str">
        <f>"1800"</f>
        <v>1800</v>
      </c>
      <c r="D268" s="14" t="str">
        <f>""</f>
        <v/>
      </c>
      <c r="E268" s="14" t="s">
        <v>1149</v>
      </c>
      <c r="F268" s="14" t="s">
        <v>1002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228</v>
      </c>
      <c r="P268" s="14" t="s">
        <v>260</v>
      </c>
      <c r="Q268" s="14" t="s">
        <v>260</v>
      </c>
      <c r="R268" s="14" t="s">
        <v>229</v>
      </c>
    </row>
    <row r="269" spans="1:18" s="14" customFormat="1" x14ac:dyDescent="0.25">
      <c r="A269" s="14" t="str">
        <f>"83306"</f>
        <v>83306</v>
      </c>
      <c r="B269" s="14" t="str">
        <f>"07010"</f>
        <v>07010</v>
      </c>
      <c r="C269" s="14" t="str">
        <f>"1800"</f>
        <v>1800</v>
      </c>
      <c r="D269" s="14" t="str">
        <f>""</f>
        <v/>
      </c>
      <c r="E269" s="14" t="s">
        <v>1150</v>
      </c>
      <c r="F269" s="14" t="s">
        <v>1002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228</v>
      </c>
      <c r="P269" s="14" t="s">
        <v>260</v>
      </c>
      <c r="Q269" s="14" t="s">
        <v>260</v>
      </c>
      <c r="R269" s="14" t="s">
        <v>229</v>
      </c>
    </row>
    <row r="270" spans="1:18" s="14" customFormat="1" x14ac:dyDescent="0.25">
      <c r="A270" s="14" t="str">
        <f>"83309"</f>
        <v>83309</v>
      </c>
      <c r="B270" s="14" t="str">
        <f>"07010"</f>
        <v>07010</v>
      </c>
      <c r="C270" s="14" t="str">
        <f>"1800"</f>
        <v>1800</v>
      </c>
      <c r="D270" s="14" t="str">
        <f>""</f>
        <v/>
      </c>
      <c r="E270" s="14" t="s">
        <v>1151</v>
      </c>
      <c r="F270" s="14" t="s">
        <v>1002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228</v>
      </c>
      <c r="P270" s="14" t="s">
        <v>260</v>
      </c>
      <c r="Q270" s="14" t="s">
        <v>260</v>
      </c>
      <c r="R270" s="14" t="s">
        <v>229</v>
      </c>
    </row>
    <row r="271" spans="1:18" s="14" customFormat="1" x14ac:dyDescent="0.25">
      <c r="A271" s="14" t="str">
        <f>"83310"</f>
        <v>83310</v>
      </c>
      <c r="B271" s="14" t="str">
        <f>"07010"</f>
        <v>07010</v>
      </c>
      <c r="C271" s="14" t="str">
        <f>"1800"</f>
        <v>1800</v>
      </c>
      <c r="D271" s="14" t="str">
        <f>""</f>
        <v/>
      </c>
      <c r="E271" s="14" t="s">
        <v>1152</v>
      </c>
      <c r="F271" s="14" t="s">
        <v>1002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228</v>
      </c>
      <c r="P271" s="14" t="s">
        <v>260</v>
      </c>
      <c r="Q271" s="14" t="s">
        <v>260</v>
      </c>
      <c r="R271" s="14" t="s">
        <v>229</v>
      </c>
    </row>
    <row r="272" spans="1:18" s="14" customFormat="1" x14ac:dyDescent="0.25">
      <c r="A272" s="14" t="str">
        <f>"83312"</f>
        <v>83312</v>
      </c>
      <c r="B272" s="14" t="str">
        <f>"07010"</f>
        <v>07010</v>
      </c>
      <c r="C272" s="14" t="str">
        <f>"1800"</f>
        <v>1800</v>
      </c>
      <c r="D272" s="14" t="str">
        <f>""</f>
        <v/>
      </c>
      <c r="E272" s="14" t="s">
        <v>1153</v>
      </c>
      <c r="F272" s="14" t="s">
        <v>1002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228</v>
      </c>
      <c r="P272" s="14" t="s">
        <v>260</v>
      </c>
      <c r="Q272" s="14" t="s">
        <v>260</v>
      </c>
      <c r="R272" s="14" t="s">
        <v>229</v>
      </c>
    </row>
    <row r="273" spans="1:18" s="14" customFormat="1" x14ac:dyDescent="0.25">
      <c r="A273" s="14" t="str">
        <f>"83313"</f>
        <v>83313</v>
      </c>
      <c r="B273" s="14" t="str">
        <f>"07010"</f>
        <v>07010</v>
      </c>
      <c r="C273" s="14" t="str">
        <f>"1800"</f>
        <v>1800</v>
      </c>
      <c r="D273" s="14" t="str">
        <f>""</f>
        <v/>
      </c>
      <c r="E273" s="14" t="s">
        <v>1154</v>
      </c>
      <c r="F273" s="14" t="s">
        <v>1002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228</v>
      </c>
      <c r="P273" s="14" t="s">
        <v>260</v>
      </c>
      <c r="Q273" s="14" t="s">
        <v>260</v>
      </c>
      <c r="R273" s="14" t="s">
        <v>229</v>
      </c>
    </row>
    <row r="274" spans="1:18" s="14" customFormat="1" x14ac:dyDescent="0.25">
      <c r="A274" s="14" t="str">
        <f>"83315"</f>
        <v>83315</v>
      </c>
      <c r="B274" s="14" t="str">
        <f>"07010"</f>
        <v>07010</v>
      </c>
      <c r="C274" s="14" t="str">
        <f>"1800"</f>
        <v>1800</v>
      </c>
      <c r="D274" s="14" t="str">
        <f>""</f>
        <v/>
      </c>
      <c r="E274" s="14" t="s">
        <v>1155</v>
      </c>
      <c r="F274" s="14" t="s">
        <v>1002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228</v>
      </c>
      <c r="P274" s="14" t="s">
        <v>260</v>
      </c>
      <c r="Q274" s="14" t="s">
        <v>260</v>
      </c>
      <c r="R274" s="14" t="s">
        <v>229</v>
      </c>
    </row>
    <row r="275" spans="1:18" s="14" customFormat="1" x14ac:dyDescent="0.25">
      <c r="A275" s="14" t="str">
        <f>"83316"</f>
        <v>83316</v>
      </c>
      <c r="B275" s="14" t="str">
        <f>"07010"</f>
        <v>07010</v>
      </c>
      <c r="C275" s="14" t="str">
        <f>"1800"</f>
        <v>1800</v>
      </c>
      <c r="D275" s="14" t="str">
        <f>""</f>
        <v/>
      </c>
      <c r="E275" s="14" t="s">
        <v>1156</v>
      </c>
      <c r="F275" s="14" t="s">
        <v>1002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228</v>
      </c>
      <c r="P275" s="14" t="s">
        <v>260</v>
      </c>
      <c r="Q275" s="14" t="s">
        <v>260</v>
      </c>
      <c r="R275" s="14" t="s">
        <v>229</v>
      </c>
    </row>
    <row r="276" spans="1:18" s="14" customFormat="1" x14ac:dyDescent="0.25">
      <c r="A276" s="14" t="str">
        <f>"83317"</f>
        <v>83317</v>
      </c>
      <c r="B276" s="14" t="str">
        <f>"07010"</f>
        <v>07010</v>
      </c>
      <c r="C276" s="14" t="str">
        <f>"1800"</f>
        <v>1800</v>
      </c>
      <c r="D276" s="14" t="str">
        <f>""</f>
        <v/>
      </c>
      <c r="E276" s="14" t="s">
        <v>1157</v>
      </c>
      <c r="F276" s="14" t="s">
        <v>1002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228</v>
      </c>
      <c r="P276" s="14" t="s">
        <v>260</v>
      </c>
      <c r="Q276" s="14" t="s">
        <v>260</v>
      </c>
      <c r="R276" s="14" t="s">
        <v>229</v>
      </c>
    </row>
    <row r="277" spans="1:18" s="14" customFormat="1" x14ac:dyDescent="0.25">
      <c r="A277" s="14" t="str">
        <f>"83318"</f>
        <v>83318</v>
      </c>
      <c r="B277" s="14" t="str">
        <f>"07010"</f>
        <v>07010</v>
      </c>
      <c r="C277" s="14" t="str">
        <f>"1800"</f>
        <v>1800</v>
      </c>
      <c r="D277" s="14" t="str">
        <f>""</f>
        <v/>
      </c>
      <c r="E277" s="14" t="s">
        <v>1158</v>
      </c>
      <c r="F277" s="14" t="s">
        <v>1002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228</v>
      </c>
      <c r="P277" s="14" t="s">
        <v>260</v>
      </c>
      <c r="Q277" s="14" t="s">
        <v>260</v>
      </c>
      <c r="R277" s="14" t="s">
        <v>229</v>
      </c>
    </row>
    <row r="278" spans="1:18" s="14" customFormat="1" x14ac:dyDescent="0.25">
      <c r="A278" s="14" t="str">
        <f>"83319"</f>
        <v>83319</v>
      </c>
      <c r="B278" s="14" t="str">
        <f>"07010"</f>
        <v>07010</v>
      </c>
      <c r="C278" s="14" t="str">
        <f>"1800"</f>
        <v>1800</v>
      </c>
      <c r="D278" s="14" t="str">
        <f>""</f>
        <v/>
      </c>
      <c r="E278" s="14" t="s">
        <v>1159</v>
      </c>
      <c r="F278" s="14" t="s">
        <v>1002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228</v>
      </c>
      <c r="P278" s="14" t="s">
        <v>260</v>
      </c>
      <c r="Q278" s="14" t="s">
        <v>260</v>
      </c>
      <c r="R278" s="14" t="s">
        <v>229</v>
      </c>
    </row>
    <row r="279" spans="1:18" s="14" customFormat="1" x14ac:dyDescent="0.25">
      <c r="A279" s="14" t="str">
        <f>"83320"</f>
        <v>83320</v>
      </c>
      <c r="B279" s="14" t="str">
        <f>"07010"</f>
        <v>07010</v>
      </c>
      <c r="C279" s="14" t="str">
        <f>"1800"</f>
        <v>1800</v>
      </c>
      <c r="D279" s="14" t="str">
        <f>""</f>
        <v/>
      </c>
      <c r="E279" s="14" t="s">
        <v>1160</v>
      </c>
      <c r="F279" s="14" t="s">
        <v>1002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228</v>
      </c>
      <c r="P279" s="14" t="s">
        <v>260</v>
      </c>
      <c r="Q279" s="14" t="s">
        <v>260</v>
      </c>
      <c r="R279" s="14" t="s">
        <v>229</v>
      </c>
    </row>
    <row r="280" spans="1:18" s="14" customFormat="1" x14ac:dyDescent="0.25">
      <c r="A280" s="14" t="str">
        <f>"83321"</f>
        <v>83321</v>
      </c>
      <c r="B280" s="14" t="str">
        <f>"07010"</f>
        <v>07010</v>
      </c>
      <c r="C280" s="14" t="str">
        <f>"1800"</f>
        <v>1800</v>
      </c>
      <c r="D280" s="14" t="str">
        <f>""</f>
        <v/>
      </c>
      <c r="E280" s="14" t="s">
        <v>1161</v>
      </c>
      <c r="F280" s="14" t="s">
        <v>1002</v>
      </c>
      <c r="G280" s="14" t="str">
        <f>""</f>
        <v/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228</v>
      </c>
      <c r="P280" s="14" t="s">
        <v>260</v>
      </c>
      <c r="Q280" s="14" t="s">
        <v>260</v>
      </c>
      <c r="R280" s="14" t="s">
        <v>229</v>
      </c>
    </row>
    <row r="281" spans="1:18" s="14" customFormat="1" x14ac:dyDescent="0.25">
      <c r="A281" s="14" t="str">
        <f>"83323"</f>
        <v>83323</v>
      </c>
      <c r="B281" s="14" t="str">
        <f>"07010"</f>
        <v>07010</v>
      </c>
      <c r="C281" s="14" t="str">
        <f>"1800"</f>
        <v>1800</v>
      </c>
      <c r="D281" s="14" t="str">
        <f>""</f>
        <v/>
      </c>
      <c r="E281" s="14" t="s">
        <v>1162</v>
      </c>
      <c r="F281" s="14" t="s">
        <v>1002</v>
      </c>
      <c r="G281" s="14" t="str">
        <f>""</f>
        <v/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228</v>
      </c>
      <c r="P281" s="14" t="s">
        <v>260</v>
      </c>
      <c r="Q281" s="14" t="s">
        <v>260</v>
      </c>
      <c r="R281" s="14" t="s">
        <v>229</v>
      </c>
    </row>
    <row r="282" spans="1:18" s="14" customFormat="1" x14ac:dyDescent="0.25">
      <c r="A282" s="14" t="str">
        <f>"83324"</f>
        <v>83324</v>
      </c>
      <c r="B282" s="14" t="str">
        <f>"07010"</f>
        <v>07010</v>
      </c>
      <c r="C282" s="14" t="str">
        <f>"1800"</f>
        <v>1800</v>
      </c>
      <c r="D282" s="14" t="str">
        <f>""</f>
        <v/>
      </c>
      <c r="E282" s="14" t="s">
        <v>1163</v>
      </c>
      <c r="F282" s="14" t="s">
        <v>1002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228</v>
      </c>
      <c r="P282" s="14" t="s">
        <v>260</v>
      </c>
      <c r="Q282" s="14" t="s">
        <v>260</v>
      </c>
      <c r="R282" s="14" t="s">
        <v>229</v>
      </c>
    </row>
    <row r="283" spans="1:18" s="14" customFormat="1" x14ac:dyDescent="0.25">
      <c r="A283" s="14" t="str">
        <f>"83326"</f>
        <v>83326</v>
      </c>
      <c r="B283" s="14" t="str">
        <f>"07010"</f>
        <v>07010</v>
      </c>
      <c r="C283" s="14" t="str">
        <f>"1800"</f>
        <v>1800</v>
      </c>
      <c r="D283" s="14" t="str">
        <f>""</f>
        <v/>
      </c>
      <c r="E283" s="14" t="s">
        <v>1164</v>
      </c>
      <c r="F283" s="14" t="s">
        <v>1002</v>
      </c>
      <c r="G283" s="14" t="str">
        <f>""</f>
        <v/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228</v>
      </c>
      <c r="P283" s="14" t="s">
        <v>260</v>
      </c>
      <c r="Q283" s="14" t="s">
        <v>260</v>
      </c>
      <c r="R283" s="14" t="s">
        <v>229</v>
      </c>
    </row>
    <row r="284" spans="1:18" s="14" customFormat="1" x14ac:dyDescent="0.25">
      <c r="A284" s="14" t="str">
        <f>"83330"</f>
        <v>83330</v>
      </c>
      <c r="B284" s="14" t="str">
        <f>"07010"</f>
        <v>07010</v>
      </c>
      <c r="C284" s="14" t="str">
        <f>"1800"</f>
        <v>1800</v>
      </c>
      <c r="D284" s="14" t="str">
        <f>""</f>
        <v/>
      </c>
      <c r="E284" s="14" t="s">
        <v>1165</v>
      </c>
      <c r="F284" s="14" t="s">
        <v>1002</v>
      </c>
      <c r="G284" s="14" t="str">
        <f>""</f>
        <v/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228</v>
      </c>
      <c r="P284" s="14" t="s">
        <v>260</v>
      </c>
      <c r="Q284" s="14" t="s">
        <v>260</v>
      </c>
      <c r="R284" s="14" t="s">
        <v>229</v>
      </c>
    </row>
    <row r="285" spans="1:18" s="14" customFormat="1" x14ac:dyDescent="0.25">
      <c r="A285" s="14" t="str">
        <f>"83332"</f>
        <v>83332</v>
      </c>
      <c r="B285" s="14" t="str">
        <f>"07010"</f>
        <v>07010</v>
      </c>
      <c r="C285" s="14" t="str">
        <f>"1800"</f>
        <v>1800</v>
      </c>
      <c r="D285" s="14" t="str">
        <f>""</f>
        <v/>
      </c>
      <c r="E285" s="14" t="s">
        <v>1166</v>
      </c>
      <c r="F285" s="14" t="s">
        <v>1002</v>
      </c>
      <c r="G285" s="14" t="str">
        <f>""</f>
        <v/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228</v>
      </c>
      <c r="P285" s="14" t="s">
        <v>260</v>
      </c>
      <c r="Q285" s="14" t="s">
        <v>260</v>
      </c>
      <c r="R285" s="14" t="s">
        <v>229</v>
      </c>
    </row>
    <row r="286" spans="1:18" s="14" customFormat="1" x14ac:dyDescent="0.25">
      <c r="A286" s="14" t="str">
        <f>"83334"</f>
        <v>83334</v>
      </c>
      <c r="B286" s="14" t="str">
        <f>"07010"</f>
        <v>07010</v>
      </c>
      <c r="C286" s="14" t="str">
        <f>"1800"</f>
        <v>1800</v>
      </c>
      <c r="D286" s="14" t="str">
        <f>""</f>
        <v/>
      </c>
      <c r="E286" s="14" t="s">
        <v>1167</v>
      </c>
      <c r="F286" s="14" t="s">
        <v>1002</v>
      </c>
      <c r="G286" s="14" t="str">
        <f>""</f>
        <v/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228</v>
      </c>
      <c r="P286" s="14" t="s">
        <v>260</v>
      </c>
      <c r="Q286" s="14" t="s">
        <v>260</v>
      </c>
      <c r="R286" s="14" t="s">
        <v>229</v>
      </c>
    </row>
    <row r="287" spans="1:18" s="14" customFormat="1" x14ac:dyDescent="0.25">
      <c r="A287" s="14" t="str">
        <f>"83335"</f>
        <v>83335</v>
      </c>
      <c r="B287" s="14" t="str">
        <f>"07010"</f>
        <v>07010</v>
      </c>
      <c r="C287" s="14" t="str">
        <f>"1800"</f>
        <v>1800</v>
      </c>
      <c r="D287" s="14" t="str">
        <f>""</f>
        <v/>
      </c>
      <c r="E287" s="14" t="s">
        <v>1168</v>
      </c>
      <c r="F287" s="14" t="s">
        <v>1002</v>
      </c>
      <c r="G287" s="14" t="str">
        <f>""</f>
        <v/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228</v>
      </c>
      <c r="P287" s="14" t="s">
        <v>260</v>
      </c>
      <c r="Q287" s="14" t="s">
        <v>260</v>
      </c>
      <c r="R287" s="14" t="s">
        <v>229</v>
      </c>
    </row>
    <row r="288" spans="1:18" s="14" customFormat="1" x14ac:dyDescent="0.25">
      <c r="A288" s="14" t="str">
        <f>"83337"</f>
        <v>83337</v>
      </c>
      <c r="B288" s="14" t="str">
        <f>"07010"</f>
        <v>07010</v>
      </c>
      <c r="C288" s="14" t="str">
        <f>"1800"</f>
        <v>1800</v>
      </c>
      <c r="D288" s="14" t="str">
        <f>""</f>
        <v/>
      </c>
      <c r="E288" s="14" t="s">
        <v>1169</v>
      </c>
      <c r="F288" s="14" t="s">
        <v>1002</v>
      </c>
      <c r="G288" s="14" t="str">
        <f>""</f>
        <v/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228</v>
      </c>
      <c r="P288" s="14" t="s">
        <v>260</v>
      </c>
      <c r="Q288" s="14" t="s">
        <v>260</v>
      </c>
      <c r="R288" s="14" t="s">
        <v>229</v>
      </c>
    </row>
    <row r="289" spans="1:18" s="14" customFormat="1" x14ac:dyDescent="0.25">
      <c r="A289" s="14" t="str">
        <f>"83339"</f>
        <v>83339</v>
      </c>
      <c r="B289" s="14" t="str">
        <f>"07010"</f>
        <v>07010</v>
      </c>
      <c r="C289" s="14" t="str">
        <f>"1800"</f>
        <v>1800</v>
      </c>
      <c r="D289" s="14" t="str">
        <f>""</f>
        <v/>
      </c>
      <c r="E289" s="14" t="s">
        <v>1170</v>
      </c>
      <c r="F289" s="14" t="s">
        <v>1002</v>
      </c>
      <c r="G289" s="14" t="str">
        <f>""</f>
        <v/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228</v>
      </c>
      <c r="P289" s="14" t="s">
        <v>260</v>
      </c>
      <c r="Q289" s="14" t="s">
        <v>260</v>
      </c>
      <c r="R289" s="14" t="s">
        <v>229</v>
      </c>
    </row>
    <row r="290" spans="1:18" s="14" customFormat="1" x14ac:dyDescent="0.25">
      <c r="A290" s="14" t="str">
        <f>"83340"</f>
        <v>83340</v>
      </c>
      <c r="B290" s="14" t="str">
        <f>"07010"</f>
        <v>07010</v>
      </c>
      <c r="C290" s="14" t="str">
        <f>"1800"</f>
        <v>1800</v>
      </c>
      <c r="D290" s="14" t="str">
        <f>""</f>
        <v/>
      </c>
      <c r="E290" s="14" t="s">
        <v>1171</v>
      </c>
      <c r="F290" s="14" t="s">
        <v>1002</v>
      </c>
      <c r="G290" s="14" t="str">
        <f>""</f>
        <v/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228</v>
      </c>
      <c r="P290" s="14" t="s">
        <v>260</v>
      </c>
      <c r="Q290" s="14" t="s">
        <v>260</v>
      </c>
      <c r="R290" s="14" t="s">
        <v>229</v>
      </c>
    </row>
    <row r="291" spans="1:18" s="14" customFormat="1" x14ac:dyDescent="0.25">
      <c r="A291" s="14" t="str">
        <f>"83343"</f>
        <v>83343</v>
      </c>
      <c r="B291" s="14" t="str">
        <f>"07010"</f>
        <v>07010</v>
      </c>
      <c r="C291" s="14" t="str">
        <f>"1800"</f>
        <v>1800</v>
      </c>
      <c r="D291" s="14" t="str">
        <f>""</f>
        <v/>
      </c>
      <c r="E291" s="14" t="s">
        <v>1172</v>
      </c>
      <c r="F291" s="14" t="s">
        <v>1002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228</v>
      </c>
      <c r="P291" s="14" t="s">
        <v>260</v>
      </c>
      <c r="Q291" s="14" t="s">
        <v>260</v>
      </c>
      <c r="R291" s="14" t="s">
        <v>229</v>
      </c>
    </row>
    <row r="292" spans="1:18" s="14" customFormat="1" x14ac:dyDescent="0.25">
      <c r="A292" s="14" t="str">
        <f>"83344"</f>
        <v>83344</v>
      </c>
      <c r="B292" s="14" t="str">
        <f>"07010"</f>
        <v>07010</v>
      </c>
      <c r="C292" s="14" t="str">
        <f>"1800"</f>
        <v>1800</v>
      </c>
      <c r="D292" s="14" t="str">
        <f>""</f>
        <v/>
      </c>
      <c r="E292" s="14" t="s">
        <v>1173</v>
      </c>
      <c r="F292" s="14" t="s">
        <v>1002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228</v>
      </c>
      <c r="P292" s="14" t="s">
        <v>260</v>
      </c>
      <c r="Q292" s="14" t="s">
        <v>260</v>
      </c>
      <c r="R292" s="14" t="s">
        <v>229</v>
      </c>
    </row>
    <row r="293" spans="1:18" s="14" customFormat="1" x14ac:dyDescent="0.25">
      <c r="A293" s="14" t="str">
        <f>"83345"</f>
        <v>83345</v>
      </c>
      <c r="B293" s="14" t="str">
        <f>"07010"</f>
        <v>07010</v>
      </c>
      <c r="C293" s="14" t="str">
        <f>"1800"</f>
        <v>1800</v>
      </c>
      <c r="D293" s="14" t="str">
        <f>""</f>
        <v/>
      </c>
      <c r="E293" s="14" t="s">
        <v>1174</v>
      </c>
      <c r="F293" s="14" t="s">
        <v>1002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228</v>
      </c>
      <c r="P293" s="14" t="s">
        <v>260</v>
      </c>
      <c r="Q293" s="14" t="s">
        <v>260</v>
      </c>
      <c r="R293" s="14" t="s">
        <v>229</v>
      </c>
    </row>
    <row r="294" spans="1:18" s="14" customFormat="1" x14ac:dyDescent="0.25">
      <c r="A294" s="14" t="str">
        <f>"83346"</f>
        <v>83346</v>
      </c>
      <c r="B294" s="14" t="str">
        <f>"07010"</f>
        <v>07010</v>
      </c>
      <c r="C294" s="14" t="str">
        <f>"1800"</f>
        <v>1800</v>
      </c>
      <c r="D294" s="14" t="str">
        <f>""</f>
        <v/>
      </c>
      <c r="E294" s="14" t="s">
        <v>1175</v>
      </c>
      <c r="F294" s="14" t="s">
        <v>1002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228</v>
      </c>
      <c r="P294" s="14" t="s">
        <v>260</v>
      </c>
      <c r="Q294" s="14" t="s">
        <v>260</v>
      </c>
      <c r="R294" s="14" t="s">
        <v>229</v>
      </c>
    </row>
    <row r="295" spans="1:18" s="14" customFormat="1" x14ac:dyDescent="0.25">
      <c r="A295" s="14" t="str">
        <f>"83351"</f>
        <v>83351</v>
      </c>
      <c r="B295" s="14" t="str">
        <f>"07010"</f>
        <v>07010</v>
      </c>
      <c r="C295" s="14" t="str">
        <f>"1800"</f>
        <v>1800</v>
      </c>
      <c r="D295" s="14" t="str">
        <f>""</f>
        <v/>
      </c>
      <c r="E295" s="14" t="s">
        <v>1176</v>
      </c>
      <c r="F295" s="14" t="s">
        <v>1002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228</v>
      </c>
      <c r="P295" s="14" t="s">
        <v>260</v>
      </c>
      <c r="Q295" s="14" t="s">
        <v>260</v>
      </c>
      <c r="R295" s="14" t="s">
        <v>229</v>
      </c>
    </row>
    <row r="296" spans="1:18" s="14" customFormat="1" x14ac:dyDescent="0.25">
      <c r="A296" s="14" t="str">
        <f>"83352"</f>
        <v>83352</v>
      </c>
      <c r="B296" s="14" t="str">
        <f>"07010"</f>
        <v>07010</v>
      </c>
      <c r="C296" s="14" t="str">
        <f>"1800"</f>
        <v>1800</v>
      </c>
      <c r="D296" s="14" t="str">
        <f>""</f>
        <v/>
      </c>
      <c r="E296" s="14" t="s">
        <v>1177</v>
      </c>
      <c r="F296" s="14" t="s">
        <v>1002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228</v>
      </c>
      <c r="P296" s="14" t="s">
        <v>260</v>
      </c>
      <c r="Q296" s="14" t="s">
        <v>260</v>
      </c>
      <c r="R296" s="14" t="s">
        <v>229</v>
      </c>
    </row>
    <row r="297" spans="1:18" s="14" customFormat="1" x14ac:dyDescent="0.25">
      <c r="A297" s="14" t="str">
        <f>"83353"</f>
        <v>83353</v>
      </c>
      <c r="B297" s="14" t="str">
        <f>"07010"</f>
        <v>07010</v>
      </c>
      <c r="C297" s="14" t="str">
        <f>"1800"</f>
        <v>1800</v>
      </c>
      <c r="D297" s="14" t="str">
        <f>""</f>
        <v/>
      </c>
      <c r="E297" s="14" t="s">
        <v>1178</v>
      </c>
      <c r="F297" s="14" t="s">
        <v>1002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228</v>
      </c>
      <c r="P297" s="14" t="s">
        <v>260</v>
      </c>
      <c r="Q297" s="14" t="s">
        <v>260</v>
      </c>
      <c r="R297" s="14" t="s">
        <v>229</v>
      </c>
    </row>
    <row r="298" spans="1:18" s="14" customFormat="1" x14ac:dyDescent="0.25">
      <c r="A298" s="14" t="str">
        <f>"83354"</f>
        <v>83354</v>
      </c>
      <c r="B298" s="14" t="str">
        <f>"07010"</f>
        <v>07010</v>
      </c>
      <c r="C298" s="14" t="str">
        <f>"1800"</f>
        <v>1800</v>
      </c>
      <c r="D298" s="14" t="str">
        <f>""</f>
        <v/>
      </c>
      <c r="E298" s="14" t="s">
        <v>1179</v>
      </c>
      <c r="F298" s="14" t="s">
        <v>1002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228</v>
      </c>
      <c r="P298" s="14" t="s">
        <v>260</v>
      </c>
      <c r="Q298" s="14" t="s">
        <v>260</v>
      </c>
      <c r="R298" s="14" t="s">
        <v>229</v>
      </c>
    </row>
    <row r="299" spans="1:18" s="14" customFormat="1" x14ac:dyDescent="0.25">
      <c r="A299" s="14" t="str">
        <f>"83355"</f>
        <v>83355</v>
      </c>
      <c r="B299" s="14" t="str">
        <f>"07010"</f>
        <v>07010</v>
      </c>
      <c r="C299" s="14" t="str">
        <f>"1800"</f>
        <v>1800</v>
      </c>
      <c r="D299" s="14" t="str">
        <f>""</f>
        <v/>
      </c>
      <c r="E299" s="14" t="s">
        <v>1180</v>
      </c>
      <c r="F299" s="14" t="s">
        <v>1002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228</v>
      </c>
      <c r="P299" s="14" t="s">
        <v>260</v>
      </c>
      <c r="Q299" s="14" t="s">
        <v>260</v>
      </c>
      <c r="R299" s="14" t="s">
        <v>229</v>
      </c>
    </row>
    <row r="300" spans="1:18" s="14" customFormat="1" x14ac:dyDescent="0.25">
      <c r="A300" s="14" t="str">
        <f>"83356"</f>
        <v>83356</v>
      </c>
      <c r="B300" s="14" t="str">
        <f>"07010"</f>
        <v>07010</v>
      </c>
      <c r="C300" s="14" t="str">
        <f>"1800"</f>
        <v>1800</v>
      </c>
      <c r="D300" s="14" t="str">
        <f>""</f>
        <v/>
      </c>
      <c r="E300" s="14" t="s">
        <v>1181</v>
      </c>
      <c r="F300" s="14" t="s">
        <v>1002</v>
      </c>
      <c r="G300" s="14" t="str">
        <f>""</f>
        <v/>
      </c>
      <c r="H300" s="14" t="str">
        <f>" 00"</f>
        <v xml:space="preserve"> 00</v>
      </c>
      <c r="I300" s="14">
        <v>0.01</v>
      </c>
      <c r="J300" s="14">
        <v>9999999.9900000002</v>
      </c>
      <c r="K300" s="14" t="s">
        <v>228</v>
      </c>
      <c r="P300" s="14" t="s">
        <v>260</v>
      </c>
      <c r="Q300" s="14" t="s">
        <v>260</v>
      </c>
      <c r="R300" s="14" t="s">
        <v>229</v>
      </c>
    </row>
    <row r="301" spans="1:18" s="14" customFormat="1" x14ac:dyDescent="0.25">
      <c r="A301" s="14" t="str">
        <f>"83357"</f>
        <v>83357</v>
      </c>
      <c r="B301" s="14" t="str">
        <f>"07010"</f>
        <v>07010</v>
      </c>
      <c r="C301" s="14" t="str">
        <f>"1800"</f>
        <v>1800</v>
      </c>
      <c r="D301" s="14" t="str">
        <f>""</f>
        <v/>
      </c>
      <c r="E301" s="14" t="s">
        <v>1182</v>
      </c>
      <c r="F301" s="14" t="s">
        <v>1002</v>
      </c>
      <c r="G301" s="14" t="str">
        <f>""</f>
        <v/>
      </c>
      <c r="H301" s="14" t="str">
        <f>" 00"</f>
        <v xml:space="preserve"> 00</v>
      </c>
      <c r="I301" s="14">
        <v>0.01</v>
      </c>
      <c r="J301" s="14">
        <v>9999999.9900000002</v>
      </c>
      <c r="K301" s="14" t="s">
        <v>228</v>
      </c>
      <c r="P301" s="14" t="s">
        <v>260</v>
      </c>
      <c r="Q301" s="14" t="s">
        <v>260</v>
      </c>
      <c r="R301" s="14" t="s">
        <v>229</v>
      </c>
    </row>
    <row r="302" spans="1:18" s="14" customFormat="1" x14ac:dyDescent="0.25">
      <c r="A302" s="14" t="str">
        <f>"83359"</f>
        <v>83359</v>
      </c>
      <c r="B302" s="14" t="str">
        <f>"07010"</f>
        <v>07010</v>
      </c>
      <c r="C302" s="14" t="str">
        <f>"1800"</f>
        <v>1800</v>
      </c>
      <c r="D302" s="14" t="str">
        <f>""</f>
        <v/>
      </c>
      <c r="E302" s="14" t="s">
        <v>1183</v>
      </c>
      <c r="F302" s="14" t="s">
        <v>1002</v>
      </c>
      <c r="G302" s="14" t="str">
        <f>""</f>
        <v/>
      </c>
      <c r="H302" s="14" t="str">
        <f>" 00"</f>
        <v xml:space="preserve"> 00</v>
      </c>
      <c r="I302" s="14">
        <v>0.01</v>
      </c>
      <c r="J302" s="14">
        <v>9999999.9900000002</v>
      </c>
      <c r="K302" s="14" t="s">
        <v>228</v>
      </c>
      <c r="P302" s="14" t="s">
        <v>260</v>
      </c>
      <c r="Q302" s="14" t="s">
        <v>260</v>
      </c>
      <c r="R302" s="14" t="s">
        <v>229</v>
      </c>
    </row>
    <row r="303" spans="1:18" s="14" customFormat="1" x14ac:dyDescent="0.25">
      <c r="A303" s="14" t="str">
        <f>"83360"</f>
        <v>83360</v>
      </c>
      <c r="B303" s="14" t="str">
        <f>"07010"</f>
        <v>07010</v>
      </c>
      <c r="C303" s="14" t="str">
        <f>"1800"</f>
        <v>1800</v>
      </c>
      <c r="D303" s="14" t="str">
        <f>""</f>
        <v/>
      </c>
      <c r="E303" s="14" t="s">
        <v>1184</v>
      </c>
      <c r="F303" s="14" t="s">
        <v>1002</v>
      </c>
      <c r="G303" s="14" t="str">
        <f>""</f>
        <v/>
      </c>
      <c r="H303" s="14" t="str">
        <f>" 00"</f>
        <v xml:space="preserve"> 00</v>
      </c>
      <c r="I303" s="14">
        <v>0.01</v>
      </c>
      <c r="J303" s="14">
        <v>9999999.9900000002</v>
      </c>
      <c r="K303" s="14" t="s">
        <v>228</v>
      </c>
      <c r="P303" s="14" t="s">
        <v>260</v>
      </c>
      <c r="Q303" s="14" t="s">
        <v>260</v>
      </c>
      <c r="R303" s="14" t="s">
        <v>229</v>
      </c>
    </row>
    <row r="304" spans="1:18" s="14" customFormat="1" x14ac:dyDescent="0.25">
      <c r="A304" s="14" t="str">
        <f>"83363"</f>
        <v>83363</v>
      </c>
      <c r="B304" s="14" t="str">
        <f>"07010"</f>
        <v>07010</v>
      </c>
      <c r="C304" s="14" t="str">
        <f>"1800"</f>
        <v>1800</v>
      </c>
      <c r="D304" s="14" t="str">
        <f>""</f>
        <v/>
      </c>
      <c r="E304" s="14" t="s">
        <v>1185</v>
      </c>
      <c r="F304" s="14" t="s">
        <v>1002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228</v>
      </c>
      <c r="P304" s="14" t="s">
        <v>260</v>
      </c>
      <c r="Q304" s="14" t="s">
        <v>260</v>
      </c>
      <c r="R304" s="14" t="s">
        <v>229</v>
      </c>
    </row>
    <row r="305" spans="1:18" s="14" customFormat="1" x14ac:dyDescent="0.25">
      <c r="A305" s="14" t="str">
        <f>"83364"</f>
        <v>83364</v>
      </c>
      <c r="B305" s="14" t="str">
        <f>"07010"</f>
        <v>07010</v>
      </c>
      <c r="C305" s="14" t="str">
        <f>"1800"</f>
        <v>1800</v>
      </c>
      <c r="D305" s="14" t="str">
        <f>""</f>
        <v/>
      </c>
      <c r="E305" s="14" t="s">
        <v>1186</v>
      </c>
      <c r="F305" s="14" t="s">
        <v>1002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228</v>
      </c>
      <c r="P305" s="14" t="s">
        <v>260</v>
      </c>
      <c r="Q305" s="14" t="s">
        <v>260</v>
      </c>
      <c r="R305" s="14" t="s">
        <v>229</v>
      </c>
    </row>
    <row r="306" spans="1:18" s="14" customFormat="1" x14ac:dyDescent="0.25">
      <c r="A306" s="14" t="str">
        <f>"83365"</f>
        <v>83365</v>
      </c>
      <c r="B306" s="14" t="str">
        <f>"07010"</f>
        <v>07010</v>
      </c>
      <c r="C306" s="14" t="str">
        <f>"1800"</f>
        <v>1800</v>
      </c>
      <c r="D306" s="14" t="str">
        <f>""</f>
        <v/>
      </c>
      <c r="E306" s="14" t="s">
        <v>1187</v>
      </c>
      <c r="F306" s="14" t="s">
        <v>1002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228</v>
      </c>
      <c r="P306" s="14" t="s">
        <v>260</v>
      </c>
      <c r="Q306" s="14" t="s">
        <v>260</v>
      </c>
      <c r="R306" s="14" t="s">
        <v>229</v>
      </c>
    </row>
    <row r="307" spans="1:18" s="14" customFormat="1" x14ac:dyDescent="0.25">
      <c r="A307" s="14" t="str">
        <f>"83367"</f>
        <v>83367</v>
      </c>
      <c r="B307" s="14" t="str">
        <f>"07010"</f>
        <v>07010</v>
      </c>
      <c r="C307" s="14" t="str">
        <f>"1800"</f>
        <v>1800</v>
      </c>
      <c r="D307" s="14" t="str">
        <f>""</f>
        <v/>
      </c>
      <c r="E307" s="14" t="s">
        <v>1188</v>
      </c>
      <c r="F307" s="14" t="s">
        <v>1002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228</v>
      </c>
      <c r="P307" s="14" t="s">
        <v>260</v>
      </c>
      <c r="Q307" s="14" t="s">
        <v>260</v>
      </c>
      <c r="R307" s="14" t="s">
        <v>229</v>
      </c>
    </row>
    <row r="308" spans="1:18" s="14" customFormat="1" x14ac:dyDescent="0.25">
      <c r="A308" s="14" t="str">
        <f>"83368"</f>
        <v>83368</v>
      </c>
      <c r="B308" s="14" t="str">
        <f>"07010"</f>
        <v>07010</v>
      </c>
      <c r="C308" s="14" t="str">
        <f>"1800"</f>
        <v>1800</v>
      </c>
      <c r="D308" s="14" t="str">
        <f>""</f>
        <v/>
      </c>
      <c r="E308" s="14" t="s">
        <v>1189</v>
      </c>
      <c r="F308" s="14" t="s">
        <v>1002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228</v>
      </c>
      <c r="P308" s="14" t="s">
        <v>260</v>
      </c>
      <c r="Q308" s="14" t="s">
        <v>260</v>
      </c>
      <c r="R308" s="14" t="s">
        <v>229</v>
      </c>
    </row>
    <row r="309" spans="1:18" s="14" customFormat="1" x14ac:dyDescent="0.25">
      <c r="A309" s="14" t="str">
        <f>"83369"</f>
        <v>83369</v>
      </c>
      <c r="B309" s="14" t="str">
        <f>"07010"</f>
        <v>07010</v>
      </c>
      <c r="C309" s="14" t="str">
        <f>"1800"</f>
        <v>1800</v>
      </c>
      <c r="D309" s="14" t="str">
        <f>""</f>
        <v/>
      </c>
      <c r="E309" s="14" t="s">
        <v>1190</v>
      </c>
      <c r="F309" s="14" t="s">
        <v>1002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228</v>
      </c>
      <c r="P309" s="14" t="s">
        <v>260</v>
      </c>
      <c r="Q309" s="14" t="s">
        <v>260</v>
      </c>
      <c r="R309" s="14" t="s">
        <v>229</v>
      </c>
    </row>
    <row r="310" spans="1:18" s="14" customFormat="1" x14ac:dyDescent="0.25">
      <c r="A310" s="14" t="str">
        <f>"83370"</f>
        <v>83370</v>
      </c>
      <c r="B310" s="14" t="str">
        <f>"07010"</f>
        <v>07010</v>
      </c>
      <c r="C310" s="14" t="str">
        <f>"1800"</f>
        <v>1800</v>
      </c>
      <c r="D310" s="14" t="str">
        <f>""</f>
        <v/>
      </c>
      <c r="E310" s="14" t="s">
        <v>1191</v>
      </c>
      <c r="F310" s="14" t="s">
        <v>1002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228</v>
      </c>
      <c r="P310" s="14" t="s">
        <v>260</v>
      </c>
      <c r="Q310" s="14" t="s">
        <v>260</v>
      </c>
      <c r="R310" s="14" t="s">
        <v>229</v>
      </c>
    </row>
    <row r="311" spans="1:18" s="14" customFormat="1" x14ac:dyDescent="0.25">
      <c r="A311" s="14" t="str">
        <f>"83371"</f>
        <v>83371</v>
      </c>
      <c r="B311" s="14" t="str">
        <f>"07010"</f>
        <v>07010</v>
      </c>
      <c r="C311" s="14" t="str">
        <f>"1800"</f>
        <v>1800</v>
      </c>
      <c r="D311" s="14" t="str">
        <f>""</f>
        <v/>
      </c>
      <c r="E311" s="14" t="s">
        <v>1192</v>
      </c>
      <c r="F311" s="14" t="s">
        <v>1002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228</v>
      </c>
      <c r="P311" s="14" t="s">
        <v>260</v>
      </c>
      <c r="Q311" s="14" t="s">
        <v>260</v>
      </c>
      <c r="R311" s="14" t="s">
        <v>229</v>
      </c>
    </row>
    <row r="312" spans="1:18" s="14" customFormat="1" x14ac:dyDescent="0.25">
      <c r="A312" s="14" t="str">
        <f>"83372"</f>
        <v>83372</v>
      </c>
      <c r="B312" s="14" t="str">
        <f>"07010"</f>
        <v>07010</v>
      </c>
      <c r="C312" s="14" t="str">
        <f>"1800"</f>
        <v>1800</v>
      </c>
      <c r="D312" s="14" t="str">
        <f>""</f>
        <v/>
      </c>
      <c r="E312" s="14" t="s">
        <v>1193</v>
      </c>
      <c r="F312" s="14" t="s">
        <v>1002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228</v>
      </c>
      <c r="P312" s="14" t="s">
        <v>260</v>
      </c>
      <c r="Q312" s="14" t="s">
        <v>260</v>
      </c>
      <c r="R312" s="14" t="s">
        <v>229</v>
      </c>
    </row>
    <row r="313" spans="1:18" s="14" customFormat="1" x14ac:dyDescent="0.25">
      <c r="A313" s="14" t="str">
        <f>"83373"</f>
        <v>83373</v>
      </c>
      <c r="B313" s="14" t="str">
        <f>"07010"</f>
        <v>07010</v>
      </c>
      <c r="C313" s="14" t="str">
        <f>"1800"</f>
        <v>1800</v>
      </c>
      <c r="D313" s="14" t="str">
        <f>""</f>
        <v/>
      </c>
      <c r="E313" s="14" t="s">
        <v>1194</v>
      </c>
      <c r="F313" s="14" t="s">
        <v>1002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228</v>
      </c>
      <c r="P313" s="14" t="s">
        <v>260</v>
      </c>
      <c r="Q313" s="14" t="s">
        <v>260</v>
      </c>
      <c r="R313" s="14" t="s">
        <v>229</v>
      </c>
    </row>
    <row r="314" spans="1:18" s="14" customFormat="1" x14ac:dyDescent="0.25">
      <c r="A314" s="14" t="str">
        <f>"83374"</f>
        <v>83374</v>
      </c>
      <c r="B314" s="14" t="str">
        <f>"07010"</f>
        <v>07010</v>
      </c>
      <c r="C314" s="14" t="str">
        <f>"1800"</f>
        <v>1800</v>
      </c>
      <c r="D314" s="14" t="str">
        <f>""</f>
        <v/>
      </c>
      <c r="E314" s="14" t="s">
        <v>1195</v>
      </c>
      <c r="F314" s="14" t="s">
        <v>1002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228</v>
      </c>
      <c r="P314" s="14" t="s">
        <v>260</v>
      </c>
      <c r="Q314" s="14" t="s">
        <v>260</v>
      </c>
      <c r="R314" s="14" t="s">
        <v>229</v>
      </c>
    </row>
    <row r="315" spans="1:18" s="14" customFormat="1" x14ac:dyDescent="0.25">
      <c r="A315" s="14" t="str">
        <f>"83375"</f>
        <v>83375</v>
      </c>
      <c r="B315" s="14" t="str">
        <f>"07010"</f>
        <v>07010</v>
      </c>
      <c r="C315" s="14" t="str">
        <f>"1800"</f>
        <v>1800</v>
      </c>
      <c r="D315" s="14" t="str">
        <f>""</f>
        <v/>
      </c>
      <c r="E315" s="14" t="s">
        <v>1196</v>
      </c>
      <c r="F315" s="14" t="s">
        <v>1002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228</v>
      </c>
      <c r="P315" s="14" t="s">
        <v>260</v>
      </c>
      <c r="Q315" s="14" t="s">
        <v>260</v>
      </c>
      <c r="R315" s="14" t="s">
        <v>229</v>
      </c>
    </row>
    <row r="316" spans="1:18" s="14" customFormat="1" x14ac:dyDescent="0.25">
      <c r="A316" s="14" t="str">
        <f>"83376"</f>
        <v>83376</v>
      </c>
      <c r="B316" s="14" t="str">
        <f>"07010"</f>
        <v>07010</v>
      </c>
      <c r="C316" s="14" t="str">
        <f>"1800"</f>
        <v>1800</v>
      </c>
      <c r="D316" s="14" t="str">
        <f>""</f>
        <v/>
      </c>
      <c r="E316" s="14" t="s">
        <v>1197</v>
      </c>
      <c r="F316" s="14" t="s">
        <v>1002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228</v>
      </c>
      <c r="P316" s="14" t="s">
        <v>260</v>
      </c>
      <c r="Q316" s="14" t="s">
        <v>260</v>
      </c>
      <c r="R316" s="14" t="s">
        <v>229</v>
      </c>
    </row>
    <row r="317" spans="1:18" s="14" customFormat="1" x14ac:dyDescent="0.25">
      <c r="A317" s="14" t="str">
        <f>"83378"</f>
        <v>83378</v>
      </c>
      <c r="B317" s="14" t="str">
        <f>"07010"</f>
        <v>07010</v>
      </c>
      <c r="C317" s="14" t="str">
        <f>"1800"</f>
        <v>1800</v>
      </c>
      <c r="D317" s="14" t="str">
        <f>""</f>
        <v/>
      </c>
      <c r="E317" s="14" t="s">
        <v>1198</v>
      </c>
      <c r="F317" s="14" t="s">
        <v>1002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228</v>
      </c>
      <c r="P317" s="14" t="s">
        <v>260</v>
      </c>
      <c r="Q317" s="14" t="s">
        <v>260</v>
      </c>
      <c r="R317" s="14" t="s">
        <v>229</v>
      </c>
    </row>
    <row r="318" spans="1:18" s="14" customFormat="1" x14ac:dyDescent="0.25">
      <c r="A318" s="14" t="str">
        <f>"83379"</f>
        <v>83379</v>
      </c>
      <c r="B318" s="14" t="str">
        <f>"07010"</f>
        <v>07010</v>
      </c>
      <c r="C318" s="14" t="str">
        <f>"1800"</f>
        <v>1800</v>
      </c>
      <c r="D318" s="14" t="str">
        <f>""</f>
        <v/>
      </c>
      <c r="E318" s="14" t="s">
        <v>1199</v>
      </c>
      <c r="F318" s="14" t="s">
        <v>1002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228</v>
      </c>
      <c r="P318" s="14" t="s">
        <v>260</v>
      </c>
      <c r="Q318" s="14" t="s">
        <v>260</v>
      </c>
      <c r="R318" s="14" t="s">
        <v>229</v>
      </c>
    </row>
    <row r="319" spans="1:18" s="14" customFormat="1" x14ac:dyDescent="0.25">
      <c r="A319" s="14" t="str">
        <f>"83380"</f>
        <v>83380</v>
      </c>
      <c r="B319" s="14" t="str">
        <f>"07010"</f>
        <v>07010</v>
      </c>
      <c r="C319" s="14" t="str">
        <f>"1800"</f>
        <v>1800</v>
      </c>
      <c r="D319" s="14" t="str">
        <f>""</f>
        <v/>
      </c>
      <c r="E319" s="14" t="s">
        <v>1200</v>
      </c>
      <c r="F319" s="14" t="s">
        <v>1002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228</v>
      </c>
      <c r="P319" s="14" t="s">
        <v>260</v>
      </c>
      <c r="Q319" s="14" t="s">
        <v>260</v>
      </c>
      <c r="R319" s="14" t="s">
        <v>229</v>
      </c>
    </row>
    <row r="320" spans="1:18" s="14" customFormat="1" x14ac:dyDescent="0.25">
      <c r="A320" s="14" t="str">
        <f>"83381"</f>
        <v>83381</v>
      </c>
      <c r="B320" s="14" t="str">
        <f>"07010"</f>
        <v>07010</v>
      </c>
      <c r="C320" s="14" t="str">
        <f>"1800"</f>
        <v>1800</v>
      </c>
      <c r="D320" s="14" t="str">
        <f>""</f>
        <v/>
      </c>
      <c r="E320" s="14" t="s">
        <v>1201</v>
      </c>
      <c r="F320" s="14" t="s">
        <v>1002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228</v>
      </c>
      <c r="P320" s="14" t="s">
        <v>260</v>
      </c>
      <c r="Q320" s="14" t="s">
        <v>260</v>
      </c>
      <c r="R320" s="14" t="s">
        <v>229</v>
      </c>
    </row>
    <row r="321" spans="1:18" s="14" customFormat="1" x14ac:dyDescent="0.25">
      <c r="A321" s="14" t="str">
        <f>"83383"</f>
        <v>83383</v>
      </c>
      <c r="B321" s="14" t="str">
        <f>"07010"</f>
        <v>07010</v>
      </c>
      <c r="C321" s="14" t="str">
        <f>"1800"</f>
        <v>1800</v>
      </c>
      <c r="D321" s="14" t="str">
        <f>""</f>
        <v/>
      </c>
      <c r="E321" s="14" t="s">
        <v>1202</v>
      </c>
      <c r="F321" s="14" t="s">
        <v>1002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228</v>
      </c>
      <c r="P321" s="14" t="s">
        <v>260</v>
      </c>
      <c r="Q321" s="14" t="s">
        <v>260</v>
      </c>
      <c r="R321" s="14" t="s">
        <v>229</v>
      </c>
    </row>
    <row r="322" spans="1:18" s="14" customFormat="1" x14ac:dyDescent="0.25">
      <c r="A322" s="14" t="str">
        <f>"83384"</f>
        <v>83384</v>
      </c>
      <c r="B322" s="14" t="str">
        <f>"07010"</f>
        <v>07010</v>
      </c>
      <c r="C322" s="14" t="str">
        <f>"1800"</f>
        <v>1800</v>
      </c>
      <c r="D322" s="14" t="str">
        <f>""</f>
        <v/>
      </c>
      <c r="E322" s="14" t="s">
        <v>1203</v>
      </c>
      <c r="F322" s="14" t="s">
        <v>1002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228</v>
      </c>
      <c r="P322" s="14" t="s">
        <v>260</v>
      </c>
      <c r="Q322" s="14" t="s">
        <v>260</v>
      </c>
      <c r="R322" s="14" t="s">
        <v>229</v>
      </c>
    </row>
    <row r="323" spans="1:18" s="14" customFormat="1" x14ac:dyDescent="0.25">
      <c r="A323" s="14" t="str">
        <f>"83385"</f>
        <v>83385</v>
      </c>
      <c r="B323" s="14" t="str">
        <f>"07010"</f>
        <v>07010</v>
      </c>
      <c r="C323" s="14" t="str">
        <f>"1800"</f>
        <v>1800</v>
      </c>
      <c r="D323" s="14" t="str">
        <f>""</f>
        <v/>
      </c>
      <c r="E323" s="14" t="s">
        <v>1204</v>
      </c>
      <c r="F323" s="14" t="s">
        <v>1002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228</v>
      </c>
      <c r="P323" s="14" t="s">
        <v>260</v>
      </c>
      <c r="Q323" s="14" t="s">
        <v>260</v>
      </c>
      <c r="R323" s="14" t="s">
        <v>229</v>
      </c>
    </row>
    <row r="324" spans="1:18" s="14" customFormat="1" x14ac:dyDescent="0.25">
      <c r="A324" s="14" t="str">
        <f>"83388"</f>
        <v>83388</v>
      </c>
      <c r="B324" s="14" t="str">
        <f>"07010"</f>
        <v>07010</v>
      </c>
      <c r="C324" s="14" t="str">
        <f>"1800"</f>
        <v>1800</v>
      </c>
      <c r="D324" s="14" t="str">
        <f>""</f>
        <v/>
      </c>
      <c r="E324" s="14" t="s">
        <v>1205</v>
      </c>
      <c r="F324" s="14" t="s">
        <v>1002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228</v>
      </c>
      <c r="P324" s="14" t="s">
        <v>260</v>
      </c>
      <c r="Q324" s="14" t="s">
        <v>260</v>
      </c>
      <c r="R324" s="14" t="s">
        <v>229</v>
      </c>
    </row>
    <row r="325" spans="1:18" s="14" customFormat="1" x14ac:dyDescent="0.25">
      <c r="A325" s="14" t="str">
        <f>"83391"</f>
        <v>83391</v>
      </c>
      <c r="B325" s="14" t="str">
        <f>"07010"</f>
        <v>07010</v>
      </c>
      <c r="C325" s="14" t="str">
        <f>"1800"</f>
        <v>1800</v>
      </c>
      <c r="D325" s="14" t="str">
        <f>""</f>
        <v/>
      </c>
      <c r="E325" s="14" t="s">
        <v>1206</v>
      </c>
      <c r="F325" s="14" t="s">
        <v>1002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228</v>
      </c>
      <c r="P325" s="14" t="s">
        <v>260</v>
      </c>
      <c r="Q325" s="14" t="s">
        <v>260</v>
      </c>
      <c r="R325" s="14" t="s">
        <v>229</v>
      </c>
    </row>
    <row r="326" spans="1:18" s="14" customFormat="1" x14ac:dyDescent="0.25">
      <c r="A326" s="14" t="str">
        <f>"83392"</f>
        <v>83392</v>
      </c>
      <c r="B326" s="14" t="str">
        <f>"07010"</f>
        <v>07010</v>
      </c>
      <c r="C326" s="14" t="str">
        <f>"1800"</f>
        <v>1800</v>
      </c>
      <c r="D326" s="14" t="str">
        <f>""</f>
        <v/>
      </c>
      <c r="E326" s="14" t="s">
        <v>1207</v>
      </c>
      <c r="F326" s="14" t="s">
        <v>1002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228</v>
      </c>
      <c r="P326" s="14" t="s">
        <v>260</v>
      </c>
      <c r="Q326" s="14" t="s">
        <v>260</v>
      </c>
      <c r="R326" s="14" t="s">
        <v>229</v>
      </c>
    </row>
    <row r="327" spans="1:18" s="14" customFormat="1" x14ac:dyDescent="0.25">
      <c r="A327" s="14" t="str">
        <f>"83393"</f>
        <v>83393</v>
      </c>
      <c r="B327" s="14" t="str">
        <f>"07010"</f>
        <v>07010</v>
      </c>
      <c r="C327" s="14" t="str">
        <f>"1800"</f>
        <v>1800</v>
      </c>
      <c r="D327" s="14" t="str">
        <f>""</f>
        <v/>
      </c>
      <c r="E327" s="14" t="s">
        <v>1208</v>
      </c>
      <c r="F327" s="14" t="s">
        <v>1002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228</v>
      </c>
      <c r="P327" s="14" t="s">
        <v>260</v>
      </c>
      <c r="Q327" s="14" t="s">
        <v>260</v>
      </c>
      <c r="R327" s="14" t="s">
        <v>229</v>
      </c>
    </row>
    <row r="328" spans="1:18" s="14" customFormat="1" x14ac:dyDescent="0.25">
      <c r="A328" s="14" t="str">
        <f>"83394"</f>
        <v>83394</v>
      </c>
      <c r="B328" s="14" t="str">
        <f>"07010"</f>
        <v>07010</v>
      </c>
      <c r="C328" s="14" t="str">
        <f>"1800"</f>
        <v>1800</v>
      </c>
      <c r="D328" s="14" t="str">
        <f>""</f>
        <v/>
      </c>
      <c r="E328" s="14" t="s">
        <v>1209</v>
      </c>
      <c r="F328" s="14" t="s">
        <v>1002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228</v>
      </c>
      <c r="P328" s="14" t="s">
        <v>260</v>
      </c>
      <c r="Q328" s="14" t="s">
        <v>260</v>
      </c>
      <c r="R328" s="14" t="s">
        <v>229</v>
      </c>
    </row>
    <row r="329" spans="1:18" s="14" customFormat="1" x14ac:dyDescent="0.25">
      <c r="A329" s="14" t="str">
        <f>"83395"</f>
        <v>83395</v>
      </c>
      <c r="B329" s="14" t="str">
        <f>"07010"</f>
        <v>07010</v>
      </c>
      <c r="C329" s="14" t="str">
        <f>"1800"</f>
        <v>1800</v>
      </c>
      <c r="D329" s="14" t="str">
        <f>""</f>
        <v/>
      </c>
      <c r="E329" s="14" t="s">
        <v>1210</v>
      </c>
      <c r="F329" s="14" t="s">
        <v>1002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228</v>
      </c>
      <c r="P329" s="14" t="s">
        <v>260</v>
      </c>
      <c r="Q329" s="14" t="s">
        <v>260</v>
      </c>
      <c r="R329" s="14" t="s">
        <v>229</v>
      </c>
    </row>
    <row r="330" spans="1:18" s="14" customFormat="1" x14ac:dyDescent="0.25">
      <c r="A330" s="14" t="str">
        <f>"83396"</f>
        <v>83396</v>
      </c>
      <c r="B330" s="14" t="str">
        <f>"07010"</f>
        <v>07010</v>
      </c>
      <c r="C330" s="14" t="str">
        <f>"1800"</f>
        <v>1800</v>
      </c>
      <c r="D330" s="14" t="str">
        <f>""</f>
        <v/>
      </c>
      <c r="E330" s="14" t="s">
        <v>1211</v>
      </c>
      <c r="F330" s="14" t="s">
        <v>1002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228</v>
      </c>
      <c r="P330" s="14" t="s">
        <v>260</v>
      </c>
      <c r="Q330" s="14" t="s">
        <v>260</v>
      </c>
      <c r="R330" s="14" t="s">
        <v>229</v>
      </c>
    </row>
    <row r="331" spans="1:18" s="14" customFormat="1" x14ac:dyDescent="0.25">
      <c r="A331" s="14" t="str">
        <f>"83397"</f>
        <v>83397</v>
      </c>
      <c r="B331" s="14" t="str">
        <f>"07010"</f>
        <v>07010</v>
      </c>
      <c r="C331" s="14" t="str">
        <f>"1800"</f>
        <v>1800</v>
      </c>
      <c r="D331" s="14" t="str">
        <f>""</f>
        <v/>
      </c>
      <c r="E331" s="14" t="s">
        <v>1212</v>
      </c>
      <c r="F331" s="14" t="s">
        <v>1002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228</v>
      </c>
      <c r="P331" s="14" t="s">
        <v>260</v>
      </c>
      <c r="Q331" s="14" t="s">
        <v>260</v>
      </c>
      <c r="R331" s="14" t="s">
        <v>229</v>
      </c>
    </row>
    <row r="332" spans="1:18" s="14" customFormat="1" x14ac:dyDescent="0.25">
      <c r="A332" s="14" t="str">
        <f>"83398"</f>
        <v>83398</v>
      </c>
      <c r="B332" s="14" t="str">
        <f>"07010"</f>
        <v>07010</v>
      </c>
      <c r="C332" s="14" t="str">
        <f>"1800"</f>
        <v>1800</v>
      </c>
      <c r="D332" s="14" t="str">
        <f>""</f>
        <v/>
      </c>
      <c r="E332" s="14" t="s">
        <v>1213</v>
      </c>
      <c r="F332" s="14" t="s">
        <v>1002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228</v>
      </c>
      <c r="P332" s="14" t="s">
        <v>260</v>
      </c>
      <c r="Q332" s="14" t="s">
        <v>260</v>
      </c>
      <c r="R332" s="14" t="s">
        <v>229</v>
      </c>
    </row>
    <row r="333" spans="1:18" s="14" customFormat="1" x14ac:dyDescent="0.25">
      <c r="A333" s="14" t="str">
        <f>"83399"</f>
        <v>83399</v>
      </c>
      <c r="B333" s="14" t="str">
        <f>"07010"</f>
        <v>07010</v>
      </c>
      <c r="C333" s="14" t="str">
        <f>"1800"</f>
        <v>1800</v>
      </c>
      <c r="D333" s="14" t="str">
        <f>""</f>
        <v/>
      </c>
      <c r="E333" s="14" t="s">
        <v>1214</v>
      </c>
      <c r="F333" s="14" t="s">
        <v>1002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228</v>
      </c>
      <c r="P333" s="14" t="s">
        <v>260</v>
      </c>
      <c r="Q333" s="14" t="s">
        <v>260</v>
      </c>
      <c r="R333" s="14" t="s">
        <v>229</v>
      </c>
    </row>
    <row r="334" spans="1:18" s="14" customFormat="1" x14ac:dyDescent="0.25">
      <c r="A334" s="14" t="str">
        <f>"83401"</f>
        <v>83401</v>
      </c>
      <c r="B334" s="14" t="str">
        <f>"07010"</f>
        <v>07010</v>
      </c>
      <c r="C334" s="14" t="str">
        <f>"1800"</f>
        <v>1800</v>
      </c>
      <c r="D334" s="14" t="str">
        <f>""</f>
        <v/>
      </c>
      <c r="E334" s="14" t="s">
        <v>1215</v>
      </c>
      <c r="F334" s="14" t="s">
        <v>1002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228</v>
      </c>
      <c r="P334" s="14" t="s">
        <v>260</v>
      </c>
      <c r="Q334" s="14" t="s">
        <v>260</v>
      </c>
      <c r="R334" s="14" t="s">
        <v>229</v>
      </c>
    </row>
    <row r="335" spans="1:18" s="14" customFormat="1" x14ac:dyDescent="0.25">
      <c r="A335" s="14" t="str">
        <f>"83402"</f>
        <v>83402</v>
      </c>
      <c r="B335" s="14" t="str">
        <f>"07010"</f>
        <v>07010</v>
      </c>
      <c r="C335" s="14" t="str">
        <f>"1800"</f>
        <v>1800</v>
      </c>
      <c r="D335" s="14" t="str">
        <f>""</f>
        <v/>
      </c>
      <c r="E335" s="14" t="s">
        <v>1216</v>
      </c>
      <c r="F335" s="14" t="s">
        <v>1002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228</v>
      </c>
      <c r="P335" s="14" t="s">
        <v>260</v>
      </c>
      <c r="Q335" s="14" t="s">
        <v>260</v>
      </c>
      <c r="R335" s="14" t="s">
        <v>229</v>
      </c>
    </row>
    <row r="336" spans="1:18" s="14" customFormat="1" x14ac:dyDescent="0.25">
      <c r="A336" s="14" t="str">
        <f>"83403"</f>
        <v>83403</v>
      </c>
      <c r="B336" s="14" t="str">
        <f>"07010"</f>
        <v>07010</v>
      </c>
      <c r="C336" s="14" t="str">
        <f>"1800"</f>
        <v>1800</v>
      </c>
      <c r="D336" s="14" t="str">
        <f>""</f>
        <v/>
      </c>
      <c r="E336" s="14" t="s">
        <v>1217</v>
      </c>
      <c r="F336" s="14" t="s">
        <v>1002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228</v>
      </c>
      <c r="P336" s="14" t="s">
        <v>260</v>
      </c>
      <c r="Q336" s="14" t="s">
        <v>260</v>
      </c>
      <c r="R336" s="14" t="s">
        <v>229</v>
      </c>
    </row>
    <row r="337" spans="1:18" s="14" customFormat="1" x14ac:dyDescent="0.25">
      <c r="A337" s="14" t="str">
        <f>"83404"</f>
        <v>83404</v>
      </c>
      <c r="B337" s="14" t="str">
        <f>"07010"</f>
        <v>07010</v>
      </c>
      <c r="C337" s="14" t="str">
        <f>"1800"</f>
        <v>1800</v>
      </c>
      <c r="D337" s="14" t="str">
        <f>""</f>
        <v/>
      </c>
      <c r="E337" s="14" t="s">
        <v>1218</v>
      </c>
      <c r="F337" s="14" t="s">
        <v>1002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228</v>
      </c>
      <c r="P337" s="14" t="s">
        <v>260</v>
      </c>
      <c r="Q337" s="14" t="s">
        <v>260</v>
      </c>
      <c r="R337" s="14" t="s">
        <v>229</v>
      </c>
    </row>
    <row r="338" spans="1:18" s="14" customFormat="1" x14ac:dyDescent="0.25">
      <c r="A338" s="14" t="str">
        <f>"83405"</f>
        <v>83405</v>
      </c>
      <c r="B338" s="14" t="str">
        <f>"07010"</f>
        <v>07010</v>
      </c>
      <c r="C338" s="14" t="str">
        <f>"1800"</f>
        <v>1800</v>
      </c>
      <c r="D338" s="14" t="str">
        <f>""</f>
        <v/>
      </c>
      <c r="E338" s="14" t="s">
        <v>1219</v>
      </c>
      <c r="F338" s="14" t="s">
        <v>1002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228</v>
      </c>
      <c r="P338" s="14" t="s">
        <v>260</v>
      </c>
      <c r="Q338" s="14" t="s">
        <v>260</v>
      </c>
      <c r="R338" s="14" t="s">
        <v>229</v>
      </c>
    </row>
    <row r="339" spans="1:18" s="14" customFormat="1" x14ac:dyDescent="0.25">
      <c r="A339" s="14" t="str">
        <f>"83406"</f>
        <v>83406</v>
      </c>
      <c r="B339" s="14" t="str">
        <f>"07010"</f>
        <v>07010</v>
      </c>
      <c r="C339" s="14" t="str">
        <f>"1800"</f>
        <v>1800</v>
      </c>
      <c r="D339" s="14" t="str">
        <f>""</f>
        <v/>
      </c>
      <c r="E339" s="14" t="s">
        <v>1220</v>
      </c>
      <c r="F339" s="14" t="s">
        <v>1002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228</v>
      </c>
      <c r="P339" s="14" t="s">
        <v>260</v>
      </c>
      <c r="Q339" s="14" t="s">
        <v>260</v>
      </c>
      <c r="R339" s="14" t="s">
        <v>229</v>
      </c>
    </row>
    <row r="340" spans="1:18" s="14" customFormat="1" x14ac:dyDescent="0.25">
      <c r="A340" s="14" t="str">
        <f>"83407"</f>
        <v>83407</v>
      </c>
      <c r="B340" s="14" t="str">
        <f>"07010"</f>
        <v>07010</v>
      </c>
      <c r="C340" s="14" t="str">
        <f>"1800"</f>
        <v>1800</v>
      </c>
      <c r="D340" s="14" t="str">
        <f>""</f>
        <v/>
      </c>
      <c r="E340" s="14" t="s">
        <v>1221</v>
      </c>
      <c r="F340" s="14" t="s">
        <v>1002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228</v>
      </c>
      <c r="P340" s="14" t="s">
        <v>260</v>
      </c>
      <c r="Q340" s="14" t="s">
        <v>260</v>
      </c>
      <c r="R340" s="14" t="s">
        <v>229</v>
      </c>
    </row>
    <row r="341" spans="1:18" s="14" customFormat="1" x14ac:dyDescent="0.25">
      <c r="A341" s="14" t="str">
        <f>"83408"</f>
        <v>83408</v>
      </c>
      <c r="B341" s="14" t="str">
        <f>"07010"</f>
        <v>07010</v>
      </c>
      <c r="C341" s="14" t="str">
        <f>"1800"</f>
        <v>1800</v>
      </c>
      <c r="D341" s="14" t="str">
        <f>""</f>
        <v/>
      </c>
      <c r="E341" s="14" t="s">
        <v>1222</v>
      </c>
      <c r="F341" s="14" t="s">
        <v>1002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228</v>
      </c>
      <c r="P341" s="14" t="s">
        <v>260</v>
      </c>
      <c r="Q341" s="14" t="s">
        <v>260</v>
      </c>
      <c r="R341" s="14" t="s">
        <v>229</v>
      </c>
    </row>
    <row r="342" spans="1:18" s="14" customFormat="1" x14ac:dyDescent="0.25">
      <c r="A342" s="14" t="str">
        <f>"83409"</f>
        <v>83409</v>
      </c>
      <c r="B342" s="14" t="str">
        <f>"07010"</f>
        <v>07010</v>
      </c>
      <c r="C342" s="14" t="str">
        <f>"1800"</f>
        <v>1800</v>
      </c>
      <c r="D342" s="14" t="str">
        <f>""</f>
        <v/>
      </c>
      <c r="E342" s="14" t="s">
        <v>1223</v>
      </c>
      <c r="F342" s="14" t="s">
        <v>1002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228</v>
      </c>
      <c r="P342" s="14" t="s">
        <v>260</v>
      </c>
      <c r="Q342" s="14" t="s">
        <v>260</v>
      </c>
      <c r="R342" s="14" t="s">
        <v>229</v>
      </c>
    </row>
    <row r="343" spans="1:18" s="14" customFormat="1" x14ac:dyDescent="0.25">
      <c r="A343" s="14" t="str">
        <f>"83410"</f>
        <v>83410</v>
      </c>
      <c r="B343" s="14" t="str">
        <f>"07010"</f>
        <v>07010</v>
      </c>
      <c r="C343" s="14" t="str">
        <f>"1800"</f>
        <v>1800</v>
      </c>
      <c r="D343" s="14" t="str">
        <f>""</f>
        <v/>
      </c>
      <c r="E343" s="14" t="s">
        <v>1224</v>
      </c>
      <c r="F343" s="14" t="s">
        <v>1002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228</v>
      </c>
      <c r="P343" s="14" t="s">
        <v>260</v>
      </c>
      <c r="Q343" s="14" t="s">
        <v>260</v>
      </c>
      <c r="R343" s="14" t="s">
        <v>229</v>
      </c>
    </row>
    <row r="344" spans="1:18" s="14" customFormat="1" x14ac:dyDescent="0.25">
      <c r="A344" s="14" t="str">
        <f>"83411"</f>
        <v>83411</v>
      </c>
      <c r="B344" s="14" t="str">
        <f>"07010"</f>
        <v>07010</v>
      </c>
      <c r="C344" s="14" t="str">
        <f>"1800"</f>
        <v>1800</v>
      </c>
      <c r="D344" s="14" t="str">
        <f>""</f>
        <v/>
      </c>
      <c r="E344" s="14" t="s">
        <v>1225</v>
      </c>
      <c r="F344" s="14" t="s">
        <v>1002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228</v>
      </c>
      <c r="P344" s="14" t="s">
        <v>260</v>
      </c>
      <c r="Q344" s="14" t="s">
        <v>260</v>
      </c>
      <c r="R344" s="14" t="s">
        <v>229</v>
      </c>
    </row>
    <row r="345" spans="1:18" s="14" customFormat="1" x14ac:dyDescent="0.25">
      <c r="A345" s="14" t="str">
        <f>"83414"</f>
        <v>83414</v>
      </c>
      <c r="B345" s="14" t="str">
        <f>"07010"</f>
        <v>07010</v>
      </c>
      <c r="C345" s="14" t="str">
        <f>"1800"</f>
        <v>1800</v>
      </c>
      <c r="D345" s="14" t="str">
        <f>""</f>
        <v/>
      </c>
      <c r="E345" s="14" t="s">
        <v>1226</v>
      </c>
      <c r="F345" s="14" t="s">
        <v>1002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228</v>
      </c>
      <c r="P345" s="14" t="s">
        <v>260</v>
      </c>
      <c r="Q345" s="14" t="s">
        <v>260</v>
      </c>
      <c r="R345" s="14" t="s">
        <v>229</v>
      </c>
    </row>
    <row r="346" spans="1:18" s="14" customFormat="1" x14ac:dyDescent="0.25">
      <c r="A346" s="14" t="str">
        <f>"83415"</f>
        <v>83415</v>
      </c>
      <c r="B346" s="14" t="str">
        <f>"07010"</f>
        <v>07010</v>
      </c>
      <c r="C346" s="14" t="str">
        <f>"1800"</f>
        <v>1800</v>
      </c>
      <c r="D346" s="14" t="str">
        <f>""</f>
        <v/>
      </c>
      <c r="E346" s="14" t="s">
        <v>1227</v>
      </c>
      <c r="F346" s="14" t="s">
        <v>1002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228</v>
      </c>
      <c r="P346" s="14" t="s">
        <v>260</v>
      </c>
      <c r="Q346" s="14" t="s">
        <v>260</v>
      </c>
      <c r="R346" s="14" t="s">
        <v>229</v>
      </c>
    </row>
    <row r="347" spans="1:18" s="14" customFormat="1" x14ac:dyDescent="0.25">
      <c r="A347" s="14" t="str">
        <f>"83416"</f>
        <v>83416</v>
      </c>
      <c r="B347" s="14" t="str">
        <f>"07010"</f>
        <v>07010</v>
      </c>
      <c r="C347" s="14" t="str">
        <f>"1800"</f>
        <v>1800</v>
      </c>
      <c r="D347" s="14" t="str">
        <f>""</f>
        <v/>
      </c>
      <c r="E347" s="14" t="s">
        <v>1228</v>
      </c>
      <c r="F347" s="14" t="s">
        <v>1002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228</v>
      </c>
      <c r="P347" s="14" t="s">
        <v>260</v>
      </c>
      <c r="Q347" s="14" t="s">
        <v>260</v>
      </c>
      <c r="R347" s="14" t="s">
        <v>229</v>
      </c>
    </row>
    <row r="348" spans="1:18" s="14" customFormat="1" x14ac:dyDescent="0.25">
      <c r="A348" s="14" t="str">
        <f>"83417"</f>
        <v>83417</v>
      </c>
      <c r="B348" s="14" t="str">
        <f>"07010"</f>
        <v>07010</v>
      </c>
      <c r="C348" s="14" t="str">
        <f>"1800"</f>
        <v>1800</v>
      </c>
      <c r="D348" s="14" t="str">
        <f>""</f>
        <v/>
      </c>
      <c r="E348" s="14" t="s">
        <v>1229</v>
      </c>
      <c r="F348" s="14" t="s">
        <v>1002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228</v>
      </c>
      <c r="P348" s="14" t="s">
        <v>260</v>
      </c>
      <c r="Q348" s="14" t="s">
        <v>260</v>
      </c>
      <c r="R348" s="14" t="s">
        <v>229</v>
      </c>
    </row>
    <row r="349" spans="1:18" s="14" customFormat="1" x14ac:dyDescent="0.25">
      <c r="A349" s="14" t="str">
        <f>"83418"</f>
        <v>83418</v>
      </c>
      <c r="B349" s="14" t="str">
        <f>"07010"</f>
        <v>07010</v>
      </c>
      <c r="C349" s="14" t="str">
        <f>"1800"</f>
        <v>1800</v>
      </c>
      <c r="D349" s="14" t="str">
        <f>""</f>
        <v/>
      </c>
      <c r="E349" s="14" t="s">
        <v>1230</v>
      </c>
      <c r="F349" s="14" t="s">
        <v>1002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228</v>
      </c>
      <c r="P349" s="14" t="s">
        <v>260</v>
      </c>
      <c r="Q349" s="14" t="s">
        <v>260</v>
      </c>
      <c r="R349" s="14" t="s">
        <v>229</v>
      </c>
    </row>
    <row r="350" spans="1:18" s="14" customFormat="1" x14ac:dyDescent="0.25">
      <c r="A350" s="14" t="str">
        <f>"83420"</f>
        <v>83420</v>
      </c>
      <c r="B350" s="14" t="str">
        <f>"07010"</f>
        <v>07010</v>
      </c>
      <c r="C350" s="14" t="str">
        <f>"1800"</f>
        <v>1800</v>
      </c>
      <c r="D350" s="14" t="str">
        <f>""</f>
        <v/>
      </c>
      <c r="E350" s="14" t="s">
        <v>1231</v>
      </c>
      <c r="F350" s="14" t="s">
        <v>1002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228</v>
      </c>
      <c r="P350" s="14" t="s">
        <v>260</v>
      </c>
      <c r="Q350" s="14" t="s">
        <v>260</v>
      </c>
      <c r="R350" s="14" t="s">
        <v>229</v>
      </c>
    </row>
    <row r="351" spans="1:18" s="14" customFormat="1" x14ac:dyDescent="0.25">
      <c r="A351" s="14" t="str">
        <f>"83423"</f>
        <v>83423</v>
      </c>
      <c r="B351" s="14" t="str">
        <f>"07010"</f>
        <v>07010</v>
      </c>
      <c r="C351" s="14" t="str">
        <f>"1800"</f>
        <v>1800</v>
      </c>
      <c r="D351" s="14" t="str">
        <f>""</f>
        <v/>
      </c>
      <c r="E351" s="14" t="s">
        <v>1232</v>
      </c>
      <c r="F351" s="14" t="s">
        <v>1002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228</v>
      </c>
      <c r="P351" s="14" t="s">
        <v>260</v>
      </c>
      <c r="Q351" s="14" t="s">
        <v>260</v>
      </c>
      <c r="R351" s="14" t="s">
        <v>229</v>
      </c>
    </row>
    <row r="352" spans="1:18" s="14" customFormat="1" x14ac:dyDescent="0.25">
      <c r="A352" s="14" t="str">
        <f>"83424"</f>
        <v>83424</v>
      </c>
      <c r="B352" s="14" t="str">
        <f>"07010"</f>
        <v>07010</v>
      </c>
      <c r="C352" s="14" t="str">
        <f>"1800"</f>
        <v>1800</v>
      </c>
      <c r="D352" s="14" t="str">
        <f>""</f>
        <v/>
      </c>
      <c r="E352" s="14" t="s">
        <v>1233</v>
      </c>
      <c r="F352" s="14" t="s">
        <v>1002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228</v>
      </c>
      <c r="P352" s="14" t="s">
        <v>260</v>
      </c>
      <c r="Q352" s="14" t="s">
        <v>260</v>
      </c>
      <c r="R352" s="14" t="s">
        <v>229</v>
      </c>
    </row>
    <row r="353" spans="1:18" s="14" customFormat="1" x14ac:dyDescent="0.25">
      <c r="A353" s="14" t="str">
        <f>"83425"</f>
        <v>83425</v>
      </c>
      <c r="B353" s="14" t="str">
        <f>"07010"</f>
        <v>07010</v>
      </c>
      <c r="C353" s="14" t="str">
        <f>"1800"</f>
        <v>1800</v>
      </c>
      <c r="D353" s="14" t="str">
        <f>""</f>
        <v/>
      </c>
      <c r="E353" s="14" t="s">
        <v>1234</v>
      </c>
      <c r="F353" s="14" t="s">
        <v>1002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228</v>
      </c>
      <c r="P353" s="14" t="s">
        <v>260</v>
      </c>
      <c r="Q353" s="14" t="s">
        <v>260</v>
      </c>
      <c r="R353" s="14" t="s">
        <v>229</v>
      </c>
    </row>
    <row r="354" spans="1:18" s="14" customFormat="1" x14ac:dyDescent="0.25">
      <c r="A354" s="14" t="str">
        <f>"83426"</f>
        <v>83426</v>
      </c>
      <c r="B354" s="14" t="str">
        <f>"07010"</f>
        <v>07010</v>
      </c>
      <c r="C354" s="14" t="str">
        <f>"1800"</f>
        <v>1800</v>
      </c>
      <c r="D354" s="14" t="str">
        <f>""</f>
        <v/>
      </c>
      <c r="E354" s="14" t="s">
        <v>1235</v>
      </c>
      <c r="F354" s="14" t="s">
        <v>1002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228</v>
      </c>
      <c r="P354" s="14" t="s">
        <v>260</v>
      </c>
      <c r="Q354" s="14" t="s">
        <v>260</v>
      </c>
      <c r="R354" s="14" t="s">
        <v>229</v>
      </c>
    </row>
    <row r="355" spans="1:18" s="14" customFormat="1" x14ac:dyDescent="0.25">
      <c r="A355" s="14" t="str">
        <f>"83429"</f>
        <v>83429</v>
      </c>
      <c r="B355" s="14" t="str">
        <f>"07010"</f>
        <v>07010</v>
      </c>
      <c r="C355" s="14" t="str">
        <f>"1800"</f>
        <v>1800</v>
      </c>
      <c r="D355" s="14" t="str">
        <f>""</f>
        <v/>
      </c>
      <c r="E355" s="14" t="s">
        <v>1236</v>
      </c>
      <c r="F355" s="14" t="s">
        <v>1002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228</v>
      </c>
      <c r="P355" s="14" t="s">
        <v>260</v>
      </c>
      <c r="Q355" s="14" t="s">
        <v>260</v>
      </c>
      <c r="R355" s="14" t="s">
        <v>229</v>
      </c>
    </row>
    <row r="356" spans="1:18" s="14" customFormat="1" x14ac:dyDescent="0.25">
      <c r="A356" s="14" t="str">
        <f>"83431"</f>
        <v>83431</v>
      </c>
      <c r="B356" s="14" t="str">
        <f>"07010"</f>
        <v>07010</v>
      </c>
      <c r="C356" s="14" t="str">
        <f>"1800"</f>
        <v>1800</v>
      </c>
      <c r="D356" s="14" t="str">
        <f>""</f>
        <v/>
      </c>
      <c r="E356" s="14" t="s">
        <v>1237</v>
      </c>
      <c r="F356" s="14" t="s">
        <v>1002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228</v>
      </c>
      <c r="P356" s="14" t="s">
        <v>260</v>
      </c>
      <c r="Q356" s="14" t="s">
        <v>260</v>
      </c>
      <c r="R356" s="14" t="s">
        <v>229</v>
      </c>
    </row>
    <row r="357" spans="1:18" s="14" customFormat="1" x14ac:dyDescent="0.25">
      <c r="A357" s="14" t="str">
        <f>"83434"</f>
        <v>83434</v>
      </c>
      <c r="B357" s="14" t="str">
        <f>"07010"</f>
        <v>07010</v>
      </c>
      <c r="C357" s="14" t="str">
        <f>"1800"</f>
        <v>1800</v>
      </c>
      <c r="D357" s="14" t="str">
        <f>""</f>
        <v/>
      </c>
      <c r="E357" s="14" t="s">
        <v>1238</v>
      </c>
      <c r="F357" s="14" t="s">
        <v>1002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228</v>
      </c>
      <c r="P357" s="14" t="s">
        <v>260</v>
      </c>
      <c r="Q357" s="14" t="s">
        <v>260</v>
      </c>
      <c r="R357" s="14" t="s">
        <v>229</v>
      </c>
    </row>
    <row r="358" spans="1:18" s="14" customFormat="1" x14ac:dyDescent="0.25">
      <c r="A358" s="14" t="str">
        <f>"83437"</f>
        <v>83437</v>
      </c>
      <c r="B358" s="14" t="str">
        <f>"07010"</f>
        <v>07010</v>
      </c>
      <c r="C358" s="14" t="str">
        <f>"1800"</f>
        <v>1800</v>
      </c>
      <c r="D358" s="14" t="str">
        <f>""</f>
        <v/>
      </c>
      <c r="E358" s="14" t="s">
        <v>1239</v>
      </c>
      <c r="F358" s="14" t="s">
        <v>1002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228</v>
      </c>
      <c r="P358" s="14" t="s">
        <v>260</v>
      </c>
      <c r="Q358" s="14" t="s">
        <v>260</v>
      </c>
      <c r="R358" s="14" t="s">
        <v>229</v>
      </c>
    </row>
    <row r="359" spans="1:18" s="14" customFormat="1" x14ac:dyDescent="0.25">
      <c r="A359" s="14" t="str">
        <f>"83438"</f>
        <v>83438</v>
      </c>
      <c r="B359" s="14" t="str">
        <f>"07010"</f>
        <v>07010</v>
      </c>
      <c r="C359" s="14" t="str">
        <f>"1800"</f>
        <v>1800</v>
      </c>
      <c r="D359" s="14" t="str">
        <f>""</f>
        <v/>
      </c>
      <c r="E359" s="14" t="s">
        <v>1240</v>
      </c>
      <c r="F359" s="14" t="s">
        <v>1002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228</v>
      </c>
      <c r="P359" s="14" t="s">
        <v>260</v>
      </c>
      <c r="Q359" s="14" t="s">
        <v>260</v>
      </c>
      <c r="R359" s="14" t="s">
        <v>229</v>
      </c>
    </row>
    <row r="360" spans="1:18" s="14" customFormat="1" x14ac:dyDescent="0.25">
      <c r="A360" s="14" t="str">
        <f>"83441"</f>
        <v>83441</v>
      </c>
      <c r="B360" s="14" t="str">
        <f>"07010"</f>
        <v>07010</v>
      </c>
      <c r="C360" s="14" t="str">
        <f>"1800"</f>
        <v>1800</v>
      </c>
      <c r="D360" s="14" t="str">
        <f>""</f>
        <v/>
      </c>
      <c r="E360" s="14" t="s">
        <v>1241</v>
      </c>
      <c r="F360" s="14" t="s">
        <v>1002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228</v>
      </c>
      <c r="P360" s="14" t="s">
        <v>260</v>
      </c>
      <c r="Q360" s="14" t="s">
        <v>260</v>
      </c>
      <c r="R360" s="14" t="s">
        <v>229</v>
      </c>
    </row>
    <row r="361" spans="1:18" s="14" customFormat="1" x14ac:dyDescent="0.25">
      <c r="A361" s="14" t="str">
        <f>"83442"</f>
        <v>83442</v>
      </c>
      <c r="B361" s="14" t="str">
        <f>"07010"</f>
        <v>07010</v>
      </c>
      <c r="C361" s="14" t="str">
        <f>"1800"</f>
        <v>1800</v>
      </c>
      <c r="D361" s="14" t="str">
        <f>""</f>
        <v/>
      </c>
      <c r="E361" s="14" t="s">
        <v>1242</v>
      </c>
      <c r="F361" s="14" t="s">
        <v>1002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228</v>
      </c>
      <c r="P361" s="14" t="s">
        <v>260</v>
      </c>
      <c r="Q361" s="14" t="s">
        <v>260</v>
      </c>
      <c r="R361" s="14" t="s">
        <v>229</v>
      </c>
    </row>
    <row r="362" spans="1:18" s="14" customFormat="1" x14ac:dyDescent="0.25">
      <c r="A362" s="14" t="str">
        <f>"83443"</f>
        <v>83443</v>
      </c>
      <c r="B362" s="14" t="str">
        <f>"07010"</f>
        <v>07010</v>
      </c>
      <c r="C362" s="14" t="str">
        <f>"1800"</f>
        <v>1800</v>
      </c>
      <c r="D362" s="14" t="str">
        <f>""</f>
        <v/>
      </c>
      <c r="E362" s="14" t="s">
        <v>1243</v>
      </c>
      <c r="F362" s="14" t="s">
        <v>1002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228</v>
      </c>
      <c r="P362" s="14" t="s">
        <v>260</v>
      </c>
      <c r="Q362" s="14" t="s">
        <v>260</v>
      </c>
      <c r="R362" s="14" t="s">
        <v>229</v>
      </c>
    </row>
    <row r="363" spans="1:18" s="14" customFormat="1" x14ac:dyDescent="0.25">
      <c r="A363" s="14" t="str">
        <f>"83444"</f>
        <v>83444</v>
      </c>
      <c r="B363" s="14" t="str">
        <f>"07010"</f>
        <v>07010</v>
      </c>
      <c r="C363" s="14" t="str">
        <f>"1800"</f>
        <v>1800</v>
      </c>
      <c r="D363" s="14" t="str">
        <f>""</f>
        <v/>
      </c>
      <c r="E363" s="14" t="s">
        <v>1244</v>
      </c>
      <c r="F363" s="14" t="s">
        <v>1002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228</v>
      </c>
      <c r="P363" s="14" t="s">
        <v>260</v>
      </c>
      <c r="Q363" s="14" t="s">
        <v>260</v>
      </c>
      <c r="R363" s="14" t="s">
        <v>229</v>
      </c>
    </row>
    <row r="364" spans="1:18" s="14" customFormat="1" x14ac:dyDescent="0.25">
      <c r="A364" s="14" t="str">
        <f>"83445"</f>
        <v>83445</v>
      </c>
      <c r="B364" s="14" t="str">
        <f>"07010"</f>
        <v>07010</v>
      </c>
      <c r="C364" s="14" t="str">
        <f>"1800"</f>
        <v>1800</v>
      </c>
      <c r="D364" s="14" t="str">
        <f>""</f>
        <v/>
      </c>
      <c r="E364" s="14" t="s">
        <v>1245</v>
      </c>
      <c r="F364" s="14" t="s">
        <v>1002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228</v>
      </c>
      <c r="P364" s="14" t="s">
        <v>260</v>
      </c>
      <c r="Q364" s="14" t="s">
        <v>260</v>
      </c>
      <c r="R364" s="14" t="s">
        <v>229</v>
      </c>
    </row>
    <row r="365" spans="1:18" s="14" customFormat="1" x14ac:dyDescent="0.25">
      <c r="A365" s="14" t="str">
        <f>"83446"</f>
        <v>83446</v>
      </c>
      <c r="B365" s="14" t="str">
        <f>"07010"</f>
        <v>07010</v>
      </c>
      <c r="C365" s="14" t="str">
        <f>"1800"</f>
        <v>1800</v>
      </c>
      <c r="D365" s="14" t="str">
        <f>""</f>
        <v/>
      </c>
      <c r="E365" s="14" t="s">
        <v>1246</v>
      </c>
      <c r="F365" s="14" t="s">
        <v>1002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228</v>
      </c>
      <c r="P365" s="14" t="s">
        <v>260</v>
      </c>
      <c r="Q365" s="14" t="s">
        <v>260</v>
      </c>
      <c r="R365" s="14" t="s">
        <v>229</v>
      </c>
    </row>
    <row r="366" spans="1:18" s="14" customFormat="1" x14ac:dyDescent="0.25">
      <c r="A366" s="14" t="str">
        <f>"83447"</f>
        <v>83447</v>
      </c>
      <c r="B366" s="14" t="str">
        <f>"07010"</f>
        <v>07010</v>
      </c>
      <c r="C366" s="14" t="str">
        <f>"1800"</f>
        <v>1800</v>
      </c>
      <c r="D366" s="14" t="str">
        <f>""</f>
        <v/>
      </c>
      <c r="E366" s="14" t="s">
        <v>1247</v>
      </c>
      <c r="F366" s="14" t="s">
        <v>1002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228</v>
      </c>
      <c r="P366" s="14" t="s">
        <v>260</v>
      </c>
      <c r="Q366" s="14" t="s">
        <v>260</v>
      </c>
      <c r="R366" s="14" t="s">
        <v>229</v>
      </c>
    </row>
    <row r="367" spans="1:18" s="14" customFormat="1" x14ac:dyDescent="0.25">
      <c r="A367" s="14" t="str">
        <f>"83449"</f>
        <v>83449</v>
      </c>
      <c r="B367" s="14" t="str">
        <f>"07010"</f>
        <v>07010</v>
      </c>
      <c r="C367" s="14" t="str">
        <f>"1800"</f>
        <v>1800</v>
      </c>
      <c r="D367" s="14" t="str">
        <f>""</f>
        <v/>
      </c>
      <c r="E367" s="14" t="s">
        <v>1248</v>
      </c>
      <c r="F367" s="14" t="s">
        <v>1002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228</v>
      </c>
      <c r="P367" s="14" t="s">
        <v>260</v>
      </c>
      <c r="Q367" s="14" t="s">
        <v>260</v>
      </c>
      <c r="R367" s="14" t="s">
        <v>229</v>
      </c>
    </row>
    <row r="368" spans="1:18" s="14" customFormat="1" x14ac:dyDescent="0.25">
      <c r="A368" s="14" t="str">
        <f>"83450"</f>
        <v>83450</v>
      </c>
      <c r="B368" s="14" t="str">
        <f>"07010"</f>
        <v>07010</v>
      </c>
      <c r="C368" s="14" t="str">
        <f>"1800"</f>
        <v>1800</v>
      </c>
      <c r="D368" s="14" t="str">
        <f>""</f>
        <v/>
      </c>
      <c r="E368" s="14" t="s">
        <v>1249</v>
      </c>
      <c r="F368" s="14" t="s">
        <v>1002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228</v>
      </c>
      <c r="P368" s="14" t="s">
        <v>260</v>
      </c>
      <c r="Q368" s="14" t="s">
        <v>260</v>
      </c>
      <c r="R368" s="14" t="s">
        <v>229</v>
      </c>
    </row>
    <row r="369" spans="1:18" s="14" customFormat="1" x14ac:dyDescent="0.25">
      <c r="A369" s="14" t="str">
        <f>"83451"</f>
        <v>83451</v>
      </c>
      <c r="B369" s="14" t="str">
        <f>"07010"</f>
        <v>07010</v>
      </c>
      <c r="C369" s="14" t="str">
        <f>"1800"</f>
        <v>1800</v>
      </c>
      <c r="D369" s="14" t="str">
        <f>""</f>
        <v/>
      </c>
      <c r="E369" s="14" t="s">
        <v>1250</v>
      </c>
      <c r="F369" s="14" t="s">
        <v>1002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228</v>
      </c>
      <c r="P369" s="14" t="s">
        <v>260</v>
      </c>
      <c r="Q369" s="14" t="s">
        <v>260</v>
      </c>
      <c r="R369" s="14" t="s">
        <v>229</v>
      </c>
    </row>
    <row r="370" spans="1:18" s="14" customFormat="1" x14ac:dyDescent="0.25">
      <c r="A370" s="14" t="str">
        <f>"83452"</f>
        <v>83452</v>
      </c>
      <c r="B370" s="14" t="str">
        <f>"07010"</f>
        <v>07010</v>
      </c>
      <c r="C370" s="14" t="str">
        <f>"1800"</f>
        <v>1800</v>
      </c>
      <c r="D370" s="14" t="str">
        <f>""</f>
        <v/>
      </c>
      <c r="E370" s="14" t="s">
        <v>1251</v>
      </c>
      <c r="F370" s="14" t="s">
        <v>1002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228</v>
      </c>
      <c r="P370" s="14" t="s">
        <v>260</v>
      </c>
      <c r="Q370" s="14" t="s">
        <v>260</v>
      </c>
      <c r="R370" s="14" t="s">
        <v>229</v>
      </c>
    </row>
    <row r="371" spans="1:18" s="14" customFormat="1" x14ac:dyDescent="0.25">
      <c r="A371" s="14" t="str">
        <f>"83454"</f>
        <v>83454</v>
      </c>
      <c r="B371" s="14" t="str">
        <f>"07010"</f>
        <v>07010</v>
      </c>
      <c r="C371" s="14" t="str">
        <f>"1800"</f>
        <v>1800</v>
      </c>
      <c r="D371" s="14" t="str">
        <f>""</f>
        <v/>
      </c>
      <c r="E371" s="14" t="s">
        <v>1252</v>
      </c>
      <c r="F371" s="14" t="s">
        <v>1002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228</v>
      </c>
      <c r="P371" s="14" t="s">
        <v>260</v>
      </c>
      <c r="Q371" s="14" t="s">
        <v>260</v>
      </c>
      <c r="R371" s="14" t="s">
        <v>229</v>
      </c>
    </row>
    <row r="372" spans="1:18" s="14" customFormat="1" x14ac:dyDescent="0.25">
      <c r="A372" s="14" t="str">
        <f>"83456"</f>
        <v>83456</v>
      </c>
      <c r="B372" s="14" t="str">
        <f>"07010"</f>
        <v>07010</v>
      </c>
      <c r="C372" s="14" t="str">
        <f>"1800"</f>
        <v>1800</v>
      </c>
      <c r="D372" s="14" t="str">
        <f>""</f>
        <v/>
      </c>
      <c r="E372" s="14" t="s">
        <v>1253</v>
      </c>
      <c r="F372" s="14" t="s">
        <v>1002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228</v>
      </c>
      <c r="P372" s="14" t="s">
        <v>260</v>
      </c>
      <c r="Q372" s="14" t="s">
        <v>260</v>
      </c>
      <c r="R372" s="14" t="s">
        <v>229</v>
      </c>
    </row>
    <row r="373" spans="1:18" s="14" customFormat="1" x14ac:dyDescent="0.25">
      <c r="A373" s="14" t="str">
        <f>"83457"</f>
        <v>83457</v>
      </c>
      <c r="B373" s="14" t="str">
        <f>"07010"</f>
        <v>07010</v>
      </c>
      <c r="C373" s="14" t="str">
        <f>"1800"</f>
        <v>1800</v>
      </c>
      <c r="D373" s="14" t="str">
        <f>""</f>
        <v/>
      </c>
      <c r="E373" s="14" t="s">
        <v>1254</v>
      </c>
      <c r="F373" s="14" t="s">
        <v>1002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228</v>
      </c>
      <c r="P373" s="14" t="s">
        <v>260</v>
      </c>
      <c r="Q373" s="14" t="s">
        <v>260</v>
      </c>
      <c r="R373" s="14" t="s">
        <v>229</v>
      </c>
    </row>
    <row r="374" spans="1:18" s="14" customFormat="1" x14ac:dyDescent="0.25">
      <c r="A374" s="14" t="str">
        <f>"83460"</f>
        <v>83460</v>
      </c>
      <c r="B374" s="14" t="str">
        <f>"07010"</f>
        <v>07010</v>
      </c>
      <c r="C374" s="14" t="str">
        <f>"1800"</f>
        <v>1800</v>
      </c>
      <c r="D374" s="14" t="str">
        <f>""</f>
        <v/>
      </c>
      <c r="E374" s="14" t="s">
        <v>1255</v>
      </c>
      <c r="F374" s="14" t="s">
        <v>1002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228</v>
      </c>
      <c r="P374" s="14" t="s">
        <v>260</v>
      </c>
      <c r="Q374" s="14" t="s">
        <v>260</v>
      </c>
      <c r="R374" s="14" t="s">
        <v>229</v>
      </c>
    </row>
    <row r="375" spans="1:18" s="14" customFormat="1" x14ac:dyDescent="0.25">
      <c r="A375" s="14" t="str">
        <f>"83461"</f>
        <v>83461</v>
      </c>
      <c r="B375" s="14" t="str">
        <f>"07010"</f>
        <v>07010</v>
      </c>
      <c r="C375" s="14" t="str">
        <f>"1800"</f>
        <v>1800</v>
      </c>
      <c r="D375" s="14" t="str">
        <f>""</f>
        <v/>
      </c>
      <c r="E375" s="14" t="s">
        <v>1256</v>
      </c>
      <c r="F375" s="14" t="s">
        <v>1002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228</v>
      </c>
      <c r="P375" s="14" t="s">
        <v>260</v>
      </c>
      <c r="Q375" s="14" t="s">
        <v>260</v>
      </c>
      <c r="R375" s="14" t="s">
        <v>229</v>
      </c>
    </row>
    <row r="376" spans="1:18" s="14" customFormat="1" x14ac:dyDescent="0.25">
      <c r="A376" s="14" t="str">
        <f>"83462"</f>
        <v>83462</v>
      </c>
      <c r="B376" s="14" t="str">
        <f>"07010"</f>
        <v>07010</v>
      </c>
      <c r="C376" s="14" t="str">
        <f>"1800"</f>
        <v>1800</v>
      </c>
      <c r="D376" s="14" t="str">
        <f>""</f>
        <v/>
      </c>
      <c r="E376" s="14" t="s">
        <v>1257</v>
      </c>
      <c r="F376" s="14" t="s">
        <v>1002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228</v>
      </c>
      <c r="P376" s="14" t="s">
        <v>260</v>
      </c>
      <c r="Q376" s="14" t="s">
        <v>260</v>
      </c>
      <c r="R376" s="14" t="s">
        <v>229</v>
      </c>
    </row>
    <row r="377" spans="1:18" s="14" customFormat="1" x14ac:dyDescent="0.25">
      <c r="A377" s="14" t="str">
        <f>"83463"</f>
        <v>83463</v>
      </c>
      <c r="B377" s="14" t="str">
        <f>"07010"</f>
        <v>07010</v>
      </c>
      <c r="C377" s="14" t="str">
        <f>"1800"</f>
        <v>1800</v>
      </c>
      <c r="D377" s="14" t="str">
        <f>""</f>
        <v/>
      </c>
      <c r="E377" s="14" t="s">
        <v>1258</v>
      </c>
      <c r="F377" s="14" t="s">
        <v>1002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228</v>
      </c>
      <c r="P377" s="14" t="s">
        <v>260</v>
      </c>
      <c r="Q377" s="14" t="s">
        <v>260</v>
      </c>
      <c r="R377" s="14" t="s">
        <v>229</v>
      </c>
    </row>
    <row r="378" spans="1:18" s="14" customFormat="1" x14ac:dyDescent="0.25">
      <c r="A378" s="14" t="str">
        <f>"83464"</f>
        <v>83464</v>
      </c>
      <c r="B378" s="14" t="str">
        <f>"07010"</f>
        <v>07010</v>
      </c>
      <c r="C378" s="14" t="str">
        <f>"1800"</f>
        <v>1800</v>
      </c>
      <c r="D378" s="14" t="str">
        <f>""</f>
        <v/>
      </c>
      <c r="E378" s="14" t="s">
        <v>1259</v>
      </c>
      <c r="F378" s="14" t="s">
        <v>1002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228</v>
      </c>
      <c r="P378" s="14" t="s">
        <v>260</v>
      </c>
      <c r="Q378" s="14" t="s">
        <v>260</v>
      </c>
      <c r="R378" s="14" t="s">
        <v>229</v>
      </c>
    </row>
    <row r="379" spans="1:18" s="14" customFormat="1" x14ac:dyDescent="0.25">
      <c r="A379" s="14" t="str">
        <f>"83467"</f>
        <v>83467</v>
      </c>
      <c r="B379" s="14" t="str">
        <f>"07010"</f>
        <v>07010</v>
      </c>
      <c r="C379" s="14" t="str">
        <f>"1800"</f>
        <v>1800</v>
      </c>
      <c r="D379" s="14" t="str">
        <f>""</f>
        <v/>
      </c>
      <c r="E379" s="14" t="s">
        <v>1260</v>
      </c>
      <c r="F379" s="14" t="s">
        <v>1002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228</v>
      </c>
      <c r="P379" s="14" t="s">
        <v>260</v>
      </c>
      <c r="Q379" s="14" t="s">
        <v>260</v>
      </c>
      <c r="R379" s="14" t="s">
        <v>229</v>
      </c>
    </row>
    <row r="380" spans="1:18" s="14" customFormat="1" x14ac:dyDescent="0.25">
      <c r="A380" s="14" t="str">
        <f>"83469"</f>
        <v>83469</v>
      </c>
      <c r="B380" s="14" t="str">
        <f>"07010"</f>
        <v>07010</v>
      </c>
      <c r="C380" s="14" t="str">
        <f>"1800"</f>
        <v>1800</v>
      </c>
      <c r="D380" s="14" t="str">
        <f>""</f>
        <v/>
      </c>
      <c r="E380" s="14" t="s">
        <v>1261</v>
      </c>
      <c r="F380" s="14" t="s">
        <v>1002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228</v>
      </c>
      <c r="P380" s="14" t="s">
        <v>260</v>
      </c>
      <c r="Q380" s="14" t="s">
        <v>260</v>
      </c>
      <c r="R380" s="14" t="s">
        <v>229</v>
      </c>
    </row>
    <row r="381" spans="1:18" s="14" customFormat="1" x14ac:dyDescent="0.25">
      <c r="A381" s="14" t="str">
        <f>"83470"</f>
        <v>83470</v>
      </c>
      <c r="B381" s="14" t="str">
        <f>"07010"</f>
        <v>07010</v>
      </c>
      <c r="C381" s="14" t="str">
        <f>"1800"</f>
        <v>1800</v>
      </c>
      <c r="D381" s="14" t="str">
        <f>""</f>
        <v/>
      </c>
      <c r="E381" s="14" t="s">
        <v>1262</v>
      </c>
      <c r="F381" s="14" t="s">
        <v>1002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228</v>
      </c>
      <c r="P381" s="14" t="s">
        <v>260</v>
      </c>
      <c r="Q381" s="14" t="s">
        <v>260</v>
      </c>
      <c r="R381" s="14" t="s">
        <v>229</v>
      </c>
    </row>
    <row r="382" spans="1:18" s="14" customFormat="1" x14ac:dyDescent="0.25">
      <c r="A382" s="14" t="str">
        <f>"83471"</f>
        <v>83471</v>
      </c>
      <c r="B382" s="14" t="str">
        <f>"07010"</f>
        <v>07010</v>
      </c>
      <c r="C382" s="14" t="str">
        <f>"1800"</f>
        <v>1800</v>
      </c>
      <c r="D382" s="14" t="str">
        <f>""</f>
        <v/>
      </c>
      <c r="E382" s="14" t="s">
        <v>1263</v>
      </c>
      <c r="F382" s="14" t="s">
        <v>1002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228</v>
      </c>
      <c r="P382" s="14" t="s">
        <v>260</v>
      </c>
      <c r="Q382" s="14" t="s">
        <v>260</v>
      </c>
      <c r="R382" s="14" t="s">
        <v>229</v>
      </c>
    </row>
    <row r="383" spans="1:18" s="14" customFormat="1" x14ac:dyDescent="0.25">
      <c r="A383" s="14" t="str">
        <f>"83476"</f>
        <v>83476</v>
      </c>
      <c r="B383" s="14" t="str">
        <f>"07010"</f>
        <v>07010</v>
      </c>
      <c r="C383" s="14" t="str">
        <f>"1800"</f>
        <v>1800</v>
      </c>
      <c r="D383" s="14" t="str">
        <f>""</f>
        <v/>
      </c>
      <c r="E383" s="14" t="s">
        <v>1264</v>
      </c>
      <c r="F383" s="14" t="s">
        <v>1002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228</v>
      </c>
      <c r="P383" s="14" t="s">
        <v>260</v>
      </c>
      <c r="Q383" s="14" t="s">
        <v>260</v>
      </c>
      <c r="R383" s="14" t="s">
        <v>229</v>
      </c>
    </row>
    <row r="384" spans="1:18" s="14" customFormat="1" x14ac:dyDescent="0.25">
      <c r="A384" s="14" t="str">
        <f>"83477"</f>
        <v>83477</v>
      </c>
      <c r="B384" s="14" t="str">
        <f>"07010"</f>
        <v>07010</v>
      </c>
      <c r="C384" s="14" t="str">
        <f>"1800"</f>
        <v>1800</v>
      </c>
      <c r="D384" s="14" t="str">
        <f>""</f>
        <v/>
      </c>
      <c r="E384" s="14" t="s">
        <v>1265</v>
      </c>
      <c r="F384" s="14" t="s">
        <v>1002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228</v>
      </c>
      <c r="P384" s="14" t="s">
        <v>260</v>
      </c>
      <c r="Q384" s="14" t="s">
        <v>260</v>
      </c>
      <c r="R384" s="14" t="s">
        <v>229</v>
      </c>
    </row>
    <row r="385" spans="1:18" s="14" customFormat="1" x14ac:dyDescent="0.25">
      <c r="A385" s="14" t="str">
        <f>"83479"</f>
        <v>83479</v>
      </c>
      <c r="B385" s="14" t="str">
        <f>"07010"</f>
        <v>07010</v>
      </c>
      <c r="C385" s="14" t="str">
        <f>"1800"</f>
        <v>1800</v>
      </c>
      <c r="D385" s="14" t="str">
        <f>""</f>
        <v/>
      </c>
      <c r="E385" s="14" t="s">
        <v>1266</v>
      </c>
      <c r="F385" s="14" t="s">
        <v>1002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228</v>
      </c>
      <c r="P385" s="14" t="s">
        <v>260</v>
      </c>
      <c r="Q385" s="14" t="s">
        <v>260</v>
      </c>
      <c r="R385" s="14" t="s">
        <v>229</v>
      </c>
    </row>
    <row r="386" spans="1:18" s="14" customFormat="1" x14ac:dyDescent="0.25">
      <c r="A386" s="14" t="str">
        <f>"83481"</f>
        <v>83481</v>
      </c>
      <c r="B386" s="14" t="str">
        <f>"07010"</f>
        <v>07010</v>
      </c>
      <c r="C386" s="14" t="str">
        <f>"1800"</f>
        <v>1800</v>
      </c>
      <c r="D386" s="14" t="str">
        <f>""</f>
        <v/>
      </c>
      <c r="E386" s="14" t="s">
        <v>1267</v>
      </c>
      <c r="F386" s="14" t="s">
        <v>1002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228</v>
      </c>
      <c r="P386" s="14" t="s">
        <v>260</v>
      </c>
      <c r="Q386" s="14" t="s">
        <v>260</v>
      </c>
      <c r="R386" s="14" t="s">
        <v>229</v>
      </c>
    </row>
    <row r="387" spans="1:18" s="14" customFormat="1" x14ac:dyDescent="0.25">
      <c r="A387" s="14" t="str">
        <f>"83483"</f>
        <v>83483</v>
      </c>
      <c r="B387" s="14" t="str">
        <f>"07010"</f>
        <v>07010</v>
      </c>
      <c r="C387" s="14" t="str">
        <f>"1800"</f>
        <v>1800</v>
      </c>
      <c r="D387" s="14" t="str">
        <f>""</f>
        <v/>
      </c>
      <c r="E387" s="14" t="s">
        <v>1268</v>
      </c>
      <c r="F387" s="14" t="s">
        <v>1002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228</v>
      </c>
      <c r="P387" s="14" t="s">
        <v>260</v>
      </c>
      <c r="Q387" s="14" t="s">
        <v>260</v>
      </c>
      <c r="R387" s="14" t="s">
        <v>229</v>
      </c>
    </row>
    <row r="388" spans="1:18" s="14" customFormat="1" x14ac:dyDescent="0.25">
      <c r="A388" s="14" t="str">
        <f>"83484"</f>
        <v>83484</v>
      </c>
      <c r="B388" s="14" t="str">
        <f>"07010"</f>
        <v>07010</v>
      </c>
      <c r="C388" s="14" t="str">
        <f>"1800"</f>
        <v>1800</v>
      </c>
      <c r="D388" s="14" t="str">
        <f>""</f>
        <v/>
      </c>
      <c r="E388" s="14" t="s">
        <v>1269</v>
      </c>
      <c r="F388" s="14" t="s">
        <v>1002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228</v>
      </c>
      <c r="P388" s="14" t="s">
        <v>260</v>
      </c>
      <c r="Q388" s="14" t="s">
        <v>260</v>
      </c>
      <c r="R388" s="14" t="s">
        <v>229</v>
      </c>
    </row>
    <row r="389" spans="1:18" s="14" customFormat="1" x14ac:dyDescent="0.25">
      <c r="A389" s="14" t="str">
        <f>"83487"</f>
        <v>83487</v>
      </c>
      <c r="B389" s="14" t="str">
        <f>"07010"</f>
        <v>07010</v>
      </c>
      <c r="C389" s="14" t="str">
        <f>"1800"</f>
        <v>1800</v>
      </c>
      <c r="D389" s="14" t="str">
        <f>""</f>
        <v/>
      </c>
      <c r="E389" s="14" t="s">
        <v>1270</v>
      </c>
      <c r="F389" s="14" t="s">
        <v>1002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228</v>
      </c>
      <c r="P389" s="14" t="s">
        <v>260</v>
      </c>
      <c r="Q389" s="14" t="s">
        <v>260</v>
      </c>
      <c r="R389" s="14" t="s">
        <v>229</v>
      </c>
    </row>
    <row r="390" spans="1:18" s="14" customFormat="1" x14ac:dyDescent="0.25">
      <c r="A390" s="14" t="str">
        <f>"83488"</f>
        <v>83488</v>
      </c>
      <c r="B390" s="14" t="str">
        <f>"07010"</f>
        <v>07010</v>
      </c>
      <c r="C390" s="14" t="str">
        <f>"1800"</f>
        <v>1800</v>
      </c>
      <c r="D390" s="14" t="str">
        <f>""</f>
        <v/>
      </c>
      <c r="E390" s="14" t="s">
        <v>1271</v>
      </c>
      <c r="F390" s="14" t="s">
        <v>1002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228</v>
      </c>
      <c r="P390" s="14" t="s">
        <v>260</v>
      </c>
      <c r="Q390" s="14" t="s">
        <v>260</v>
      </c>
      <c r="R390" s="14" t="s">
        <v>229</v>
      </c>
    </row>
    <row r="391" spans="1:18" s="14" customFormat="1" x14ac:dyDescent="0.25">
      <c r="A391" s="14" t="str">
        <f>"83489"</f>
        <v>83489</v>
      </c>
      <c r="B391" s="14" t="str">
        <f>"07010"</f>
        <v>07010</v>
      </c>
      <c r="C391" s="14" t="str">
        <f>"1800"</f>
        <v>1800</v>
      </c>
      <c r="D391" s="14" t="str">
        <f>""</f>
        <v/>
      </c>
      <c r="E391" s="14" t="s">
        <v>1272</v>
      </c>
      <c r="F391" s="14" t="s">
        <v>1002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228</v>
      </c>
      <c r="P391" s="14" t="s">
        <v>260</v>
      </c>
      <c r="Q391" s="14" t="s">
        <v>260</v>
      </c>
      <c r="R391" s="14" t="s">
        <v>229</v>
      </c>
    </row>
    <row r="392" spans="1:18" s="14" customFormat="1" x14ac:dyDescent="0.25">
      <c r="A392" s="14" t="str">
        <f>"83490"</f>
        <v>83490</v>
      </c>
      <c r="B392" s="14" t="str">
        <f>"07010"</f>
        <v>07010</v>
      </c>
      <c r="C392" s="14" t="str">
        <f>"1800"</f>
        <v>1800</v>
      </c>
      <c r="D392" s="14" t="str">
        <f>""</f>
        <v/>
      </c>
      <c r="E392" s="14" t="s">
        <v>1273</v>
      </c>
      <c r="F392" s="14" t="s">
        <v>1002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228</v>
      </c>
      <c r="P392" s="14" t="s">
        <v>260</v>
      </c>
      <c r="Q392" s="14" t="s">
        <v>260</v>
      </c>
      <c r="R392" s="14" t="s">
        <v>229</v>
      </c>
    </row>
    <row r="393" spans="1:18" s="14" customFormat="1" x14ac:dyDescent="0.25">
      <c r="A393" s="14" t="str">
        <f>"83491"</f>
        <v>83491</v>
      </c>
      <c r="B393" s="14" t="str">
        <f>"07010"</f>
        <v>07010</v>
      </c>
      <c r="C393" s="14" t="str">
        <f>"1800"</f>
        <v>1800</v>
      </c>
      <c r="D393" s="14" t="str">
        <f>""</f>
        <v/>
      </c>
      <c r="E393" s="14" t="s">
        <v>1274</v>
      </c>
      <c r="F393" s="14" t="s">
        <v>1002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228</v>
      </c>
      <c r="P393" s="14" t="s">
        <v>260</v>
      </c>
      <c r="Q393" s="14" t="s">
        <v>260</v>
      </c>
      <c r="R393" s="14" t="s">
        <v>229</v>
      </c>
    </row>
    <row r="394" spans="1:18" s="14" customFormat="1" x14ac:dyDescent="0.25">
      <c r="A394" s="14" t="str">
        <f>"83492"</f>
        <v>83492</v>
      </c>
      <c r="B394" s="14" t="str">
        <f>"07010"</f>
        <v>07010</v>
      </c>
      <c r="C394" s="14" t="str">
        <f>"1800"</f>
        <v>1800</v>
      </c>
      <c r="D394" s="14" t="str">
        <f>""</f>
        <v/>
      </c>
      <c r="E394" s="14" t="s">
        <v>1275</v>
      </c>
      <c r="F394" s="14" t="s">
        <v>1002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228</v>
      </c>
      <c r="P394" s="14" t="s">
        <v>260</v>
      </c>
      <c r="Q394" s="14" t="s">
        <v>260</v>
      </c>
      <c r="R394" s="14" t="s">
        <v>229</v>
      </c>
    </row>
    <row r="395" spans="1:18" s="14" customFormat="1" x14ac:dyDescent="0.25">
      <c r="A395" s="14" t="str">
        <f>"83493"</f>
        <v>83493</v>
      </c>
      <c r="B395" s="14" t="str">
        <f>"07010"</f>
        <v>07010</v>
      </c>
      <c r="C395" s="14" t="str">
        <f>"1800"</f>
        <v>1800</v>
      </c>
      <c r="D395" s="14" t="str">
        <f>""</f>
        <v/>
      </c>
      <c r="E395" s="14" t="s">
        <v>1276</v>
      </c>
      <c r="F395" s="14" t="s">
        <v>1002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228</v>
      </c>
      <c r="P395" s="14" t="s">
        <v>260</v>
      </c>
      <c r="Q395" s="14" t="s">
        <v>260</v>
      </c>
      <c r="R395" s="14" t="s">
        <v>229</v>
      </c>
    </row>
    <row r="396" spans="1:18" s="14" customFormat="1" x14ac:dyDescent="0.25">
      <c r="A396" s="14" t="str">
        <f>"83495"</f>
        <v>83495</v>
      </c>
      <c r="B396" s="14" t="str">
        <f>"07010"</f>
        <v>07010</v>
      </c>
      <c r="C396" s="14" t="str">
        <f>"1800"</f>
        <v>1800</v>
      </c>
      <c r="D396" s="14" t="str">
        <f>""</f>
        <v/>
      </c>
      <c r="E396" s="14" t="s">
        <v>1277</v>
      </c>
      <c r="F396" s="14" t="s">
        <v>1002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228</v>
      </c>
      <c r="P396" s="14" t="s">
        <v>260</v>
      </c>
      <c r="Q396" s="14" t="s">
        <v>260</v>
      </c>
      <c r="R396" s="14" t="s">
        <v>229</v>
      </c>
    </row>
    <row r="397" spans="1:18" s="14" customFormat="1" x14ac:dyDescent="0.25">
      <c r="A397" s="14" t="str">
        <f>"83497"</f>
        <v>83497</v>
      </c>
      <c r="B397" s="14" t="str">
        <f>"07010"</f>
        <v>07010</v>
      </c>
      <c r="C397" s="14" t="str">
        <f>"1800"</f>
        <v>1800</v>
      </c>
      <c r="D397" s="14" t="str">
        <f>""</f>
        <v/>
      </c>
      <c r="E397" s="14" t="s">
        <v>1278</v>
      </c>
      <c r="F397" s="14" t="s">
        <v>1002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228</v>
      </c>
      <c r="P397" s="14" t="s">
        <v>260</v>
      </c>
      <c r="Q397" s="14" t="s">
        <v>260</v>
      </c>
      <c r="R397" s="14" t="s">
        <v>229</v>
      </c>
    </row>
    <row r="398" spans="1:18" s="14" customFormat="1" x14ac:dyDescent="0.25">
      <c r="A398" s="14" t="str">
        <f>"83499"</f>
        <v>83499</v>
      </c>
      <c r="B398" s="14" t="str">
        <f>"07010"</f>
        <v>07010</v>
      </c>
      <c r="C398" s="14" t="str">
        <f>"1800"</f>
        <v>1800</v>
      </c>
      <c r="D398" s="14" t="str">
        <f>""</f>
        <v/>
      </c>
      <c r="E398" s="14" t="s">
        <v>1279</v>
      </c>
      <c r="F398" s="14" t="s">
        <v>1002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228</v>
      </c>
      <c r="P398" s="14" t="s">
        <v>260</v>
      </c>
      <c r="Q398" s="14" t="s">
        <v>260</v>
      </c>
      <c r="R398" s="14" t="s">
        <v>229</v>
      </c>
    </row>
    <row r="399" spans="1:18" s="14" customFormat="1" x14ac:dyDescent="0.25">
      <c r="A399" s="14" t="str">
        <f>"83501"</f>
        <v>83501</v>
      </c>
      <c r="B399" s="14" t="str">
        <f>"07010"</f>
        <v>07010</v>
      </c>
      <c r="C399" s="14" t="str">
        <f>"1800"</f>
        <v>1800</v>
      </c>
      <c r="D399" s="14" t="str">
        <f>""</f>
        <v/>
      </c>
      <c r="E399" s="14" t="s">
        <v>1280</v>
      </c>
      <c r="F399" s="14" t="s">
        <v>1002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228</v>
      </c>
      <c r="P399" s="14" t="s">
        <v>260</v>
      </c>
      <c r="Q399" s="14" t="s">
        <v>260</v>
      </c>
      <c r="R399" s="14" t="s">
        <v>229</v>
      </c>
    </row>
    <row r="400" spans="1:18" s="14" customFormat="1" x14ac:dyDescent="0.25">
      <c r="A400" s="14" t="str">
        <f>"83502"</f>
        <v>83502</v>
      </c>
      <c r="B400" s="14" t="str">
        <f>"07010"</f>
        <v>07010</v>
      </c>
      <c r="C400" s="14" t="str">
        <f>"1800"</f>
        <v>1800</v>
      </c>
      <c r="D400" s="14" t="str">
        <f>""</f>
        <v/>
      </c>
      <c r="E400" s="14" t="s">
        <v>1281</v>
      </c>
      <c r="F400" s="14" t="s">
        <v>1002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228</v>
      </c>
      <c r="P400" s="14" t="s">
        <v>260</v>
      </c>
      <c r="Q400" s="14" t="s">
        <v>260</v>
      </c>
      <c r="R400" s="14" t="s">
        <v>229</v>
      </c>
    </row>
    <row r="401" spans="1:18" s="14" customFormat="1" x14ac:dyDescent="0.25">
      <c r="A401" s="14" t="str">
        <f>"83503"</f>
        <v>83503</v>
      </c>
      <c r="B401" s="14" t="str">
        <f>"07010"</f>
        <v>07010</v>
      </c>
      <c r="C401" s="14" t="str">
        <f>"1800"</f>
        <v>1800</v>
      </c>
      <c r="D401" s="14" t="str">
        <f>""</f>
        <v/>
      </c>
      <c r="E401" s="14" t="s">
        <v>1282</v>
      </c>
      <c r="F401" s="14" t="s">
        <v>1002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228</v>
      </c>
      <c r="P401" s="14" t="s">
        <v>260</v>
      </c>
      <c r="Q401" s="14" t="s">
        <v>260</v>
      </c>
      <c r="R401" s="14" t="s">
        <v>229</v>
      </c>
    </row>
    <row r="402" spans="1:18" s="14" customFormat="1" x14ac:dyDescent="0.25">
      <c r="A402" s="14" t="str">
        <f>"83504"</f>
        <v>83504</v>
      </c>
      <c r="B402" s="14" t="str">
        <f>"07010"</f>
        <v>07010</v>
      </c>
      <c r="C402" s="14" t="str">
        <f>"1800"</f>
        <v>1800</v>
      </c>
      <c r="D402" s="14" t="str">
        <f>""</f>
        <v/>
      </c>
      <c r="E402" s="14" t="s">
        <v>1283</v>
      </c>
      <c r="F402" s="14" t="s">
        <v>1002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228</v>
      </c>
      <c r="P402" s="14" t="s">
        <v>260</v>
      </c>
      <c r="Q402" s="14" t="s">
        <v>260</v>
      </c>
      <c r="R402" s="14" t="s">
        <v>229</v>
      </c>
    </row>
    <row r="403" spans="1:18" s="14" customFormat="1" x14ac:dyDescent="0.25">
      <c r="A403" s="14" t="str">
        <f>"83505"</f>
        <v>83505</v>
      </c>
      <c r="B403" s="14" t="str">
        <f>"07010"</f>
        <v>07010</v>
      </c>
      <c r="C403" s="14" t="str">
        <f>"1800"</f>
        <v>1800</v>
      </c>
      <c r="D403" s="14" t="str">
        <f>""</f>
        <v/>
      </c>
      <c r="E403" s="14" t="s">
        <v>1284</v>
      </c>
      <c r="F403" s="14" t="s">
        <v>1002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228</v>
      </c>
      <c r="P403" s="14" t="s">
        <v>260</v>
      </c>
      <c r="Q403" s="14" t="s">
        <v>260</v>
      </c>
      <c r="R403" s="14" t="s">
        <v>229</v>
      </c>
    </row>
    <row r="404" spans="1:18" s="14" customFormat="1" x14ac:dyDescent="0.25">
      <c r="A404" s="14" t="str">
        <f>"83506"</f>
        <v>83506</v>
      </c>
      <c r="B404" s="14" t="str">
        <f>"07010"</f>
        <v>07010</v>
      </c>
      <c r="C404" s="14" t="str">
        <f>"1800"</f>
        <v>1800</v>
      </c>
      <c r="D404" s="14" t="str">
        <f>""</f>
        <v/>
      </c>
      <c r="E404" s="14" t="s">
        <v>1285</v>
      </c>
      <c r="F404" s="14" t="s">
        <v>1002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228</v>
      </c>
      <c r="P404" s="14" t="s">
        <v>260</v>
      </c>
      <c r="Q404" s="14" t="s">
        <v>260</v>
      </c>
      <c r="R404" s="14" t="s">
        <v>229</v>
      </c>
    </row>
    <row r="405" spans="1:18" s="14" customFormat="1" x14ac:dyDescent="0.25">
      <c r="A405" s="14" t="str">
        <f>"83509"</f>
        <v>83509</v>
      </c>
      <c r="B405" s="14" t="str">
        <f>"07010"</f>
        <v>07010</v>
      </c>
      <c r="C405" s="14" t="str">
        <f>"1800"</f>
        <v>1800</v>
      </c>
      <c r="D405" s="14" t="str">
        <f>""</f>
        <v/>
      </c>
      <c r="E405" s="14" t="s">
        <v>1286</v>
      </c>
      <c r="F405" s="14" t="s">
        <v>1002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228</v>
      </c>
      <c r="P405" s="14" t="s">
        <v>260</v>
      </c>
      <c r="Q405" s="14" t="s">
        <v>260</v>
      </c>
      <c r="R405" s="14" t="s">
        <v>229</v>
      </c>
    </row>
    <row r="406" spans="1:18" s="14" customFormat="1" x14ac:dyDescent="0.25">
      <c r="A406" s="14" t="str">
        <f>"83510"</f>
        <v>83510</v>
      </c>
      <c r="B406" s="14" t="str">
        <f>"07010"</f>
        <v>07010</v>
      </c>
      <c r="C406" s="14" t="str">
        <f>"1800"</f>
        <v>1800</v>
      </c>
      <c r="D406" s="14" t="str">
        <f>""</f>
        <v/>
      </c>
      <c r="E406" s="14" t="s">
        <v>1287</v>
      </c>
      <c r="F406" s="14" t="s">
        <v>1002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228</v>
      </c>
      <c r="P406" s="14" t="s">
        <v>260</v>
      </c>
      <c r="Q406" s="14" t="s">
        <v>260</v>
      </c>
      <c r="R406" s="14" t="s">
        <v>229</v>
      </c>
    </row>
    <row r="407" spans="1:18" s="14" customFormat="1" x14ac:dyDescent="0.25">
      <c r="A407" s="14" t="str">
        <f>"83511"</f>
        <v>83511</v>
      </c>
      <c r="B407" s="14" t="str">
        <f>"07010"</f>
        <v>07010</v>
      </c>
      <c r="C407" s="14" t="str">
        <f>"1800"</f>
        <v>1800</v>
      </c>
      <c r="D407" s="14" t="str">
        <f>""</f>
        <v/>
      </c>
      <c r="E407" s="14" t="s">
        <v>1288</v>
      </c>
      <c r="F407" s="14" t="s">
        <v>1002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228</v>
      </c>
      <c r="P407" s="14" t="s">
        <v>260</v>
      </c>
      <c r="Q407" s="14" t="s">
        <v>260</v>
      </c>
      <c r="R407" s="14" t="s">
        <v>229</v>
      </c>
    </row>
    <row r="408" spans="1:18" s="14" customFormat="1" x14ac:dyDescent="0.25">
      <c r="A408" s="14" t="str">
        <f>"83513"</f>
        <v>83513</v>
      </c>
      <c r="B408" s="14" t="str">
        <f>"07010"</f>
        <v>07010</v>
      </c>
      <c r="C408" s="14" t="str">
        <f>"1800"</f>
        <v>1800</v>
      </c>
      <c r="D408" s="14" t="str">
        <f>""</f>
        <v/>
      </c>
      <c r="E408" s="14" t="s">
        <v>1289</v>
      </c>
      <c r="F408" s="14" t="s">
        <v>1002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228</v>
      </c>
      <c r="P408" s="14" t="s">
        <v>260</v>
      </c>
      <c r="Q408" s="14" t="s">
        <v>260</v>
      </c>
      <c r="R408" s="14" t="s">
        <v>229</v>
      </c>
    </row>
    <row r="409" spans="1:18" s="14" customFormat="1" x14ac:dyDescent="0.25">
      <c r="A409" s="14" t="str">
        <f>"83514"</f>
        <v>83514</v>
      </c>
      <c r="B409" s="14" t="str">
        <f>"07010"</f>
        <v>07010</v>
      </c>
      <c r="C409" s="14" t="str">
        <f>"1800"</f>
        <v>1800</v>
      </c>
      <c r="D409" s="14" t="str">
        <f>""</f>
        <v/>
      </c>
      <c r="E409" s="14" t="s">
        <v>1290</v>
      </c>
      <c r="F409" s="14" t="s">
        <v>1002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228</v>
      </c>
      <c r="P409" s="14" t="s">
        <v>260</v>
      </c>
      <c r="Q409" s="14" t="s">
        <v>260</v>
      </c>
      <c r="R409" s="14" t="s">
        <v>229</v>
      </c>
    </row>
    <row r="410" spans="1:18" s="14" customFormat="1" x14ac:dyDescent="0.25">
      <c r="A410" s="14" t="str">
        <f>"83515"</f>
        <v>83515</v>
      </c>
      <c r="B410" s="14" t="str">
        <f>"07010"</f>
        <v>07010</v>
      </c>
      <c r="C410" s="14" t="str">
        <f>"1800"</f>
        <v>1800</v>
      </c>
      <c r="D410" s="14" t="str">
        <f>""</f>
        <v/>
      </c>
      <c r="E410" s="14" t="s">
        <v>1291</v>
      </c>
      <c r="F410" s="14" t="s">
        <v>1002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228</v>
      </c>
      <c r="P410" s="14" t="s">
        <v>260</v>
      </c>
      <c r="Q410" s="14" t="s">
        <v>260</v>
      </c>
      <c r="R410" s="14" t="s">
        <v>229</v>
      </c>
    </row>
    <row r="411" spans="1:18" s="14" customFormat="1" x14ac:dyDescent="0.25">
      <c r="A411" s="14" t="str">
        <f>"83516"</f>
        <v>83516</v>
      </c>
      <c r="B411" s="14" t="str">
        <f>"07010"</f>
        <v>07010</v>
      </c>
      <c r="C411" s="14" t="str">
        <f>"1800"</f>
        <v>1800</v>
      </c>
      <c r="D411" s="14" t="str">
        <f>""</f>
        <v/>
      </c>
      <c r="E411" s="14" t="s">
        <v>1292</v>
      </c>
      <c r="F411" s="14" t="s">
        <v>1002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228</v>
      </c>
      <c r="P411" s="14" t="s">
        <v>260</v>
      </c>
      <c r="Q411" s="14" t="s">
        <v>260</v>
      </c>
      <c r="R411" s="14" t="s">
        <v>229</v>
      </c>
    </row>
    <row r="412" spans="1:18" s="14" customFormat="1" x14ac:dyDescent="0.25">
      <c r="A412" s="14" t="str">
        <f>"83518"</f>
        <v>83518</v>
      </c>
      <c r="B412" s="14" t="str">
        <f>"07010"</f>
        <v>07010</v>
      </c>
      <c r="C412" s="14" t="str">
        <f>"1800"</f>
        <v>1800</v>
      </c>
      <c r="D412" s="14" t="str">
        <f>""</f>
        <v/>
      </c>
      <c r="E412" s="14" t="s">
        <v>1293</v>
      </c>
      <c r="F412" s="14" t="s">
        <v>1002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228</v>
      </c>
      <c r="P412" s="14" t="s">
        <v>260</v>
      </c>
      <c r="Q412" s="14" t="s">
        <v>260</v>
      </c>
      <c r="R412" s="14" t="s">
        <v>229</v>
      </c>
    </row>
    <row r="413" spans="1:18" s="14" customFormat="1" x14ac:dyDescent="0.25">
      <c r="A413" s="14" t="str">
        <f>"83519"</f>
        <v>83519</v>
      </c>
      <c r="B413" s="14" t="str">
        <f>"07010"</f>
        <v>07010</v>
      </c>
      <c r="C413" s="14" t="str">
        <f>"1800"</f>
        <v>1800</v>
      </c>
      <c r="D413" s="14" t="str">
        <f>""</f>
        <v/>
      </c>
      <c r="E413" s="14" t="s">
        <v>1294</v>
      </c>
      <c r="F413" s="14" t="s">
        <v>1002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228</v>
      </c>
      <c r="P413" s="14" t="s">
        <v>260</v>
      </c>
      <c r="Q413" s="14" t="s">
        <v>260</v>
      </c>
      <c r="R413" s="14" t="s">
        <v>229</v>
      </c>
    </row>
    <row r="414" spans="1:18" s="14" customFormat="1" x14ac:dyDescent="0.25">
      <c r="A414" s="14" t="str">
        <f>"83528"</f>
        <v>83528</v>
      </c>
      <c r="B414" s="14" t="str">
        <f>"07010"</f>
        <v>07010</v>
      </c>
      <c r="C414" s="14" t="str">
        <f>"1800"</f>
        <v>1800</v>
      </c>
      <c r="D414" s="14" t="str">
        <f>""</f>
        <v/>
      </c>
      <c r="E414" s="14" t="s">
        <v>1295</v>
      </c>
      <c r="F414" s="14" t="s">
        <v>1002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228</v>
      </c>
      <c r="P414" s="14" t="s">
        <v>260</v>
      </c>
      <c r="Q414" s="14" t="s">
        <v>260</v>
      </c>
      <c r="R414" s="14" t="s">
        <v>229</v>
      </c>
    </row>
    <row r="415" spans="1:18" s="14" customFormat="1" x14ac:dyDescent="0.25">
      <c r="A415" s="14" t="str">
        <f>"83529"</f>
        <v>83529</v>
      </c>
      <c r="B415" s="14" t="str">
        <f>"07010"</f>
        <v>07010</v>
      </c>
      <c r="C415" s="14" t="str">
        <f>"1800"</f>
        <v>1800</v>
      </c>
      <c r="D415" s="14" t="str">
        <f>""</f>
        <v/>
      </c>
      <c r="E415" s="14" t="s">
        <v>1296</v>
      </c>
      <c r="F415" s="14" t="s">
        <v>1002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228</v>
      </c>
      <c r="P415" s="14" t="s">
        <v>260</v>
      </c>
      <c r="Q415" s="14" t="s">
        <v>260</v>
      </c>
      <c r="R415" s="14" t="s">
        <v>229</v>
      </c>
    </row>
    <row r="416" spans="1:18" s="14" customFormat="1" x14ac:dyDescent="0.25">
      <c r="A416" s="14" t="str">
        <f>"83530"</f>
        <v>83530</v>
      </c>
      <c r="B416" s="14" t="str">
        <f>"07010"</f>
        <v>07010</v>
      </c>
      <c r="C416" s="14" t="str">
        <f>"1800"</f>
        <v>1800</v>
      </c>
      <c r="D416" s="14" t="str">
        <f>""</f>
        <v/>
      </c>
      <c r="E416" s="14" t="s">
        <v>1297</v>
      </c>
      <c r="F416" s="14" t="s">
        <v>1002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228</v>
      </c>
      <c r="P416" s="14" t="s">
        <v>260</v>
      </c>
      <c r="Q416" s="14" t="s">
        <v>260</v>
      </c>
      <c r="R416" s="14" t="s">
        <v>229</v>
      </c>
    </row>
    <row r="417" spans="1:18" s="14" customFormat="1" x14ac:dyDescent="0.25">
      <c r="A417" s="14" t="str">
        <f>"83531"</f>
        <v>83531</v>
      </c>
      <c r="B417" s="14" t="str">
        <f>"07010"</f>
        <v>07010</v>
      </c>
      <c r="C417" s="14" t="str">
        <f>"1800"</f>
        <v>1800</v>
      </c>
      <c r="D417" s="14" t="str">
        <f>""</f>
        <v/>
      </c>
      <c r="E417" s="14" t="s">
        <v>1298</v>
      </c>
      <c r="F417" s="14" t="s">
        <v>1002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228</v>
      </c>
      <c r="P417" s="14" t="s">
        <v>260</v>
      </c>
      <c r="Q417" s="14" t="s">
        <v>260</v>
      </c>
      <c r="R417" s="14" t="s">
        <v>229</v>
      </c>
    </row>
    <row r="418" spans="1:18" s="14" customFormat="1" x14ac:dyDescent="0.25">
      <c r="A418" s="14" t="str">
        <f>"83533"</f>
        <v>83533</v>
      </c>
      <c r="B418" s="14" t="str">
        <f>"07010"</f>
        <v>07010</v>
      </c>
      <c r="C418" s="14" t="str">
        <f>"1800"</f>
        <v>1800</v>
      </c>
      <c r="D418" s="14" t="str">
        <f>""</f>
        <v/>
      </c>
      <c r="E418" s="14" t="s">
        <v>1299</v>
      </c>
      <c r="F418" s="14" t="s">
        <v>1002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228</v>
      </c>
      <c r="P418" s="14" t="s">
        <v>260</v>
      </c>
      <c r="Q418" s="14" t="s">
        <v>260</v>
      </c>
      <c r="R418" s="14" t="s">
        <v>229</v>
      </c>
    </row>
    <row r="419" spans="1:18" s="14" customFormat="1" x14ac:dyDescent="0.25">
      <c r="A419" s="14" t="str">
        <f>"83535"</f>
        <v>83535</v>
      </c>
      <c r="B419" s="14" t="str">
        <f>"07010"</f>
        <v>07010</v>
      </c>
      <c r="C419" s="14" t="str">
        <f>"1800"</f>
        <v>1800</v>
      </c>
      <c r="D419" s="14" t="str">
        <f>""</f>
        <v/>
      </c>
      <c r="E419" s="14" t="s">
        <v>1300</v>
      </c>
      <c r="F419" s="14" t="s">
        <v>1002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228</v>
      </c>
      <c r="P419" s="14" t="s">
        <v>260</v>
      </c>
      <c r="Q419" s="14" t="s">
        <v>260</v>
      </c>
      <c r="R419" s="14" t="s">
        <v>229</v>
      </c>
    </row>
    <row r="420" spans="1:18" s="14" customFormat="1" x14ac:dyDescent="0.25">
      <c r="A420" s="14" t="str">
        <f>"83538"</f>
        <v>83538</v>
      </c>
      <c r="B420" s="14" t="str">
        <f>"07010"</f>
        <v>07010</v>
      </c>
      <c r="C420" s="14" t="str">
        <f>"1800"</f>
        <v>1800</v>
      </c>
      <c r="D420" s="14" t="str">
        <f>""</f>
        <v/>
      </c>
      <c r="E420" s="14" t="s">
        <v>1301</v>
      </c>
      <c r="F420" s="14" t="s">
        <v>1002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228</v>
      </c>
      <c r="P420" s="14" t="s">
        <v>260</v>
      </c>
      <c r="Q420" s="14" t="s">
        <v>260</v>
      </c>
      <c r="R420" s="14" t="s">
        <v>229</v>
      </c>
    </row>
    <row r="421" spans="1:18" s="14" customFormat="1" x14ac:dyDescent="0.25">
      <c r="A421" s="14" t="str">
        <f>"83539"</f>
        <v>83539</v>
      </c>
      <c r="B421" s="14" t="str">
        <f>"07010"</f>
        <v>07010</v>
      </c>
      <c r="C421" s="14" t="str">
        <f>"1800"</f>
        <v>1800</v>
      </c>
      <c r="D421" s="14" t="str">
        <f>""</f>
        <v/>
      </c>
      <c r="E421" s="14" t="s">
        <v>1302</v>
      </c>
      <c r="F421" s="14" t="s">
        <v>1002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228</v>
      </c>
      <c r="P421" s="14" t="s">
        <v>260</v>
      </c>
      <c r="Q421" s="14" t="s">
        <v>260</v>
      </c>
      <c r="R421" s="14" t="s">
        <v>229</v>
      </c>
    </row>
    <row r="422" spans="1:18" s="14" customFormat="1" x14ac:dyDescent="0.25">
      <c r="A422" s="14" t="str">
        <f>"83540"</f>
        <v>83540</v>
      </c>
      <c r="B422" s="14" t="str">
        <f>"07010"</f>
        <v>07010</v>
      </c>
      <c r="C422" s="14" t="str">
        <f>"1800"</f>
        <v>1800</v>
      </c>
      <c r="D422" s="14" t="str">
        <f>""</f>
        <v/>
      </c>
      <c r="E422" s="14" t="s">
        <v>1303</v>
      </c>
      <c r="F422" s="14" t="s">
        <v>1002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228</v>
      </c>
      <c r="P422" s="14" t="s">
        <v>260</v>
      </c>
      <c r="Q422" s="14" t="s">
        <v>260</v>
      </c>
      <c r="R422" s="14" t="s">
        <v>229</v>
      </c>
    </row>
    <row r="423" spans="1:18" s="14" customFormat="1" x14ac:dyDescent="0.25">
      <c r="A423" s="14" t="str">
        <f>"83543"</f>
        <v>83543</v>
      </c>
      <c r="B423" s="14" t="str">
        <f>"07010"</f>
        <v>07010</v>
      </c>
      <c r="C423" s="14" t="str">
        <f>"1800"</f>
        <v>1800</v>
      </c>
      <c r="D423" s="14" t="str">
        <f>""</f>
        <v/>
      </c>
      <c r="E423" s="14" t="s">
        <v>1304</v>
      </c>
      <c r="F423" s="14" t="s">
        <v>1002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228</v>
      </c>
      <c r="P423" s="14" t="s">
        <v>260</v>
      </c>
      <c r="Q423" s="14" t="s">
        <v>260</v>
      </c>
      <c r="R423" s="14" t="s">
        <v>229</v>
      </c>
    </row>
    <row r="424" spans="1:18" s="14" customFormat="1" x14ac:dyDescent="0.25">
      <c r="A424" s="14" t="str">
        <f>"83545"</f>
        <v>83545</v>
      </c>
      <c r="B424" s="14" t="str">
        <f>"07010"</f>
        <v>07010</v>
      </c>
      <c r="C424" s="14" t="str">
        <f>"1800"</f>
        <v>1800</v>
      </c>
      <c r="D424" s="14" t="str">
        <f>""</f>
        <v/>
      </c>
      <c r="E424" s="14" t="s">
        <v>1305</v>
      </c>
      <c r="F424" s="14" t="s">
        <v>1002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228</v>
      </c>
      <c r="P424" s="14" t="s">
        <v>260</v>
      </c>
      <c r="Q424" s="14" t="s">
        <v>260</v>
      </c>
      <c r="R424" s="14" t="s">
        <v>229</v>
      </c>
    </row>
    <row r="425" spans="1:18" s="14" customFormat="1" x14ac:dyDescent="0.25">
      <c r="A425" s="14" t="str">
        <f>"83548"</f>
        <v>83548</v>
      </c>
      <c r="B425" s="14" t="str">
        <f>"07010"</f>
        <v>07010</v>
      </c>
      <c r="C425" s="14" t="str">
        <f>"1800"</f>
        <v>1800</v>
      </c>
      <c r="D425" s="14" t="str">
        <f>""</f>
        <v/>
      </c>
      <c r="E425" s="14" t="s">
        <v>1306</v>
      </c>
      <c r="F425" s="14" t="s">
        <v>1002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228</v>
      </c>
      <c r="P425" s="14" t="s">
        <v>260</v>
      </c>
      <c r="Q425" s="14" t="s">
        <v>260</v>
      </c>
      <c r="R425" s="14" t="s">
        <v>229</v>
      </c>
    </row>
    <row r="426" spans="1:18" s="14" customFormat="1" x14ac:dyDescent="0.25">
      <c r="A426" s="14" t="str">
        <f>"83552"</f>
        <v>83552</v>
      </c>
      <c r="B426" s="14" t="str">
        <f>"07010"</f>
        <v>07010</v>
      </c>
      <c r="C426" s="14" t="str">
        <f>"1800"</f>
        <v>1800</v>
      </c>
      <c r="D426" s="14" t="str">
        <f>""</f>
        <v/>
      </c>
      <c r="E426" s="14" t="s">
        <v>1307</v>
      </c>
      <c r="F426" s="14" t="s">
        <v>1002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228</v>
      </c>
      <c r="P426" s="14" t="s">
        <v>260</v>
      </c>
      <c r="Q426" s="14" t="s">
        <v>260</v>
      </c>
      <c r="R426" s="14" t="s">
        <v>229</v>
      </c>
    </row>
    <row r="427" spans="1:18" s="14" customFormat="1" x14ac:dyDescent="0.25">
      <c r="A427" s="14" t="str">
        <f>"83553"</f>
        <v>83553</v>
      </c>
      <c r="B427" s="14" t="str">
        <f>"07010"</f>
        <v>07010</v>
      </c>
      <c r="C427" s="14" t="str">
        <f>"1800"</f>
        <v>1800</v>
      </c>
      <c r="D427" s="14" t="str">
        <f>""</f>
        <v/>
      </c>
      <c r="E427" s="14" t="s">
        <v>1308</v>
      </c>
      <c r="F427" s="14" t="s">
        <v>1002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228</v>
      </c>
      <c r="P427" s="14" t="s">
        <v>260</v>
      </c>
      <c r="Q427" s="14" t="s">
        <v>260</v>
      </c>
      <c r="R427" s="14" t="s">
        <v>229</v>
      </c>
    </row>
    <row r="428" spans="1:18" s="14" customFormat="1" x14ac:dyDescent="0.25">
      <c r="A428" s="14" t="str">
        <f>"83554"</f>
        <v>83554</v>
      </c>
      <c r="B428" s="14" t="str">
        <f>"07010"</f>
        <v>07010</v>
      </c>
      <c r="C428" s="14" t="str">
        <f>"1800"</f>
        <v>1800</v>
      </c>
      <c r="D428" s="14" t="str">
        <f>""</f>
        <v/>
      </c>
      <c r="E428" s="14" t="s">
        <v>1309</v>
      </c>
      <c r="F428" s="14" t="s">
        <v>1002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228</v>
      </c>
      <c r="P428" s="14" t="s">
        <v>260</v>
      </c>
      <c r="Q428" s="14" t="s">
        <v>260</v>
      </c>
      <c r="R428" s="14" t="s">
        <v>229</v>
      </c>
    </row>
    <row r="429" spans="1:18" s="14" customFormat="1" x14ac:dyDescent="0.25">
      <c r="A429" s="14" t="str">
        <f>"83555"</f>
        <v>83555</v>
      </c>
      <c r="B429" s="14" t="str">
        <f>"07010"</f>
        <v>07010</v>
      </c>
      <c r="C429" s="14" t="str">
        <f>"1800"</f>
        <v>1800</v>
      </c>
      <c r="D429" s="14" t="str">
        <f>""</f>
        <v/>
      </c>
      <c r="E429" s="14" t="s">
        <v>1310</v>
      </c>
      <c r="F429" s="14" t="s">
        <v>1002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228</v>
      </c>
      <c r="P429" s="14" t="s">
        <v>260</v>
      </c>
      <c r="Q429" s="14" t="s">
        <v>260</v>
      </c>
      <c r="R429" s="14" t="s">
        <v>229</v>
      </c>
    </row>
    <row r="430" spans="1:18" s="14" customFormat="1" x14ac:dyDescent="0.25">
      <c r="A430" s="14" t="str">
        <f>"83556"</f>
        <v>83556</v>
      </c>
      <c r="B430" s="14" t="str">
        <f>"07010"</f>
        <v>07010</v>
      </c>
      <c r="C430" s="14" t="str">
        <f>"1800"</f>
        <v>1800</v>
      </c>
      <c r="D430" s="14" t="str">
        <f>""</f>
        <v/>
      </c>
      <c r="E430" s="14" t="s">
        <v>1311</v>
      </c>
      <c r="F430" s="14" t="s">
        <v>1002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228</v>
      </c>
      <c r="P430" s="14" t="s">
        <v>260</v>
      </c>
      <c r="Q430" s="14" t="s">
        <v>260</v>
      </c>
      <c r="R430" s="14" t="s">
        <v>229</v>
      </c>
    </row>
    <row r="431" spans="1:18" s="14" customFormat="1" x14ac:dyDescent="0.25">
      <c r="A431" s="14" t="str">
        <f>"83558"</f>
        <v>83558</v>
      </c>
      <c r="B431" s="14" t="str">
        <f>"07010"</f>
        <v>07010</v>
      </c>
      <c r="C431" s="14" t="str">
        <f>"1800"</f>
        <v>1800</v>
      </c>
      <c r="D431" s="14" t="str">
        <f>""</f>
        <v/>
      </c>
      <c r="E431" s="14" t="s">
        <v>1312</v>
      </c>
      <c r="F431" s="14" t="s">
        <v>1002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228</v>
      </c>
      <c r="P431" s="14" t="s">
        <v>260</v>
      </c>
      <c r="Q431" s="14" t="s">
        <v>260</v>
      </c>
      <c r="R431" s="14" t="s">
        <v>229</v>
      </c>
    </row>
    <row r="432" spans="1:18" s="14" customFormat="1" x14ac:dyDescent="0.25">
      <c r="A432" s="14" t="str">
        <f>"83559"</f>
        <v>83559</v>
      </c>
      <c r="B432" s="14" t="str">
        <f>"07010"</f>
        <v>07010</v>
      </c>
      <c r="C432" s="14" t="str">
        <f>"1800"</f>
        <v>1800</v>
      </c>
      <c r="D432" s="14" t="str">
        <f>""</f>
        <v/>
      </c>
      <c r="E432" s="14" t="s">
        <v>1313</v>
      </c>
      <c r="F432" s="14" t="s">
        <v>1002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228</v>
      </c>
      <c r="P432" s="14" t="s">
        <v>260</v>
      </c>
      <c r="Q432" s="14" t="s">
        <v>260</v>
      </c>
      <c r="R432" s="14" t="s">
        <v>229</v>
      </c>
    </row>
    <row r="433" spans="1:18" s="14" customFormat="1" x14ac:dyDescent="0.25">
      <c r="A433" s="14" t="str">
        <f>"83560"</f>
        <v>83560</v>
      </c>
      <c r="B433" s="14" t="str">
        <f>"07010"</f>
        <v>07010</v>
      </c>
      <c r="C433" s="14" t="str">
        <f>"1800"</f>
        <v>1800</v>
      </c>
      <c r="D433" s="14" t="str">
        <f>""</f>
        <v/>
      </c>
      <c r="E433" s="14" t="s">
        <v>1314</v>
      </c>
      <c r="F433" s="14" t="s">
        <v>1002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228</v>
      </c>
      <c r="P433" s="14" t="s">
        <v>260</v>
      </c>
      <c r="Q433" s="14" t="s">
        <v>260</v>
      </c>
      <c r="R433" s="14" t="s">
        <v>229</v>
      </c>
    </row>
    <row r="434" spans="1:18" s="14" customFormat="1" x14ac:dyDescent="0.25">
      <c r="A434" s="14" t="str">
        <f>"83561"</f>
        <v>83561</v>
      </c>
      <c r="B434" s="14" t="str">
        <f>"07010"</f>
        <v>07010</v>
      </c>
      <c r="C434" s="14" t="str">
        <f>"1800"</f>
        <v>1800</v>
      </c>
      <c r="D434" s="14" t="str">
        <f>""</f>
        <v/>
      </c>
      <c r="E434" s="14" t="s">
        <v>1315</v>
      </c>
      <c r="F434" s="14" t="s">
        <v>1002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228</v>
      </c>
      <c r="P434" s="14" t="s">
        <v>260</v>
      </c>
      <c r="Q434" s="14" t="s">
        <v>260</v>
      </c>
      <c r="R434" s="14" t="s">
        <v>229</v>
      </c>
    </row>
    <row r="435" spans="1:18" s="14" customFormat="1" x14ac:dyDescent="0.25">
      <c r="A435" s="14" t="str">
        <f>"83562"</f>
        <v>83562</v>
      </c>
      <c r="B435" s="14" t="str">
        <f>"07010"</f>
        <v>07010</v>
      </c>
      <c r="C435" s="14" t="str">
        <f>"1800"</f>
        <v>1800</v>
      </c>
      <c r="D435" s="14" t="str">
        <f>""</f>
        <v/>
      </c>
      <c r="E435" s="14" t="s">
        <v>1316</v>
      </c>
      <c r="F435" s="14" t="s">
        <v>1002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228</v>
      </c>
      <c r="P435" s="14" t="s">
        <v>260</v>
      </c>
      <c r="Q435" s="14" t="s">
        <v>260</v>
      </c>
      <c r="R435" s="14" t="s">
        <v>229</v>
      </c>
    </row>
    <row r="436" spans="1:18" s="14" customFormat="1" x14ac:dyDescent="0.25">
      <c r="A436" s="14" t="str">
        <f>"83563"</f>
        <v>83563</v>
      </c>
      <c r="B436" s="14" t="str">
        <f>"07010"</f>
        <v>07010</v>
      </c>
      <c r="C436" s="14" t="str">
        <f>"1800"</f>
        <v>1800</v>
      </c>
      <c r="D436" s="14" t="str">
        <f>""</f>
        <v/>
      </c>
      <c r="E436" s="14" t="s">
        <v>1317</v>
      </c>
      <c r="F436" s="14" t="s">
        <v>1002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228</v>
      </c>
      <c r="P436" s="14" t="s">
        <v>260</v>
      </c>
      <c r="Q436" s="14" t="s">
        <v>260</v>
      </c>
      <c r="R436" s="14" t="s">
        <v>229</v>
      </c>
    </row>
    <row r="437" spans="1:18" s="14" customFormat="1" x14ac:dyDescent="0.25">
      <c r="A437" s="14" t="str">
        <f>"83568"</f>
        <v>83568</v>
      </c>
      <c r="B437" s="14" t="str">
        <f>"07010"</f>
        <v>07010</v>
      </c>
      <c r="C437" s="14" t="str">
        <f>"1800"</f>
        <v>1800</v>
      </c>
      <c r="D437" s="14" t="str">
        <f>""</f>
        <v/>
      </c>
      <c r="E437" s="14" t="s">
        <v>1318</v>
      </c>
      <c r="F437" s="14" t="s">
        <v>1002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228</v>
      </c>
      <c r="P437" s="14" t="s">
        <v>260</v>
      </c>
      <c r="Q437" s="14" t="s">
        <v>260</v>
      </c>
      <c r="R437" s="14" t="s">
        <v>229</v>
      </c>
    </row>
    <row r="438" spans="1:18" s="14" customFormat="1" x14ac:dyDescent="0.25">
      <c r="A438" s="14" t="str">
        <f>"83569"</f>
        <v>83569</v>
      </c>
      <c r="B438" s="14" t="str">
        <f>"07010"</f>
        <v>07010</v>
      </c>
      <c r="C438" s="14" t="str">
        <f>"1800"</f>
        <v>1800</v>
      </c>
      <c r="D438" s="14" t="str">
        <f>""</f>
        <v/>
      </c>
      <c r="E438" s="14" t="s">
        <v>1319</v>
      </c>
      <c r="F438" s="14" t="s">
        <v>1002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228</v>
      </c>
      <c r="P438" s="14" t="s">
        <v>260</v>
      </c>
      <c r="Q438" s="14" t="s">
        <v>260</v>
      </c>
      <c r="R438" s="14" t="s">
        <v>229</v>
      </c>
    </row>
    <row r="439" spans="1:18" s="14" customFormat="1" x14ac:dyDescent="0.25">
      <c r="A439" s="14" t="str">
        <f>"83570"</f>
        <v>83570</v>
      </c>
      <c r="B439" s="14" t="str">
        <f>"07010"</f>
        <v>07010</v>
      </c>
      <c r="C439" s="14" t="str">
        <f>"1800"</f>
        <v>1800</v>
      </c>
      <c r="D439" s="14" t="str">
        <f>""</f>
        <v/>
      </c>
      <c r="E439" s="14" t="s">
        <v>1320</v>
      </c>
      <c r="F439" s="14" t="s">
        <v>1002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228</v>
      </c>
      <c r="P439" s="14" t="s">
        <v>260</v>
      </c>
      <c r="Q439" s="14" t="s">
        <v>260</v>
      </c>
      <c r="R439" s="14" t="s">
        <v>229</v>
      </c>
    </row>
    <row r="440" spans="1:18" s="14" customFormat="1" x14ac:dyDescent="0.25">
      <c r="A440" s="14" t="str">
        <f>"83571"</f>
        <v>83571</v>
      </c>
      <c r="B440" s="14" t="str">
        <f>"07010"</f>
        <v>07010</v>
      </c>
      <c r="C440" s="14" t="str">
        <f>"1800"</f>
        <v>1800</v>
      </c>
      <c r="D440" s="14" t="str">
        <f>""</f>
        <v/>
      </c>
      <c r="E440" s="14" t="s">
        <v>1321</v>
      </c>
      <c r="F440" s="14" t="s">
        <v>1002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228</v>
      </c>
      <c r="P440" s="14" t="s">
        <v>260</v>
      </c>
      <c r="Q440" s="14" t="s">
        <v>260</v>
      </c>
      <c r="R440" s="14" t="s">
        <v>229</v>
      </c>
    </row>
    <row r="441" spans="1:18" s="14" customFormat="1" x14ac:dyDescent="0.25">
      <c r="A441" s="14" t="str">
        <f>"83572"</f>
        <v>83572</v>
      </c>
      <c r="B441" s="14" t="str">
        <f>"07010"</f>
        <v>07010</v>
      </c>
      <c r="C441" s="14" t="str">
        <f>"1800"</f>
        <v>1800</v>
      </c>
      <c r="D441" s="14" t="str">
        <f>""</f>
        <v/>
      </c>
      <c r="E441" s="14" t="s">
        <v>1322</v>
      </c>
      <c r="F441" s="14" t="s">
        <v>1002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228</v>
      </c>
      <c r="P441" s="14" t="s">
        <v>260</v>
      </c>
      <c r="Q441" s="14" t="s">
        <v>260</v>
      </c>
      <c r="R441" s="14" t="s">
        <v>229</v>
      </c>
    </row>
    <row r="442" spans="1:18" s="14" customFormat="1" x14ac:dyDescent="0.25">
      <c r="A442" s="14" t="str">
        <f>"83573"</f>
        <v>83573</v>
      </c>
      <c r="B442" s="14" t="str">
        <f>"07010"</f>
        <v>07010</v>
      </c>
      <c r="C442" s="14" t="str">
        <f>"1800"</f>
        <v>1800</v>
      </c>
      <c r="D442" s="14" t="str">
        <f>""</f>
        <v/>
      </c>
      <c r="E442" s="14" t="s">
        <v>1323</v>
      </c>
      <c r="F442" s="14" t="s">
        <v>1002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228</v>
      </c>
      <c r="P442" s="14" t="s">
        <v>260</v>
      </c>
      <c r="Q442" s="14" t="s">
        <v>260</v>
      </c>
      <c r="R442" s="14" t="s">
        <v>229</v>
      </c>
    </row>
    <row r="443" spans="1:18" s="14" customFormat="1" x14ac:dyDescent="0.25">
      <c r="A443" s="14" t="str">
        <f>"83577"</f>
        <v>83577</v>
      </c>
      <c r="B443" s="14" t="str">
        <f>"07010"</f>
        <v>07010</v>
      </c>
      <c r="C443" s="14" t="str">
        <f>"1800"</f>
        <v>1800</v>
      </c>
      <c r="D443" s="14" t="str">
        <f>""</f>
        <v/>
      </c>
      <c r="E443" s="14" t="s">
        <v>1324</v>
      </c>
      <c r="F443" s="14" t="s">
        <v>1002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228</v>
      </c>
      <c r="P443" s="14" t="s">
        <v>260</v>
      </c>
      <c r="Q443" s="14" t="s">
        <v>260</v>
      </c>
      <c r="R443" s="14" t="s">
        <v>229</v>
      </c>
    </row>
    <row r="444" spans="1:18" s="14" customFormat="1" x14ac:dyDescent="0.25">
      <c r="A444" s="14" t="str">
        <f>"83578"</f>
        <v>83578</v>
      </c>
      <c r="B444" s="14" t="str">
        <f>"07010"</f>
        <v>07010</v>
      </c>
      <c r="C444" s="14" t="str">
        <f>"1800"</f>
        <v>1800</v>
      </c>
      <c r="D444" s="14" t="str">
        <f>""</f>
        <v/>
      </c>
      <c r="E444" s="14" t="s">
        <v>1325</v>
      </c>
      <c r="F444" s="14" t="s">
        <v>1002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228</v>
      </c>
      <c r="P444" s="14" t="s">
        <v>260</v>
      </c>
      <c r="Q444" s="14" t="s">
        <v>260</v>
      </c>
      <c r="R444" s="14" t="s">
        <v>229</v>
      </c>
    </row>
    <row r="445" spans="1:18" s="14" customFormat="1" x14ac:dyDescent="0.25">
      <c r="A445" s="14" t="str">
        <f>"83579"</f>
        <v>83579</v>
      </c>
      <c r="B445" s="14" t="str">
        <f>"07010"</f>
        <v>07010</v>
      </c>
      <c r="C445" s="14" t="str">
        <f>"1800"</f>
        <v>1800</v>
      </c>
      <c r="D445" s="14" t="str">
        <f>""</f>
        <v/>
      </c>
      <c r="E445" s="14" t="s">
        <v>1326</v>
      </c>
      <c r="F445" s="14" t="s">
        <v>1002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228</v>
      </c>
      <c r="P445" s="14" t="s">
        <v>260</v>
      </c>
      <c r="Q445" s="14" t="s">
        <v>260</v>
      </c>
      <c r="R445" s="14" t="s">
        <v>229</v>
      </c>
    </row>
    <row r="446" spans="1:18" s="14" customFormat="1" x14ac:dyDescent="0.25">
      <c r="A446" s="14" t="str">
        <f>"83581"</f>
        <v>83581</v>
      </c>
      <c r="B446" s="14" t="str">
        <f>"07010"</f>
        <v>07010</v>
      </c>
      <c r="C446" s="14" t="str">
        <f>"1800"</f>
        <v>1800</v>
      </c>
      <c r="D446" s="14" t="str">
        <f>""</f>
        <v/>
      </c>
      <c r="E446" s="14" t="s">
        <v>1327</v>
      </c>
      <c r="F446" s="14" t="s">
        <v>1002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228</v>
      </c>
      <c r="P446" s="14" t="s">
        <v>260</v>
      </c>
      <c r="Q446" s="14" t="s">
        <v>260</v>
      </c>
      <c r="R446" s="14" t="s">
        <v>229</v>
      </c>
    </row>
    <row r="447" spans="1:18" s="14" customFormat="1" x14ac:dyDescent="0.25">
      <c r="A447" s="14" t="str">
        <f>"83582"</f>
        <v>83582</v>
      </c>
      <c r="B447" s="14" t="str">
        <f>"07010"</f>
        <v>07010</v>
      </c>
      <c r="C447" s="14" t="str">
        <f>"1800"</f>
        <v>1800</v>
      </c>
      <c r="D447" s="14" t="str">
        <f>""</f>
        <v/>
      </c>
      <c r="E447" s="14" t="s">
        <v>1328</v>
      </c>
      <c r="F447" s="14" t="s">
        <v>1002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228</v>
      </c>
      <c r="P447" s="14" t="s">
        <v>260</v>
      </c>
      <c r="Q447" s="14" t="s">
        <v>260</v>
      </c>
      <c r="R447" s="14" t="s">
        <v>229</v>
      </c>
    </row>
    <row r="448" spans="1:18" s="14" customFormat="1" x14ac:dyDescent="0.25">
      <c r="A448" s="14" t="str">
        <f>"83586"</f>
        <v>83586</v>
      </c>
      <c r="B448" s="14" t="str">
        <f>"07010"</f>
        <v>07010</v>
      </c>
      <c r="C448" s="14" t="str">
        <f>"1800"</f>
        <v>1800</v>
      </c>
      <c r="D448" s="14" t="str">
        <f>""</f>
        <v/>
      </c>
      <c r="E448" s="14" t="s">
        <v>1329</v>
      </c>
      <c r="F448" s="14" t="s">
        <v>1002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228</v>
      </c>
      <c r="P448" s="14" t="s">
        <v>260</v>
      </c>
      <c r="Q448" s="14" t="s">
        <v>260</v>
      </c>
      <c r="R448" s="14" t="s">
        <v>229</v>
      </c>
    </row>
    <row r="449" spans="1:18" s="14" customFormat="1" x14ac:dyDescent="0.25">
      <c r="A449" s="14" t="str">
        <f>"83588"</f>
        <v>83588</v>
      </c>
      <c r="B449" s="14" t="str">
        <f>"07010"</f>
        <v>07010</v>
      </c>
      <c r="C449" s="14" t="str">
        <f>"1800"</f>
        <v>1800</v>
      </c>
      <c r="D449" s="14" t="str">
        <f>""</f>
        <v/>
      </c>
      <c r="E449" s="14" t="s">
        <v>1330</v>
      </c>
      <c r="F449" s="14" t="s">
        <v>1002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228</v>
      </c>
      <c r="P449" s="14" t="s">
        <v>260</v>
      </c>
      <c r="Q449" s="14" t="s">
        <v>260</v>
      </c>
      <c r="R449" s="14" t="s">
        <v>229</v>
      </c>
    </row>
    <row r="450" spans="1:18" s="14" customFormat="1" x14ac:dyDescent="0.25">
      <c r="A450" s="14" t="str">
        <f>"83590"</f>
        <v>83590</v>
      </c>
      <c r="B450" s="14" t="str">
        <f>"07010"</f>
        <v>07010</v>
      </c>
      <c r="C450" s="14" t="str">
        <f>"1800"</f>
        <v>1800</v>
      </c>
      <c r="D450" s="14" t="str">
        <f>""</f>
        <v/>
      </c>
      <c r="E450" s="14" t="s">
        <v>1331</v>
      </c>
      <c r="F450" s="14" t="s">
        <v>1002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228</v>
      </c>
      <c r="P450" s="14" t="s">
        <v>260</v>
      </c>
      <c r="Q450" s="14" t="s">
        <v>260</v>
      </c>
      <c r="R450" s="14" t="s">
        <v>229</v>
      </c>
    </row>
    <row r="451" spans="1:18" s="14" customFormat="1" x14ac:dyDescent="0.25">
      <c r="A451" s="14" t="str">
        <f>"83591"</f>
        <v>83591</v>
      </c>
      <c r="B451" s="14" t="str">
        <f>"07010"</f>
        <v>07010</v>
      </c>
      <c r="C451" s="14" t="str">
        <f>"1800"</f>
        <v>1800</v>
      </c>
      <c r="D451" s="14" t="str">
        <f>""</f>
        <v/>
      </c>
      <c r="E451" s="14" t="s">
        <v>1332</v>
      </c>
      <c r="F451" s="14" t="s">
        <v>1002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228</v>
      </c>
      <c r="P451" s="14" t="s">
        <v>260</v>
      </c>
      <c r="Q451" s="14" t="s">
        <v>260</v>
      </c>
      <c r="R451" s="14" t="s">
        <v>229</v>
      </c>
    </row>
    <row r="452" spans="1:18" s="14" customFormat="1" x14ac:dyDescent="0.25">
      <c r="A452" s="14" t="str">
        <f>"83592"</f>
        <v>83592</v>
      </c>
      <c r="B452" s="14" t="str">
        <f>"07010"</f>
        <v>07010</v>
      </c>
      <c r="C452" s="14" t="str">
        <f>"1800"</f>
        <v>1800</v>
      </c>
      <c r="D452" s="14" t="str">
        <f>""</f>
        <v/>
      </c>
      <c r="E452" s="14" t="s">
        <v>1333</v>
      </c>
      <c r="F452" s="14" t="s">
        <v>1002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228</v>
      </c>
      <c r="P452" s="14" t="s">
        <v>260</v>
      </c>
      <c r="Q452" s="14" t="s">
        <v>260</v>
      </c>
      <c r="R452" s="14" t="s">
        <v>229</v>
      </c>
    </row>
    <row r="453" spans="1:18" s="14" customFormat="1" x14ac:dyDescent="0.25">
      <c r="A453" s="14" t="str">
        <f>"83593"</f>
        <v>83593</v>
      </c>
      <c r="B453" s="14" t="str">
        <f>"07010"</f>
        <v>07010</v>
      </c>
      <c r="C453" s="14" t="str">
        <f>"1800"</f>
        <v>1800</v>
      </c>
      <c r="D453" s="14" t="str">
        <f>""</f>
        <v/>
      </c>
      <c r="E453" s="14" t="s">
        <v>1334</v>
      </c>
      <c r="F453" s="14" t="s">
        <v>1002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228</v>
      </c>
      <c r="P453" s="14" t="s">
        <v>260</v>
      </c>
      <c r="Q453" s="14" t="s">
        <v>260</v>
      </c>
      <c r="R453" s="14" t="s">
        <v>229</v>
      </c>
    </row>
    <row r="454" spans="1:18" s="14" customFormat="1" x14ac:dyDescent="0.25">
      <c r="A454" s="14" t="str">
        <f>"83595"</f>
        <v>83595</v>
      </c>
      <c r="B454" s="14" t="str">
        <f>"07010"</f>
        <v>07010</v>
      </c>
      <c r="C454" s="14" t="str">
        <f>"1800"</f>
        <v>1800</v>
      </c>
      <c r="D454" s="14" t="str">
        <f>""</f>
        <v/>
      </c>
      <c r="E454" s="14" t="s">
        <v>1335</v>
      </c>
      <c r="F454" s="14" t="s">
        <v>1002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228</v>
      </c>
      <c r="P454" s="14" t="s">
        <v>260</v>
      </c>
      <c r="Q454" s="14" t="s">
        <v>260</v>
      </c>
      <c r="R454" s="14" t="s">
        <v>229</v>
      </c>
    </row>
    <row r="455" spans="1:18" s="14" customFormat="1" x14ac:dyDescent="0.25">
      <c r="A455" s="14" t="str">
        <f>"83597"</f>
        <v>83597</v>
      </c>
      <c r="B455" s="14" t="str">
        <f>"07010"</f>
        <v>07010</v>
      </c>
      <c r="C455" s="14" t="str">
        <f>"1800"</f>
        <v>1800</v>
      </c>
      <c r="D455" s="14" t="str">
        <f>""</f>
        <v/>
      </c>
      <c r="E455" s="14" t="s">
        <v>1336</v>
      </c>
      <c r="F455" s="14" t="s">
        <v>1002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228</v>
      </c>
      <c r="P455" s="14" t="s">
        <v>260</v>
      </c>
      <c r="Q455" s="14" t="s">
        <v>260</v>
      </c>
      <c r="R455" s="14" t="s">
        <v>229</v>
      </c>
    </row>
    <row r="456" spans="1:18" s="14" customFormat="1" x14ac:dyDescent="0.25">
      <c r="A456" s="14" t="str">
        <f>"83598"</f>
        <v>83598</v>
      </c>
      <c r="B456" s="14" t="str">
        <f>"07010"</f>
        <v>07010</v>
      </c>
      <c r="C456" s="14" t="str">
        <f>"1800"</f>
        <v>1800</v>
      </c>
      <c r="D456" s="14" t="str">
        <f>""</f>
        <v/>
      </c>
      <c r="E456" s="14" t="s">
        <v>1337</v>
      </c>
      <c r="F456" s="14" t="s">
        <v>1002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228</v>
      </c>
      <c r="P456" s="14" t="s">
        <v>260</v>
      </c>
      <c r="Q456" s="14" t="s">
        <v>260</v>
      </c>
      <c r="R456" s="14" t="s">
        <v>229</v>
      </c>
    </row>
    <row r="457" spans="1:18" s="14" customFormat="1" x14ac:dyDescent="0.25">
      <c r="A457" s="14" t="str">
        <f>"83599"</f>
        <v>83599</v>
      </c>
      <c r="B457" s="14" t="str">
        <f>"07010"</f>
        <v>07010</v>
      </c>
      <c r="C457" s="14" t="str">
        <f>"1800"</f>
        <v>1800</v>
      </c>
      <c r="D457" s="14" t="str">
        <f>""</f>
        <v/>
      </c>
      <c r="E457" s="14" t="s">
        <v>1338</v>
      </c>
      <c r="F457" s="14" t="s">
        <v>1002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228</v>
      </c>
      <c r="P457" s="14" t="s">
        <v>260</v>
      </c>
      <c r="Q457" s="14" t="s">
        <v>260</v>
      </c>
      <c r="R457" s="14" t="s">
        <v>229</v>
      </c>
    </row>
    <row r="458" spans="1:18" s="14" customFormat="1" x14ac:dyDescent="0.25">
      <c r="A458" s="14" t="str">
        <f>"83600"</f>
        <v>83600</v>
      </c>
      <c r="B458" s="14" t="str">
        <f>"07010"</f>
        <v>07010</v>
      </c>
      <c r="C458" s="14" t="str">
        <f>"1800"</f>
        <v>1800</v>
      </c>
      <c r="D458" s="14" t="str">
        <f>""</f>
        <v/>
      </c>
      <c r="E458" s="14" t="s">
        <v>1339</v>
      </c>
      <c r="F458" s="14" t="s">
        <v>1002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228</v>
      </c>
      <c r="P458" s="14" t="s">
        <v>260</v>
      </c>
      <c r="Q458" s="14" t="s">
        <v>260</v>
      </c>
      <c r="R458" s="14" t="s">
        <v>229</v>
      </c>
    </row>
    <row r="459" spans="1:18" s="14" customFormat="1" x14ac:dyDescent="0.25">
      <c r="A459" s="14" t="str">
        <f>"83603"</f>
        <v>83603</v>
      </c>
      <c r="B459" s="14" t="str">
        <f>"07010"</f>
        <v>07010</v>
      </c>
      <c r="C459" s="14" t="str">
        <f>"1800"</f>
        <v>1800</v>
      </c>
      <c r="D459" s="14" t="str">
        <f>""</f>
        <v/>
      </c>
      <c r="E459" s="14" t="s">
        <v>1340</v>
      </c>
      <c r="F459" s="14" t="s">
        <v>1002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228</v>
      </c>
      <c r="P459" s="14" t="s">
        <v>260</v>
      </c>
      <c r="Q459" s="14" t="s">
        <v>260</v>
      </c>
      <c r="R459" s="14" t="s">
        <v>229</v>
      </c>
    </row>
    <row r="460" spans="1:18" s="14" customFormat="1" x14ac:dyDescent="0.25">
      <c r="A460" s="14" t="str">
        <f>"83606"</f>
        <v>83606</v>
      </c>
      <c r="B460" s="14" t="str">
        <f>"07010"</f>
        <v>07010</v>
      </c>
      <c r="C460" s="14" t="str">
        <f>"1800"</f>
        <v>1800</v>
      </c>
      <c r="D460" s="14" t="str">
        <f>""</f>
        <v/>
      </c>
      <c r="E460" s="14" t="s">
        <v>1341</v>
      </c>
      <c r="F460" s="14" t="s">
        <v>1002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228</v>
      </c>
      <c r="P460" s="14" t="s">
        <v>260</v>
      </c>
      <c r="Q460" s="14" t="s">
        <v>260</v>
      </c>
      <c r="R460" s="14" t="s">
        <v>229</v>
      </c>
    </row>
    <row r="461" spans="1:18" s="14" customFormat="1" x14ac:dyDescent="0.25">
      <c r="A461" s="14" t="str">
        <f>"83607"</f>
        <v>83607</v>
      </c>
      <c r="B461" s="14" t="str">
        <f>"07010"</f>
        <v>07010</v>
      </c>
      <c r="C461" s="14" t="str">
        <f>"1800"</f>
        <v>1800</v>
      </c>
      <c r="D461" s="14" t="str">
        <f>""</f>
        <v/>
      </c>
      <c r="E461" s="14" t="s">
        <v>1342</v>
      </c>
      <c r="F461" s="14" t="s">
        <v>1002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228</v>
      </c>
      <c r="P461" s="14" t="s">
        <v>260</v>
      </c>
      <c r="Q461" s="14" t="s">
        <v>260</v>
      </c>
      <c r="R461" s="14" t="s">
        <v>229</v>
      </c>
    </row>
    <row r="462" spans="1:18" s="14" customFormat="1" x14ac:dyDescent="0.25">
      <c r="A462" s="14" t="str">
        <f>"83608"</f>
        <v>83608</v>
      </c>
      <c r="B462" s="14" t="str">
        <f>"07010"</f>
        <v>07010</v>
      </c>
      <c r="C462" s="14" t="str">
        <f>"1800"</f>
        <v>1800</v>
      </c>
      <c r="D462" s="14" t="str">
        <f>""</f>
        <v/>
      </c>
      <c r="E462" s="14" t="s">
        <v>1343</v>
      </c>
      <c r="F462" s="14" t="s">
        <v>1002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228</v>
      </c>
      <c r="P462" s="14" t="s">
        <v>260</v>
      </c>
      <c r="Q462" s="14" t="s">
        <v>260</v>
      </c>
      <c r="R462" s="14" t="s">
        <v>229</v>
      </c>
    </row>
    <row r="463" spans="1:18" s="14" customFormat="1" x14ac:dyDescent="0.25">
      <c r="A463" s="14" t="str">
        <f>"83611"</f>
        <v>83611</v>
      </c>
      <c r="B463" s="14" t="str">
        <f>"07010"</f>
        <v>07010</v>
      </c>
      <c r="C463" s="14" t="str">
        <f>"1800"</f>
        <v>1800</v>
      </c>
      <c r="D463" s="14" t="str">
        <f>""</f>
        <v/>
      </c>
      <c r="E463" s="14" t="s">
        <v>1344</v>
      </c>
      <c r="F463" s="14" t="s">
        <v>1002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228</v>
      </c>
      <c r="P463" s="14" t="s">
        <v>260</v>
      </c>
      <c r="Q463" s="14" t="s">
        <v>260</v>
      </c>
      <c r="R463" s="14" t="s">
        <v>229</v>
      </c>
    </row>
    <row r="464" spans="1:18" s="14" customFormat="1" x14ac:dyDescent="0.25">
      <c r="A464" s="14" t="str">
        <f>"83615"</f>
        <v>83615</v>
      </c>
      <c r="B464" s="14" t="str">
        <f>"07010"</f>
        <v>07010</v>
      </c>
      <c r="C464" s="14" t="str">
        <f>"1800"</f>
        <v>1800</v>
      </c>
      <c r="D464" s="14" t="str">
        <f>""</f>
        <v/>
      </c>
      <c r="E464" s="14" t="s">
        <v>1345</v>
      </c>
      <c r="F464" s="14" t="s">
        <v>1002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228</v>
      </c>
      <c r="P464" s="14" t="s">
        <v>260</v>
      </c>
      <c r="Q464" s="14" t="s">
        <v>260</v>
      </c>
      <c r="R464" s="14" t="s">
        <v>229</v>
      </c>
    </row>
    <row r="465" spans="1:18" s="14" customFormat="1" x14ac:dyDescent="0.25">
      <c r="A465" s="14" t="str">
        <f>"83616"</f>
        <v>83616</v>
      </c>
      <c r="B465" s="14" t="str">
        <f>"07010"</f>
        <v>07010</v>
      </c>
      <c r="C465" s="14" t="str">
        <f>"1800"</f>
        <v>1800</v>
      </c>
      <c r="D465" s="14" t="str">
        <f>""</f>
        <v/>
      </c>
      <c r="E465" s="14" t="s">
        <v>1346</v>
      </c>
      <c r="F465" s="14" t="s">
        <v>1002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228</v>
      </c>
      <c r="P465" s="14" t="s">
        <v>260</v>
      </c>
      <c r="Q465" s="14" t="s">
        <v>260</v>
      </c>
      <c r="R465" s="14" t="s">
        <v>229</v>
      </c>
    </row>
    <row r="466" spans="1:18" s="14" customFormat="1" x14ac:dyDescent="0.25">
      <c r="A466" s="14" t="str">
        <f>"83619"</f>
        <v>83619</v>
      </c>
      <c r="B466" s="14" t="str">
        <f>"07010"</f>
        <v>07010</v>
      </c>
      <c r="C466" s="14" t="str">
        <f>"1800"</f>
        <v>1800</v>
      </c>
      <c r="D466" s="14" t="str">
        <f>""</f>
        <v/>
      </c>
      <c r="E466" s="14" t="s">
        <v>1347</v>
      </c>
      <c r="F466" s="14" t="s">
        <v>1002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228</v>
      </c>
      <c r="P466" s="14" t="s">
        <v>260</v>
      </c>
      <c r="Q466" s="14" t="s">
        <v>260</v>
      </c>
      <c r="R466" s="14" t="s">
        <v>229</v>
      </c>
    </row>
    <row r="467" spans="1:18" s="14" customFormat="1" x14ac:dyDescent="0.25">
      <c r="A467" s="14" t="str">
        <f>"83620"</f>
        <v>83620</v>
      </c>
      <c r="B467" s="14" t="str">
        <f>"07010"</f>
        <v>07010</v>
      </c>
      <c r="C467" s="14" t="str">
        <f>"1800"</f>
        <v>1800</v>
      </c>
      <c r="D467" s="14" t="str">
        <f>""</f>
        <v/>
      </c>
      <c r="E467" s="14" t="s">
        <v>1348</v>
      </c>
      <c r="F467" s="14" t="s">
        <v>1002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228</v>
      </c>
      <c r="P467" s="14" t="s">
        <v>260</v>
      </c>
      <c r="Q467" s="14" t="s">
        <v>260</v>
      </c>
      <c r="R467" s="14" t="s">
        <v>229</v>
      </c>
    </row>
    <row r="468" spans="1:18" s="14" customFormat="1" x14ac:dyDescent="0.25">
      <c r="A468" s="14" t="str">
        <f>"83621"</f>
        <v>83621</v>
      </c>
      <c r="B468" s="14" t="str">
        <f>"07010"</f>
        <v>07010</v>
      </c>
      <c r="C468" s="14" t="str">
        <f>"1800"</f>
        <v>1800</v>
      </c>
      <c r="D468" s="14" t="str">
        <f>""</f>
        <v/>
      </c>
      <c r="E468" s="14" t="s">
        <v>1349</v>
      </c>
      <c r="F468" s="14" t="s">
        <v>1002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228</v>
      </c>
      <c r="P468" s="14" t="s">
        <v>260</v>
      </c>
      <c r="Q468" s="14" t="s">
        <v>260</v>
      </c>
      <c r="R468" s="14" t="s">
        <v>229</v>
      </c>
    </row>
    <row r="469" spans="1:18" s="14" customFormat="1" x14ac:dyDescent="0.25">
      <c r="A469" s="14" t="str">
        <f>"83622"</f>
        <v>83622</v>
      </c>
      <c r="B469" s="14" t="str">
        <f>"07010"</f>
        <v>07010</v>
      </c>
      <c r="C469" s="14" t="str">
        <f>"1800"</f>
        <v>1800</v>
      </c>
      <c r="D469" s="14" t="str">
        <f>""</f>
        <v/>
      </c>
      <c r="E469" s="14" t="s">
        <v>1350</v>
      </c>
      <c r="F469" s="14" t="s">
        <v>1002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228</v>
      </c>
      <c r="P469" s="14" t="s">
        <v>260</v>
      </c>
      <c r="Q469" s="14" t="s">
        <v>260</v>
      </c>
      <c r="R469" s="14" t="s">
        <v>229</v>
      </c>
    </row>
    <row r="470" spans="1:18" s="14" customFormat="1" x14ac:dyDescent="0.25">
      <c r="A470" s="14" t="str">
        <f>"83623"</f>
        <v>83623</v>
      </c>
      <c r="B470" s="14" t="str">
        <f>"07010"</f>
        <v>07010</v>
      </c>
      <c r="C470" s="14" t="str">
        <f>"1800"</f>
        <v>1800</v>
      </c>
      <c r="D470" s="14" t="str">
        <f>""</f>
        <v/>
      </c>
      <c r="E470" s="14" t="s">
        <v>1351</v>
      </c>
      <c r="F470" s="14" t="s">
        <v>1002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228</v>
      </c>
      <c r="P470" s="14" t="s">
        <v>260</v>
      </c>
      <c r="Q470" s="14" t="s">
        <v>260</v>
      </c>
      <c r="R470" s="14" t="s">
        <v>229</v>
      </c>
    </row>
    <row r="471" spans="1:18" s="14" customFormat="1" x14ac:dyDescent="0.25">
      <c r="A471" s="14" t="str">
        <f>"83624"</f>
        <v>83624</v>
      </c>
      <c r="B471" s="14" t="str">
        <f>"07010"</f>
        <v>07010</v>
      </c>
      <c r="C471" s="14" t="str">
        <f>"1800"</f>
        <v>1800</v>
      </c>
      <c r="D471" s="14" t="str">
        <f>""</f>
        <v/>
      </c>
      <c r="E471" s="14" t="s">
        <v>1352</v>
      </c>
      <c r="F471" s="14" t="s">
        <v>1002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228</v>
      </c>
      <c r="P471" s="14" t="s">
        <v>260</v>
      </c>
      <c r="Q471" s="14" t="s">
        <v>260</v>
      </c>
      <c r="R471" s="14" t="s">
        <v>229</v>
      </c>
    </row>
    <row r="472" spans="1:18" s="14" customFormat="1" x14ac:dyDescent="0.25">
      <c r="A472" s="14" t="str">
        <f>"83625"</f>
        <v>83625</v>
      </c>
      <c r="B472" s="14" t="str">
        <f>"07010"</f>
        <v>07010</v>
      </c>
      <c r="C472" s="14" t="str">
        <f>"1800"</f>
        <v>1800</v>
      </c>
      <c r="D472" s="14" t="str">
        <f>""</f>
        <v/>
      </c>
      <c r="E472" s="14" t="s">
        <v>1353</v>
      </c>
      <c r="F472" s="14" t="s">
        <v>1002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228</v>
      </c>
      <c r="P472" s="14" t="s">
        <v>260</v>
      </c>
      <c r="Q472" s="14" t="s">
        <v>260</v>
      </c>
      <c r="R472" s="14" t="s">
        <v>229</v>
      </c>
    </row>
    <row r="473" spans="1:18" s="14" customFormat="1" x14ac:dyDescent="0.25">
      <c r="A473" s="14" t="str">
        <f>"83626"</f>
        <v>83626</v>
      </c>
      <c r="B473" s="14" t="str">
        <f>"07010"</f>
        <v>07010</v>
      </c>
      <c r="C473" s="14" t="str">
        <f>"1800"</f>
        <v>1800</v>
      </c>
      <c r="D473" s="14" t="str">
        <f>""</f>
        <v/>
      </c>
      <c r="E473" s="14" t="s">
        <v>1354</v>
      </c>
      <c r="F473" s="14" t="s">
        <v>1002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228</v>
      </c>
      <c r="P473" s="14" t="s">
        <v>260</v>
      </c>
      <c r="Q473" s="14" t="s">
        <v>260</v>
      </c>
      <c r="R473" s="14" t="s">
        <v>229</v>
      </c>
    </row>
    <row r="474" spans="1:18" s="14" customFormat="1" x14ac:dyDescent="0.25">
      <c r="A474" s="14" t="str">
        <f>"83627"</f>
        <v>83627</v>
      </c>
      <c r="B474" s="14" t="str">
        <f>"07010"</f>
        <v>07010</v>
      </c>
      <c r="C474" s="14" t="str">
        <f>"1800"</f>
        <v>1800</v>
      </c>
      <c r="D474" s="14" t="str">
        <f>""</f>
        <v/>
      </c>
      <c r="E474" s="14" t="s">
        <v>1355</v>
      </c>
      <c r="F474" s="14" t="s">
        <v>1002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228</v>
      </c>
      <c r="P474" s="14" t="s">
        <v>260</v>
      </c>
      <c r="Q474" s="14" t="s">
        <v>260</v>
      </c>
      <c r="R474" s="14" t="s">
        <v>229</v>
      </c>
    </row>
    <row r="475" spans="1:18" s="14" customFormat="1" x14ac:dyDescent="0.25">
      <c r="A475" s="14" t="str">
        <f>"83630"</f>
        <v>83630</v>
      </c>
      <c r="B475" s="14" t="str">
        <f>"07010"</f>
        <v>07010</v>
      </c>
      <c r="C475" s="14" t="str">
        <f>"1800"</f>
        <v>1800</v>
      </c>
      <c r="D475" s="14" t="str">
        <f>""</f>
        <v/>
      </c>
      <c r="E475" s="14" t="s">
        <v>1356</v>
      </c>
      <c r="F475" s="14" t="s">
        <v>1002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228</v>
      </c>
      <c r="P475" s="14" t="s">
        <v>260</v>
      </c>
      <c r="Q475" s="14" t="s">
        <v>260</v>
      </c>
      <c r="R475" s="14" t="s">
        <v>229</v>
      </c>
    </row>
    <row r="476" spans="1:18" s="14" customFormat="1" x14ac:dyDescent="0.25">
      <c r="A476" s="14" t="str">
        <f>"83633"</f>
        <v>83633</v>
      </c>
      <c r="B476" s="14" t="str">
        <f>"07010"</f>
        <v>07010</v>
      </c>
      <c r="C476" s="14" t="str">
        <f>"1800"</f>
        <v>1800</v>
      </c>
      <c r="D476" s="14" t="str">
        <f>""</f>
        <v/>
      </c>
      <c r="E476" s="14" t="s">
        <v>1357</v>
      </c>
      <c r="F476" s="14" t="s">
        <v>1002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228</v>
      </c>
      <c r="P476" s="14" t="s">
        <v>260</v>
      </c>
      <c r="Q476" s="14" t="s">
        <v>260</v>
      </c>
      <c r="R476" s="14" t="s">
        <v>229</v>
      </c>
    </row>
    <row r="477" spans="1:18" s="14" customFormat="1" x14ac:dyDescent="0.25">
      <c r="A477" s="14" t="str">
        <f>"83636"</f>
        <v>83636</v>
      </c>
      <c r="B477" s="14" t="str">
        <f>"07010"</f>
        <v>07010</v>
      </c>
      <c r="C477" s="14" t="str">
        <f>"1800"</f>
        <v>1800</v>
      </c>
      <c r="D477" s="14" t="str">
        <f>""</f>
        <v/>
      </c>
      <c r="E477" s="14" t="s">
        <v>1358</v>
      </c>
      <c r="F477" s="14" t="s">
        <v>1002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228</v>
      </c>
      <c r="P477" s="14" t="s">
        <v>260</v>
      </c>
      <c r="Q477" s="14" t="s">
        <v>260</v>
      </c>
      <c r="R477" s="14" t="s">
        <v>229</v>
      </c>
    </row>
    <row r="478" spans="1:18" s="14" customFormat="1" x14ac:dyDescent="0.25">
      <c r="A478" s="14" t="str">
        <f>"83638"</f>
        <v>83638</v>
      </c>
      <c r="B478" s="14" t="str">
        <f>"07010"</f>
        <v>07010</v>
      </c>
      <c r="C478" s="14" t="str">
        <f>"1800"</f>
        <v>1800</v>
      </c>
      <c r="D478" s="14" t="str">
        <f>""</f>
        <v/>
      </c>
      <c r="E478" s="14" t="s">
        <v>1359</v>
      </c>
      <c r="F478" s="14" t="s">
        <v>1002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228</v>
      </c>
      <c r="P478" s="14" t="s">
        <v>260</v>
      </c>
      <c r="Q478" s="14" t="s">
        <v>260</v>
      </c>
      <c r="R478" s="14" t="s">
        <v>229</v>
      </c>
    </row>
    <row r="479" spans="1:18" s="14" customFormat="1" x14ac:dyDescent="0.25">
      <c r="A479" s="14" t="str">
        <f>"83639"</f>
        <v>83639</v>
      </c>
      <c r="B479" s="14" t="str">
        <f>"07010"</f>
        <v>07010</v>
      </c>
      <c r="C479" s="14" t="str">
        <f>"1800"</f>
        <v>1800</v>
      </c>
      <c r="D479" s="14" t="str">
        <f>""</f>
        <v/>
      </c>
      <c r="E479" s="14" t="s">
        <v>1360</v>
      </c>
      <c r="F479" s="14" t="s">
        <v>1002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228</v>
      </c>
      <c r="P479" s="14" t="s">
        <v>260</v>
      </c>
      <c r="Q479" s="14" t="s">
        <v>260</v>
      </c>
      <c r="R479" s="14" t="s">
        <v>229</v>
      </c>
    </row>
    <row r="480" spans="1:18" s="14" customFormat="1" x14ac:dyDescent="0.25">
      <c r="A480" s="14" t="str">
        <f>"83640"</f>
        <v>83640</v>
      </c>
      <c r="B480" s="14" t="str">
        <f>"07010"</f>
        <v>07010</v>
      </c>
      <c r="C480" s="14" t="str">
        <f>"1800"</f>
        <v>1800</v>
      </c>
      <c r="D480" s="14" t="str">
        <f>""</f>
        <v/>
      </c>
      <c r="E480" s="14" t="s">
        <v>1361</v>
      </c>
      <c r="F480" s="14" t="s">
        <v>1002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228</v>
      </c>
      <c r="P480" s="14" t="s">
        <v>260</v>
      </c>
      <c r="Q480" s="14" t="s">
        <v>260</v>
      </c>
      <c r="R480" s="14" t="s">
        <v>229</v>
      </c>
    </row>
    <row r="481" spans="1:18" s="14" customFormat="1" x14ac:dyDescent="0.25">
      <c r="A481" s="14" t="str">
        <f>"83641"</f>
        <v>83641</v>
      </c>
      <c r="B481" s="14" t="str">
        <f>"07010"</f>
        <v>07010</v>
      </c>
      <c r="C481" s="14" t="str">
        <f>"1800"</f>
        <v>1800</v>
      </c>
      <c r="D481" s="14" t="str">
        <f>""</f>
        <v/>
      </c>
      <c r="E481" s="14" t="s">
        <v>1362</v>
      </c>
      <c r="F481" s="14" t="s">
        <v>1002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228</v>
      </c>
      <c r="P481" s="14" t="s">
        <v>260</v>
      </c>
      <c r="Q481" s="14" t="s">
        <v>260</v>
      </c>
      <c r="R481" s="14" t="s">
        <v>229</v>
      </c>
    </row>
    <row r="482" spans="1:18" s="14" customFormat="1" x14ac:dyDescent="0.25">
      <c r="A482" s="14" t="str">
        <f>"83642"</f>
        <v>83642</v>
      </c>
      <c r="B482" s="14" t="str">
        <f>"07010"</f>
        <v>07010</v>
      </c>
      <c r="C482" s="14" t="str">
        <f>"1800"</f>
        <v>1800</v>
      </c>
      <c r="D482" s="14" t="str">
        <f>""</f>
        <v/>
      </c>
      <c r="E482" s="14" t="s">
        <v>1363</v>
      </c>
      <c r="F482" s="14" t="s">
        <v>1002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228</v>
      </c>
      <c r="P482" s="14" t="s">
        <v>260</v>
      </c>
      <c r="Q482" s="14" t="s">
        <v>260</v>
      </c>
      <c r="R482" s="14" t="s">
        <v>229</v>
      </c>
    </row>
    <row r="483" spans="1:18" s="14" customFormat="1" x14ac:dyDescent="0.25">
      <c r="A483" s="14" t="str">
        <f>"83643"</f>
        <v>83643</v>
      </c>
      <c r="B483" s="14" t="str">
        <f>"07010"</f>
        <v>07010</v>
      </c>
      <c r="C483" s="14" t="str">
        <f>"1800"</f>
        <v>1800</v>
      </c>
      <c r="D483" s="14" t="str">
        <f>""</f>
        <v/>
      </c>
      <c r="E483" s="14" t="s">
        <v>1364</v>
      </c>
      <c r="F483" s="14" t="s">
        <v>1002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228</v>
      </c>
      <c r="P483" s="14" t="s">
        <v>260</v>
      </c>
      <c r="Q483" s="14" t="s">
        <v>260</v>
      </c>
      <c r="R483" s="14" t="s">
        <v>229</v>
      </c>
    </row>
    <row r="484" spans="1:18" s="14" customFormat="1" x14ac:dyDescent="0.25">
      <c r="A484" s="14" t="str">
        <f>"83645"</f>
        <v>83645</v>
      </c>
      <c r="B484" s="14" t="str">
        <f>"07010"</f>
        <v>07010</v>
      </c>
      <c r="C484" s="14" t="str">
        <f>"1800"</f>
        <v>1800</v>
      </c>
      <c r="D484" s="14" t="str">
        <f>""</f>
        <v/>
      </c>
      <c r="E484" s="14" t="s">
        <v>1365</v>
      </c>
      <c r="F484" s="14" t="s">
        <v>1002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228</v>
      </c>
      <c r="P484" s="14" t="s">
        <v>260</v>
      </c>
      <c r="Q484" s="14" t="s">
        <v>260</v>
      </c>
      <c r="R484" s="14" t="s">
        <v>229</v>
      </c>
    </row>
    <row r="485" spans="1:18" s="14" customFormat="1" x14ac:dyDescent="0.25">
      <c r="A485" s="14" t="str">
        <f>"83646"</f>
        <v>83646</v>
      </c>
      <c r="B485" s="14" t="str">
        <f>"07010"</f>
        <v>07010</v>
      </c>
      <c r="C485" s="14" t="str">
        <f>"1800"</f>
        <v>1800</v>
      </c>
      <c r="D485" s="14" t="str">
        <f>""</f>
        <v/>
      </c>
      <c r="E485" s="14" t="s">
        <v>1366</v>
      </c>
      <c r="F485" s="14" t="s">
        <v>1002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228</v>
      </c>
      <c r="P485" s="14" t="s">
        <v>260</v>
      </c>
      <c r="Q485" s="14" t="s">
        <v>260</v>
      </c>
      <c r="R485" s="14" t="s">
        <v>229</v>
      </c>
    </row>
    <row r="486" spans="1:18" s="14" customFormat="1" x14ac:dyDescent="0.25">
      <c r="A486" s="14" t="str">
        <f>"83647"</f>
        <v>83647</v>
      </c>
      <c r="B486" s="14" t="str">
        <f>"07010"</f>
        <v>07010</v>
      </c>
      <c r="C486" s="14" t="str">
        <f>"1800"</f>
        <v>1800</v>
      </c>
      <c r="D486" s="14" t="str">
        <f>""</f>
        <v/>
      </c>
      <c r="E486" s="14" t="s">
        <v>1367</v>
      </c>
      <c r="F486" s="14" t="s">
        <v>1002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228</v>
      </c>
      <c r="P486" s="14" t="s">
        <v>260</v>
      </c>
      <c r="Q486" s="14" t="s">
        <v>260</v>
      </c>
      <c r="R486" s="14" t="s">
        <v>229</v>
      </c>
    </row>
    <row r="487" spans="1:18" s="14" customFormat="1" x14ac:dyDescent="0.25">
      <c r="A487" s="14" t="str">
        <f>"83648"</f>
        <v>83648</v>
      </c>
      <c r="B487" s="14" t="str">
        <f>"07010"</f>
        <v>07010</v>
      </c>
      <c r="C487" s="14" t="str">
        <f>"1800"</f>
        <v>1800</v>
      </c>
      <c r="D487" s="14" t="str">
        <f>""</f>
        <v/>
      </c>
      <c r="E487" s="14" t="s">
        <v>1368</v>
      </c>
      <c r="F487" s="14" t="s">
        <v>1002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228</v>
      </c>
      <c r="P487" s="14" t="s">
        <v>260</v>
      </c>
      <c r="Q487" s="14" t="s">
        <v>260</v>
      </c>
      <c r="R487" s="14" t="s">
        <v>229</v>
      </c>
    </row>
    <row r="488" spans="1:18" s="14" customFormat="1" x14ac:dyDescent="0.25">
      <c r="A488" s="14" t="str">
        <f>"83650"</f>
        <v>83650</v>
      </c>
      <c r="B488" s="14" t="str">
        <f>"07010"</f>
        <v>07010</v>
      </c>
      <c r="C488" s="14" t="str">
        <f>"1800"</f>
        <v>1800</v>
      </c>
      <c r="D488" s="14" t="str">
        <f>""</f>
        <v/>
      </c>
      <c r="E488" s="14" t="s">
        <v>1369</v>
      </c>
      <c r="F488" s="14" t="s">
        <v>1002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228</v>
      </c>
      <c r="P488" s="14" t="s">
        <v>260</v>
      </c>
      <c r="Q488" s="14" t="s">
        <v>260</v>
      </c>
      <c r="R488" s="14" t="s">
        <v>229</v>
      </c>
    </row>
    <row r="489" spans="1:18" s="14" customFormat="1" x14ac:dyDescent="0.25">
      <c r="A489" s="14" t="str">
        <f>"83651"</f>
        <v>83651</v>
      </c>
      <c r="B489" s="14" t="str">
        <f>"07010"</f>
        <v>07010</v>
      </c>
      <c r="C489" s="14" t="str">
        <f>"1800"</f>
        <v>1800</v>
      </c>
      <c r="D489" s="14" t="str">
        <f>""</f>
        <v/>
      </c>
      <c r="E489" s="14" t="s">
        <v>1370</v>
      </c>
      <c r="F489" s="14" t="s">
        <v>1002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228</v>
      </c>
      <c r="P489" s="14" t="s">
        <v>260</v>
      </c>
      <c r="Q489" s="14" t="s">
        <v>260</v>
      </c>
      <c r="R489" s="14" t="s">
        <v>229</v>
      </c>
    </row>
    <row r="490" spans="1:18" s="14" customFormat="1" x14ac:dyDescent="0.25">
      <c r="A490" s="14" t="str">
        <f>"83652"</f>
        <v>83652</v>
      </c>
      <c r="B490" s="14" t="str">
        <f>"07010"</f>
        <v>07010</v>
      </c>
      <c r="C490" s="14" t="str">
        <f>"1800"</f>
        <v>1800</v>
      </c>
      <c r="D490" s="14" t="str">
        <f>""</f>
        <v/>
      </c>
      <c r="E490" s="14" t="s">
        <v>1371</v>
      </c>
      <c r="F490" s="14" t="s">
        <v>1002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228</v>
      </c>
      <c r="P490" s="14" t="s">
        <v>260</v>
      </c>
      <c r="Q490" s="14" t="s">
        <v>260</v>
      </c>
      <c r="R490" s="14" t="s">
        <v>229</v>
      </c>
    </row>
    <row r="491" spans="1:18" s="14" customFormat="1" x14ac:dyDescent="0.25">
      <c r="A491" s="14" t="str">
        <f>"83654"</f>
        <v>83654</v>
      </c>
      <c r="B491" s="14" t="str">
        <f>"07010"</f>
        <v>07010</v>
      </c>
      <c r="C491" s="14" t="str">
        <f>"1800"</f>
        <v>1800</v>
      </c>
      <c r="D491" s="14" t="str">
        <f>""</f>
        <v/>
      </c>
      <c r="E491" s="14" t="s">
        <v>1372</v>
      </c>
      <c r="F491" s="14" t="s">
        <v>1002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228</v>
      </c>
      <c r="P491" s="14" t="s">
        <v>260</v>
      </c>
      <c r="Q491" s="14" t="s">
        <v>260</v>
      </c>
      <c r="R491" s="14" t="s">
        <v>229</v>
      </c>
    </row>
    <row r="492" spans="1:18" s="14" customFormat="1" x14ac:dyDescent="0.25">
      <c r="A492" s="14" t="str">
        <f>"83661"</f>
        <v>83661</v>
      </c>
      <c r="B492" s="14" t="str">
        <f>"07010"</f>
        <v>07010</v>
      </c>
      <c r="C492" s="14" t="str">
        <f>"1800"</f>
        <v>1800</v>
      </c>
      <c r="D492" s="14" t="str">
        <f>""</f>
        <v/>
      </c>
      <c r="E492" s="14" t="s">
        <v>1373</v>
      </c>
      <c r="F492" s="14" t="s">
        <v>1002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228</v>
      </c>
      <c r="P492" s="14" t="s">
        <v>260</v>
      </c>
      <c r="Q492" s="14" t="s">
        <v>260</v>
      </c>
      <c r="R492" s="14" t="s">
        <v>229</v>
      </c>
    </row>
    <row r="493" spans="1:18" s="14" customFormat="1" x14ac:dyDescent="0.25">
      <c r="A493" s="14" t="str">
        <f>"83662"</f>
        <v>83662</v>
      </c>
      <c r="B493" s="14" t="str">
        <f>"07010"</f>
        <v>07010</v>
      </c>
      <c r="C493" s="14" t="str">
        <f>"1800"</f>
        <v>1800</v>
      </c>
      <c r="D493" s="14" t="str">
        <f>""</f>
        <v/>
      </c>
      <c r="E493" s="14" t="s">
        <v>1374</v>
      </c>
      <c r="F493" s="14" t="s">
        <v>1002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228</v>
      </c>
      <c r="P493" s="14" t="s">
        <v>260</v>
      </c>
      <c r="Q493" s="14" t="s">
        <v>260</v>
      </c>
      <c r="R493" s="14" t="s">
        <v>229</v>
      </c>
    </row>
    <row r="494" spans="1:18" s="14" customFormat="1" x14ac:dyDescent="0.25">
      <c r="A494" s="14" t="str">
        <f>"83663"</f>
        <v>83663</v>
      </c>
      <c r="B494" s="14" t="str">
        <f>"07010"</f>
        <v>07010</v>
      </c>
      <c r="C494" s="14" t="str">
        <f>"1800"</f>
        <v>1800</v>
      </c>
      <c r="D494" s="14" t="str">
        <f>""</f>
        <v/>
      </c>
      <c r="E494" s="14" t="s">
        <v>1375</v>
      </c>
      <c r="F494" s="14" t="s">
        <v>1002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228</v>
      </c>
      <c r="P494" s="14" t="s">
        <v>260</v>
      </c>
      <c r="Q494" s="14" t="s">
        <v>260</v>
      </c>
      <c r="R494" s="14" t="s">
        <v>229</v>
      </c>
    </row>
    <row r="495" spans="1:18" s="14" customFormat="1" x14ac:dyDescent="0.25">
      <c r="A495" s="14" t="str">
        <f>"83664"</f>
        <v>83664</v>
      </c>
      <c r="B495" s="14" t="str">
        <f>"07010"</f>
        <v>07010</v>
      </c>
      <c r="C495" s="14" t="str">
        <f>"1800"</f>
        <v>1800</v>
      </c>
      <c r="D495" s="14" t="str">
        <f>""</f>
        <v/>
      </c>
      <c r="E495" s="14" t="s">
        <v>1376</v>
      </c>
      <c r="F495" s="14" t="s">
        <v>1002</v>
      </c>
      <c r="G495" s="14" t="str">
        <f>""</f>
        <v/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228</v>
      </c>
      <c r="P495" s="14" t="s">
        <v>260</v>
      </c>
      <c r="Q495" s="14" t="s">
        <v>260</v>
      </c>
      <c r="R495" s="14" t="s">
        <v>229</v>
      </c>
    </row>
    <row r="496" spans="1:18" s="14" customFormat="1" x14ac:dyDescent="0.25">
      <c r="A496" s="14" t="str">
        <f>"83665"</f>
        <v>83665</v>
      </c>
      <c r="B496" s="14" t="str">
        <f>"07010"</f>
        <v>07010</v>
      </c>
      <c r="C496" s="14" t="str">
        <f>"1800"</f>
        <v>1800</v>
      </c>
      <c r="D496" s="14" t="str">
        <f>""</f>
        <v/>
      </c>
      <c r="E496" s="14" t="s">
        <v>1377</v>
      </c>
      <c r="F496" s="14" t="s">
        <v>1002</v>
      </c>
      <c r="G496" s="14" t="str">
        <f>""</f>
        <v/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228</v>
      </c>
      <c r="P496" s="14" t="s">
        <v>260</v>
      </c>
      <c r="Q496" s="14" t="s">
        <v>260</v>
      </c>
      <c r="R496" s="14" t="s">
        <v>229</v>
      </c>
    </row>
    <row r="497" spans="1:18" s="14" customFormat="1" x14ac:dyDescent="0.25">
      <c r="A497" s="14" t="str">
        <f>"83666"</f>
        <v>83666</v>
      </c>
      <c r="B497" s="14" t="str">
        <f>"07010"</f>
        <v>07010</v>
      </c>
      <c r="C497" s="14" t="str">
        <f>"1800"</f>
        <v>1800</v>
      </c>
      <c r="D497" s="14" t="str">
        <f>""</f>
        <v/>
      </c>
      <c r="E497" s="14" t="s">
        <v>1378</v>
      </c>
      <c r="F497" s="14" t="s">
        <v>1002</v>
      </c>
      <c r="G497" s="14" t="str">
        <f>""</f>
        <v/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228</v>
      </c>
      <c r="P497" s="14" t="s">
        <v>260</v>
      </c>
      <c r="Q497" s="14" t="s">
        <v>260</v>
      </c>
      <c r="R497" s="14" t="s">
        <v>229</v>
      </c>
    </row>
    <row r="498" spans="1:18" s="14" customFormat="1" x14ac:dyDescent="0.25">
      <c r="A498" s="14" t="str">
        <f>"83667"</f>
        <v>83667</v>
      </c>
      <c r="B498" s="14" t="str">
        <f>"07010"</f>
        <v>07010</v>
      </c>
      <c r="C498" s="14" t="str">
        <f>"1800"</f>
        <v>1800</v>
      </c>
      <c r="D498" s="14" t="str">
        <f>""</f>
        <v/>
      </c>
      <c r="E498" s="14" t="s">
        <v>1379</v>
      </c>
      <c r="F498" s="14" t="s">
        <v>1002</v>
      </c>
      <c r="G498" s="14" t="str">
        <f>""</f>
        <v/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228</v>
      </c>
      <c r="P498" s="14" t="s">
        <v>260</v>
      </c>
      <c r="Q498" s="14" t="s">
        <v>260</v>
      </c>
      <c r="R498" s="14" t="s">
        <v>229</v>
      </c>
    </row>
    <row r="499" spans="1:18" s="14" customFormat="1" x14ac:dyDescent="0.25">
      <c r="A499" s="14" t="str">
        <f>"83668"</f>
        <v>83668</v>
      </c>
      <c r="B499" s="14" t="str">
        <f>"07010"</f>
        <v>07010</v>
      </c>
      <c r="C499" s="14" t="str">
        <f>"1800"</f>
        <v>1800</v>
      </c>
      <c r="D499" s="14" t="str">
        <f>""</f>
        <v/>
      </c>
      <c r="E499" s="14" t="s">
        <v>1380</v>
      </c>
      <c r="F499" s="14" t="s">
        <v>1002</v>
      </c>
      <c r="G499" s="14" t="str">
        <f>""</f>
        <v/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228</v>
      </c>
      <c r="P499" s="14" t="s">
        <v>260</v>
      </c>
      <c r="Q499" s="14" t="s">
        <v>260</v>
      </c>
      <c r="R499" s="14" t="s">
        <v>229</v>
      </c>
    </row>
    <row r="500" spans="1:18" s="14" customFormat="1" x14ac:dyDescent="0.25">
      <c r="A500" s="14" t="str">
        <f>"83670"</f>
        <v>83670</v>
      </c>
      <c r="B500" s="14" t="str">
        <f>"07010"</f>
        <v>07010</v>
      </c>
      <c r="C500" s="14" t="str">
        <f>"1800"</f>
        <v>1800</v>
      </c>
      <c r="D500" s="14" t="str">
        <f>""</f>
        <v/>
      </c>
      <c r="E500" s="14" t="s">
        <v>1381</v>
      </c>
      <c r="F500" s="14" t="s">
        <v>1002</v>
      </c>
      <c r="G500" s="14" t="str">
        <f>""</f>
        <v/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228</v>
      </c>
      <c r="P500" s="14" t="s">
        <v>260</v>
      </c>
      <c r="Q500" s="14" t="s">
        <v>260</v>
      </c>
      <c r="R500" s="14" t="s">
        <v>229</v>
      </c>
    </row>
    <row r="501" spans="1:18" s="14" customFormat="1" x14ac:dyDescent="0.25">
      <c r="A501" s="14" t="str">
        <f>"83671"</f>
        <v>83671</v>
      </c>
      <c r="B501" s="14" t="str">
        <f>"07010"</f>
        <v>07010</v>
      </c>
      <c r="C501" s="14" t="str">
        <f>"1800"</f>
        <v>1800</v>
      </c>
      <c r="D501" s="14" t="str">
        <f>""</f>
        <v/>
      </c>
      <c r="E501" s="14" t="s">
        <v>1382</v>
      </c>
      <c r="F501" s="14" t="s">
        <v>1002</v>
      </c>
      <c r="G501" s="14" t="str">
        <f>""</f>
        <v/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228</v>
      </c>
      <c r="P501" s="14" t="s">
        <v>260</v>
      </c>
      <c r="Q501" s="14" t="s">
        <v>260</v>
      </c>
      <c r="R501" s="14" t="s">
        <v>229</v>
      </c>
    </row>
    <row r="502" spans="1:18" s="14" customFormat="1" x14ac:dyDescent="0.25">
      <c r="A502" s="14" t="str">
        <f>"83672"</f>
        <v>83672</v>
      </c>
      <c r="B502" s="14" t="str">
        <f>"07010"</f>
        <v>07010</v>
      </c>
      <c r="C502" s="14" t="str">
        <f>"1800"</f>
        <v>1800</v>
      </c>
      <c r="D502" s="14" t="str">
        <f>""</f>
        <v/>
      </c>
      <c r="E502" s="14" t="s">
        <v>1383</v>
      </c>
      <c r="F502" s="14" t="s">
        <v>1002</v>
      </c>
      <c r="G502" s="14" t="str">
        <f>""</f>
        <v/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228</v>
      </c>
      <c r="P502" s="14" t="s">
        <v>260</v>
      </c>
      <c r="Q502" s="14" t="s">
        <v>260</v>
      </c>
      <c r="R502" s="14" t="s">
        <v>229</v>
      </c>
    </row>
    <row r="503" spans="1:18" s="14" customFormat="1" x14ac:dyDescent="0.25">
      <c r="A503" s="14" t="str">
        <f>"83673"</f>
        <v>83673</v>
      </c>
      <c r="B503" s="14" t="str">
        <f>"07010"</f>
        <v>07010</v>
      </c>
      <c r="C503" s="14" t="str">
        <f>"1800"</f>
        <v>1800</v>
      </c>
      <c r="D503" s="14" t="str">
        <f>""</f>
        <v/>
      </c>
      <c r="E503" s="14" t="s">
        <v>1384</v>
      </c>
      <c r="F503" s="14" t="s">
        <v>1002</v>
      </c>
      <c r="G503" s="14" t="str">
        <f>""</f>
        <v/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228</v>
      </c>
      <c r="P503" s="14" t="s">
        <v>260</v>
      </c>
      <c r="Q503" s="14" t="s">
        <v>260</v>
      </c>
      <c r="R503" s="14" t="s">
        <v>229</v>
      </c>
    </row>
    <row r="504" spans="1:18" s="14" customFormat="1" x14ac:dyDescent="0.25">
      <c r="A504" s="14" t="str">
        <f>"83674"</f>
        <v>83674</v>
      </c>
      <c r="B504" s="14" t="str">
        <f>"07010"</f>
        <v>07010</v>
      </c>
      <c r="C504" s="14" t="str">
        <f>"1800"</f>
        <v>1800</v>
      </c>
      <c r="D504" s="14" t="str">
        <f>""</f>
        <v/>
      </c>
      <c r="E504" s="14" t="s">
        <v>1385</v>
      </c>
      <c r="F504" s="14" t="s">
        <v>1002</v>
      </c>
      <c r="G504" s="14" t="str">
        <f>""</f>
        <v/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228</v>
      </c>
      <c r="P504" s="14" t="s">
        <v>260</v>
      </c>
      <c r="Q504" s="14" t="s">
        <v>260</v>
      </c>
      <c r="R504" s="14" t="s">
        <v>229</v>
      </c>
    </row>
    <row r="505" spans="1:18" s="14" customFormat="1" x14ac:dyDescent="0.25">
      <c r="A505" s="14" t="str">
        <f>"83676"</f>
        <v>83676</v>
      </c>
      <c r="B505" s="14" t="str">
        <f>"07010"</f>
        <v>07010</v>
      </c>
      <c r="C505" s="14" t="str">
        <f>"1800"</f>
        <v>1800</v>
      </c>
      <c r="D505" s="14" t="str">
        <f>""</f>
        <v/>
      </c>
      <c r="E505" s="14" t="s">
        <v>1386</v>
      </c>
      <c r="F505" s="14" t="s">
        <v>1002</v>
      </c>
      <c r="G505" s="14" t="str">
        <f>""</f>
        <v/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228</v>
      </c>
      <c r="P505" s="14" t="s">
        <v>260</v>
      </c>
      <c r="Q505" s="14" t="s">
        <v>260</v>
      </c>
      <c r="R505" s="14" t="s">
        <v>229</v>
      </c>
    </row>
    <row r="506" spans="1:18" s="14" customFormat="1" x14ac:dyDescent="0.25">
      <c r="A506" s="14" t="str">
        <f>"83677"</f>
        <v>83677</v>
      </c>
      <c r="B506" s="14" t="str">
        <f>"07010"</f>
        <v>07010</v>
      </c>
      <c r="C506" s="14" t="str">
        <f>"1800"</f>
        <v>1800</v>
      </c>
      <c r="D506" s="14" t="str">
        <f>""</f>
        <v/>
      </c>
      <c r="E506" s="14" t="s">
        <v>1387</v>
      </c>
      <c r="F506" s="14" t="s">
        <v>1002</v>
      </c>
      <c r="G506" s="14" t="str">
        <f>""</f>
        <v/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228</v>
      </c>
      <c r="P506" s="14" t="s">
        <v>260</v>
      </c>
      <c r="Q506" s="14" t="s">
        <v>260</v>
      </c>
      <c r="R506" s="14" t="s">
        <v>229</v>
      </c>
    </row>
    <row r="507" spans="1:18" s="14" customFormat="1" x14ac:dyDescent="0.25">
      <c r="A507" s="14" t="str">
        <f>"83678"</f>
        <v>83678</v>
      </c>
      <c r="B507" s="14" t="str">
        <f>"07010"</f>
        <v>07010</v>
      </c>
      <c r="C507" s="14" t="str">
        <f>"1800"</f>
        <v>1800</v>
      </c>
      <c r="D507" s="14" t="str">
        <f>""</f>
        <v/>
      </c>
      <c r="E507" s="14" t="s">
        <v>1388</v>
      </c>
      <c r="F507" s="14" t="s">
        <v>1002</v>
      </c>
      <c r="G507" s="14" t="str">
        <f>""</f>
        <v/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228</v>
      </c>
      <c r="P507" s="14" t="s">
        <v>260</v>
      </c>
      <c r="Q507" s="14" t="s">
        <v>260</v>
      </c>
      <c r="R507" s="14" t="s">
        <v>229</v>
      </c>
    </row>
    <row r="508" spans="1:18" s="14" customFormat="1" x14ac:dyDescent="0.25">
      <c r="A508" s="14" t="str">
        <f>"83679"</f>
        <v>83679</v>
      </c>
      <c r="B508" s="14" t="str">
        <f>"07010"</f>
        <v>07010</v>
      </c>
      <c r="C508" s="14" t="str">
        <f>"1800"</f>
        <v>1800</v>
      </c>
      <c r="D508" s="14" t="str">
        <f>""</f>
        <v/>
      </c>
      <c r="E508" s="14" t="s">
        <v>1389</v>
      </c>
      <c r="F508" s="14" t="s">
        <v>1002</v>
      </c>
      <c r="G508" s="14" t="str">
        <f>""</f>
        <v/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228</v>
      </c>
      <c r="P508" s="14" t="s">
        <v>260</v>
      </c>
      <c r="Q508" s="14" t="s">
        <v>260</v>
      </c>
      <c r="R508" s="14" t="s">
        <v>229</v>
      </c>
    </row>
    <row r="509" spans="1:18" s="14" customFormat="1" x14ac:dyDescent="0.25">
      <c r="A509" s="14" t="str">
        <f>"83680"</f>
        <v>83680</v>
      </c>
      <c r="B509" s="14" t="str">
        <f>"07010"</f>
        <v>07010</v>
      </c>
      <c r="C509" s="14" t="str">
        <f>"1800"</f>
        <v>1800</v>
      </c>
      <c r="D509" s="14" t="str">
        <f>""</f>
        <v/>
      </c>
      <c r="E509" s="14" t="s">
        <v>1390</v>
      </c>
      <c r="F509" s="14" t="s">
        <v>1002</v>
      </c>
      <c r="G509" s="14" t="str">
        <f>""</f>
        <v/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228</v>
      </c>
      <c r="P509" s="14" t="s">
        <v>260</v>
      </c>
      <c r="Q509" s="14" t="s">
        <v>260</v>
      </c>
      <c r="R509" s="14" t="s">
        <v>229</v>
      </c>
    </row>
    <row r="510" spans="1:18" s="14" customFormat="1" x14ac:dyDescent="0.25">
      <c r="A510" s="14" t="str">
        <f>"83683"</f>
        <v>83683</v>
      </c>
      <c r="B510" s="14" t="str">
        <f>"07010"</f>
        <v>07010</v>
      </c>
      <c r="C510" s="14" t="str">
        <f>"1800"</f>
        <v>1800</v>
      </c>
      <c r="D510" s="14" t="str">
        <f>""</f>
        <v/>
      </c>
      <c r="E510" s="14" t="s">
        <v>1391</v>
      </c>
      <c r="F510" s="14" t="s">
        <v>1002</v>
      </c>
      <c r="G510" s="14" t="str">
        <f>""</f>
        <v/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228</v>
      </c>
      <c r="P510" s="14" t="s">
        <v>260</v>
      </c>
      <c r="Q510" s="14" t="s">
        <v>260</v>
      </c>
      <c r="R510" s="14" t="s">
        <v>229</v>
      </c>
    </row>
    <row r="511" spans="1:18" s="14" customFormat="1" x14ac:dyDescent="0.25">
      <c r="A511" s="14" t="str">
        <f>"83684"</f>
        <v>83684</v>
      </c>
      <c r="B511" s="14" t="str">
        <f>"07010"</f>
        <v>07010</v>
      </c>
      <c r="C511" s="14" t="str">
        <f>"1800"</f>
        <v>1800</v>
      </c>
      <c r="D511" s="14" t="str">
        <f>""</f>
        <v/>
      </c>
      <c r="E511" s="14" t="s">
        <v>1392</v>
      </c>
      <c r="F511" s="14" t="s">
        <v>1002</v>
      </c>
      <c r="G511" s="14" t="str">
        <f>""</f>
        <v/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228</v>
      </c>
      <c r="P511" s="14" t="s">
        <v>260</v>
      </c>
      <c r="Q511" s="14" t="s">
        <v>260</v>
      </c>
      <c r="R511" s="14" t="s">
        <v>229</v>
      </c>
    </row>
    <row r="512" spans="1:18" s="14" customFormat="1" x14ac:dyDescent="0.25">
      <c r="A512" s="14" t="str">
        <f>"83685"</f>
        <v>83685</v>
      </c>
      <c r="B512" s="14" t="str">
        <f>"07010"</f>
        <v>07010</v>
      </c>
      <c r="C512" s="14" t="str">
        <f>"1800"</f>
        <v>1800</v>
      </c>
      <c r="D512" s="14" t="str">
        <f>""</f>
        <v/>
      </c>
      <c r="E512" s="14" t="s">
        <v>1393</v>
      </c>
      <c r="F512" s="14" t="s">
        <v>1002</v>
      </c>
      <c r="G512" s="14" t="str">
        <f>""</f>
        <v/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228</v>
      </c>
      <c r="P512" s="14" t="s">
        <v>260</v>
      </c>
      <c r="Q512" s="14" t="s">
        <v>260</v>
      </c>
      <c r="R512" s="14" t="s">
        <v>229</v>
      </c>
    </row>
    <row r="513" spans="1:18" s="14" customFormat="1" x14ac:dyDescent="0.25">
      <c r="A513" s="14" t="str">
        <f>"83686"</f>
        <v>83686</v>
      </c>
      <c r="B513" s="14" t="str">
        <f>"07010"</f>
        <v>07010</v>
      </c>
      <c r="C513" s="14" t="str">
        <f>"1800"</f>
        <v>1800</v>
      </c>
      <c r="D513" s="14" t="str">
        <f>""</f>
        <v/>
      </c>
      <c r="E513" s="14" t="s">
        <v>1394</v>
      </c>
      <c r="F513" s="14" t="s">
        <v>1002</v>
      </c>
      <c r="G513" s="14" t="str">
        <f>""</f>
        <v/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228</v>
      </c>
      <c r="P513" s="14" t="s">
        <v>260</v>
      </c>
      <c r="Q513" s="14" t="s">
        <v>260</v>
      </c>
      <c r="R513" s="14" t="s">
        <v>229</v>
      </c>
    </row>
    <row r="514" spans="1:18" s="14" customFormat="1" x14ac:dyDescent="0.25">
      <c r="A514" s="14" t="str">
        <f>"83687"</f>
        <v>83687</v>
      </c>
      <c r="B514" s="14" t="str">
        <f>"07010"</f>
        <v>07010</v>
      </c>
      <c r="C514" s="14" t="str">
        <f>"1800"</f>
        <v>1800</v>
      </c>
      <c r="D514" s="14" t="str">
        <f>""</f>
        <v/>
      </c>
      <c r="E514" s="14" t="s">
        <v>1395</v>
      </c>
      <c r="F514" s="14" t="s">
        <v>1002</v>
      </c>
      <c r="G514" s="14" t="str">
        <f>""</f>
        <v/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228</v>
      </c>
      <c r="P514" s="14" t="s">
        <v>260</v>
      </c>
      <c r="Q514" s="14" t="s">
        <v>260</v>
      </c>
      <c r="R514" s="14" t="s">
        <v>229</v>
      </c>
    </row>
    <row r="515" spans="1:18" s="14" customFormat="1" x14ac:dyDescent="0.25">
      <c r="A515" s="14" t="str">
        <f>"83688"</f>
        <v>83688</v>
      </c>
      <c r="B515" s="14" t="str">
        <f>"07010"</f>
        <v>07010</v>
      </c>
      <c r="C515" s="14" t="str">
        <f>"1800"</f>
        <v>1800</v>
      </c>
      <c r="D515" s="14" t="str">
        <f>""</f>
        <v/>
      </c>
      <c r="E515" s="14" t="s">
        <v>1396</v>
      </c>
      <c r="F515" s="14" t="s">
        <v>1002</v>
      </c>
      <c r="G515" s="14" t="str">
        <f>""</f>
        <v/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228</v>
      </c>
      <c r="P515" s="14" t="s">
        <v>260</v>
      </c>
      <c r="Q515" s="14" t="s">
        <v>260</v>
      </c>
      <c r="R515" s="14" t="s">
        <v>229</v>
      </c>
    </row>
    <row r="516" spans="1:18" s="14" customFormat="1" x14ac:dyDescent="0.25">
      <c r="A516" s="14" t="str">
        <f>"83689"</f>
        <v>83689</v>
      </c>
      <c r="B516" s="14" t="str">
        <f>"07010"</f>
        <v>07010</v>
      </c>
      <c r="C516" s="14" t="str">
        <f>"1800"</f>
        <v>1800</v>
      </c>
      <c r="D516" s="14" t="str">
        <f>""</f>
        <v/>
      </c>
      <c r="E516" s="14" t="s">
        <v>1397</v>
      </c>
      <c r="F516" s="14" t="s">
        <v>1002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228</v>
      </c>
      <c r="P516" s="14" t="s">
        <v>260</v>
      </c>
      <c r="Q516" s="14" t="s">
        <v>260</v>
      </c>
      <c r="R516" s="14" t="s">
        <v>229</v>
      </c>
    </row>
    <row r="517" spans="1:18" s="14" customFormat="1" x14ac:dyDescent="0.25">
      <c r="A517" s="14" t="str">
        <f>"83690"</f>
        <v>83690</v>
      </c>
      <c r="B517" s="14" t="str">
        <f>"07010"</f>
        <v>07010</v>
      </c>
      <c r="C517" s="14" t="str">
        <f>"1800"</f>
        <v>1800</v>
      </c>
      <c r="D517" s="14" t="str">
        <f>""</f>
        <v/>
      </c>
      <c r="E517" s="14" t="s">
        <v>1398</v>
      </c>
      <c r="F517" s="14" t="s">
        <v>1002</v>
      </c>
      <c r="G517" s="14" t="str">
        <f>""</f>
        <v/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228</v>
      </c>
      <c r="P517" s="14" t="s">
        <v>260</v>
      </c>
      <c r="Q517" s="14" t="s">
        <v>260</v>
      </c>
      <c r="R517" s="14" t="s">
        <v>229</v>
      </c>
    </row>
    <row r="518" spans="1:18" s="14" customFormat="1" x14ac:dyDescent="0.25">
      <c r="A518" s="14" t="str">
        <f>"83691"</f>
        <v>83691</v>
      </c>
      <c r="B518" s="14" t="str">
        <f>"07010"</f>
        <v>07010</v>
      </c>
      <c r="C518" s="14" t="str">
        <f>"1800"</f>
        <v>1800</v>
      </c>
      <c r="D518" s="14" t="str">
        <f>""</f>
        <v/>
      </c>
      <c r="E518" s="14" t="s">
        <v>1399</v>
      </c>
      <c r="F518" s="14" t="s">
        <v>1002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228</v>
      </c>
      <c r="P518" s="14" t="s">
        <v>260</v>
      </c>
      <c r="Q518" s="14" t="s">
        <v>260</v>
      </c>
      <c r="R518" s="14" t="s">
        <v>229</v>
      </c>
    </row>
    <row r="519" spans="1:18" s="14" customFormat="1" x14ac:dyDescent="0.25">
      <c r="A519" s="14" t="str">
        <f>"83692"</f>
        <v>83692</v>
      </c>
      <c r="B519" s="14" t="str">
        <f>"07010"</f>
        <v>07010</v>
      </c>
      <c r="C519" s="14" t="str">
        <f>"1800"</f>
        <v>1800</v>
      </c>
      <c r="D519" s="14" t="str">
        <f>""</f>
        <v/>
      </c>
      <c r="E519" s="14" t="s">
        <v>1400</v>
      </c>
      <c r="F519" s="14" t="s">
        <v>1002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228</v>
      </c>
      <c r="P519" s="14" t="s">
        <v>260</v>
      </c>
      <c r="Q519" s="14" t="s">
        <v>260</v>
      </c>
      <c r="R519" s="14" t="s">
        <v>229</v>
      </c>
    </row>
    <row r="520" spans="1:18" s="14" customFormat="1" x14ac:dyDescent="0.25">
      <c r="A520" s="14" t="str">
        <f>"83693"</f>
        <v>83693</v>
      </c>
      <c r="B520" s="14" t="str">
        <f>"07010"</f>
        <v>07010</v>
      </c>
      <c r="C520" s="14" t="str">
        <f>"1800"</f>
        <v>1800</v>
      </c>
      <c r="D520" s="14" t="str">
        <f>""</f>
        <v/>
      </c>
      <c r="E520" s="14" t="s">
        <v>1401</v>
      </c>
      <c r="F520" s="14" t="s">
        <v>1002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228</v>
      </c>
      <c r="P520" s="14" t="s">
        <v>260</v>
      </c>
      <c r="Q520" s="14" t="s">
        <v>260</v>
      </c>
      <c r="R520" s="14" t="s">
        <v>229</v>
      </c>
    </row>
    <row r="521" spans="1:18" s="14" customFormat="1" x14ac:dyDescent="0.25">
      <c r="A521" s="14" t="str">
        <f>"83694"</f>
        <v>83694</v>
      </c>
      <c r="B521" s="14" t="str">
        <f>"07010"</f>
        <v>07010</v>
      </c>
      <c r="C521" s="14" t="str">
        <f>"1800"</f>
        <v>1800</v>
      </c>
      <c r="D521" s="14" t="str">
        <f>""</f>
        <v/>
      </c>
      <c r="E521" s="14" t="s">
        <v>1402</v>
      </c>
      <c r="F521" s="14" t="s">
        <v>1002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228</v>
      </c>
      <c r="P521" s="14" t="s">
        <v>260</v>
      </c>
      <c r="Q521" s="14" t="s">
        <v>260</v>
      </c>
      <c r="R521" s="14" t="s">
        <v>229</v>
      </c>
    </row>
    <row r="522" spans="1:18" s="14" customFormat="1" x14ac:dyDescent="0.25">
      <c r="A522" s="14" t="str">
        <f>"83695"</f>
        <v>83695</v>
      </c>
      <c r="B522" s="14" t="str">
        <f>"07010"</f>
        <v>07010</v>
      </c>
      <c r="C522" s="14" t="str">
        <f>"1800"</f>
        <v>1800</v>
      </c>
      <c r="D522" s="14" t="str">
        <f>""</f>
        <v/>
      </c>
      <c r="E522" s="14" t="s">
        <v>1403</v>
      </c>
      <c r="F522" s="14" t="s">
        <v>1002</v>
      </c>
      <c r="G522" s="14" t="str">
        <f>""</f>
        <v/>
      </c>
      <c r="H522" s="14" t="str">
        <f>" 00"</f>
        <v xml:space="preserve"> 00</v>
      </c>
      <c r="I522" s="14">
        <v>0.01</v>
      </c>
      <c r="J522" s="14">
        <v>9999999.9900000002</v>
      </c>
      <c r="K522" s="14" t="s">
        <v>228</v>
      </c>
      <c r="P522" s="14" t="s">
        <v>260</v>
      </c>
      <c r="Q522" s="14" t="s">
        <v>260</v>
      </c>
      <c r="R522" s="14" t="s">
        <v>229</v>
      </c>
    </row>
    <row r="523" spans="1:18" s="14" customFormat="1" x14ac:dyDescent="0.25">
      <c r="A523" s="14" t="str">
        <f>"83696"</f>
        <v>83696</v>
      </c>
      <c r="B523" s="14" t="str">
        <f>"07010"</f>
        <v>07010</v>
      </c>
      <c r="C523" s="14" t="str">
        <f>"1800"</f>
        <v>1800</v>
      </c>
      <c r="D523" s="14" t="str">
        <f>""</f>
        <v/>
      </c>
      <c r="E523" s="14" t="s">
        <v>1404</v>
      </c>
      <c r="F523" s="14" t="s">
        <v>1002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228</v>
      </c>
      <c r="P523" s="14" t="s">
        <v>260</v>
      </c>
      <c r="Q523" s="14" t="s">
        <v>260</v>
      </c>
      <c r="R523" s="14" t="s">
        <v>229</v>
      </c>
    </row>
    <row r="524" spans="1:18" s="14" customFormat="1" x14ac:dyDescent="0.25">
      <c r="A524" s="14" t="str">
        <f>"83697"</f>
        <v>83697</v>
      </c>
      <c r="B524" s="14" t="str">
        <f>"07010"</f>
        <v>07010</v>
      </c>
      <c r="C524" s="14" t="str">
        <f>"1800"</f>
        <v>1800</v>
      </c>
      <c r="D524" s="14" t="str">
        <f>""</f>
        <v/>
      </c>
      <c r="E524" s="14" t="s">
        <v>1405</v>
      </c>
      <c r="F524" s="14" t="s">
        <v>1002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228</v>
      </c>
      <c r="P524" s="14" t="s">
        <v>260</v>
      </c>
      <c r="Q524" s="14" t="s">
        <v>260</v>
      </c>
      <c r="R524" s="14" t="s">
        <v>229</v>
      </c>
    </row>
    <row r="525" spans="1:18" s="14" customFormat="1" x14ac:dyDescent="0.25">
      <c r="A525" s="14" t="str">
        <f>"83698"</f>
        <v>83698</v>
      </c>
      <c r="B525" s="14" t="str">
        <f>"07010"</f>
        <v>07010</v>
      </c>
      <c r="C525" s="14" t="str">
        <f>"1800"</f>
        <v>1800</v>
      </c>
      <c r="D525" s="14" t="str">
        <f>""</f>
        <v/>
      </c>
      <c r="E525" s="14" t="s">
        <v>1406</v>
      </c>
      <c r="F525" s="14" t="s">
        <v>1002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228</v>
      </c>
      <c r="P525" s="14" t="s">
        <v>260</v>
      </c>
      <c r="Q525" s="14" t="s">
        <v>260</v>
      </c>
      <c r="R525" s="14" t="s">
        <v>229</v>
      </c>
    </row>
    <row r="526" spans="1:18" s="14" customFormat="1" x14ac:dyDescent="0.25">
      <c r="A526" s="14" t="str">
        <f>"83699"</f>
        <v>83699</v>
      </c>
      <c r="B526" s="14" t="str">
        <f>"07010"</f>
        <v>07010</v>
      </c>
      <c r="C526" s="14" t="str">
        <f>"1800"</f>
        <v>1800</v>
      </c>
      <c r="D526" s="14" t="str">
        <f>""</f>
        <v/>
      </c>
      <c r="E526" s="14" t="s">
        <v>1407</v>
      </c>
      <c r="F526" s="14" t="s">
        <v>1002</v>
      </c>
      <c r="G526" s="14" t="str">
        <f>""</f>
        <v/>
      </c>
      <c r="H526" s="14" t="str">
        <f>" 00"</f>
        <v xml:space="preserve"> 00</v>
      </c>
      <c r="I526" s="14">
        <v>0.01</v>
      </c>
      <c r="J526" s="14">
        <v>9999999.9900000002</v>
      </c>
      <c r="K526" s="14" t="s">
        <v>228</v>
      </c>
      <c r="P526" s="14" t="s">
        <v>260</v>
      </c>
      <c r="Q526" s="14" t="s">
        <v>260</v>
      </c>
      <c r="R526" s="14" t="s">
        <v>229</v>
      </c>
    </row>
    <row r="527" spans="1:18" s="14" customFormat="1" x14ac:dyDescent="0.25">
      <c r="A527" s="14" t="str">
        <f>"83700"</f>
        <v>83700</v>
      </c>
      <c r="B527" s="14" t="str">
        <f>"07010"</f>
        <v>07010</v>
      </c>
      <c r="C527" s="14" t="str">
        <f>"1800"</f>
        <v>1800</v>
      </c>
      <c r="D527" s="14" t="str">
        <f>""</f>
        <v/>
      </c>
      <c r="E527" s="14" t="s">
        <v>1408</v>
      </c>
      <c r="F527" s="14" t="s">
        <v>1002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228</v>
      </c>
      <c r="P527" s="14" t="s">
        <v>260</v>
      </c>
      <c r="Q527" s="14" t="s">
        <v>260</v>
      </c>
      <c r="R527" s="14" t="s">
        <v>229</v>
      </c>
    </row>
    <row r="528" spans="1:18" s="14" customFormat="1" x14ac:dyDescent="0.25">
      <c r="A528" s="14" t="str">
        <f>"83701"</f>
        <v>83701</v>
      </c>
      <c r="B528" s="14" t="str">
        <f>"07010"</f>
        <v>07010</v>
      </c>
      <c r="C528" s="14" t="str">
        <f>"1800"</f>
        <v>1800</v>
      </c>
      <c r="D528" s="14" t="str">
        <f>""</f>
        <v/>
      </c>
      <c r="E528" s="14" t="s">
        <v>1409</v>
      </c>
      <c r="F528" s="14" t="s">
        <v>1002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228</v>
      </c>
      <c r="P528" s="14" t="s">
        <v>260</v>
      </c>
      <c r="Q528" s="14" t="s">
        <v>260</v>
      </c>
      <c r="R528" s="14" t="s">
        <v>229</v>
      </c>
    </row>
    <row r="529" spans="1:18" s="14" customFormat="1" x14ac:dyDescent="0.25">
      <c r="A529" s="14" t="str">
        <f>"83702"</f>
        <v>83702</v>
      </c>
      <c r="B529" s="14" t="str">
        <f>"07010"</f>
        <v>07010</v>
      </c>
      <c r="C529" s="14" t="str">
        <f>"1800"</f>
        <v>1800</v>
      </c>
      <c r="D529" s="14" t="str">
        <f>""</f>
        <v/>
      </c>
      <c r="E529" s="14" t="s">
        <v>1410</v>
      </c>
      <c r="F529" s="14" t="s">
        <v>1002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228</v>
      </c>
      <c r="P529" s="14" t="s">
        <v>260</v>
      </c>
      <c r="Q529" s="14" t="s">
        <v>260</v>
      </c>
      <c r="R529" s="14" t="s">
        <v>229</v>
      </c>
    </row>
    <row r="530" spans="1:18" s="14" customFormat="1" x14ac:dyDescent="0.25">
      <c r="A530" s="14" t="str">
        <f>"83703"</f>
        <v>83703</v>
      </c>
      <c r="B530" s="14" t="str">
        <f>"07010"</f>
        <v>07010</v>
      </c>
      <c r="C530" s="14" t="str">
        <f>"1800"</f>
        <v>1800</v>
      </c>
      <c r="D530" s="14" t="str">
        <f>""</f>
        <v/>
      </c>
      <c r="E530" s="14" t="s">
        <v>1411</v>
      </c>
      <c r="F530" s="14" t="s">
        <v>1002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228</v>
      </c>
      <c r="P530" s="14" t="s">
        <v>260</v>
      </c>
      <c r="Q530" s="14" t="s">
        <v>260</v>
      </c>
      <c r="R530" s="14" t="s">
        <v>229</v>
      </c>
    </row>
    <row r="531" spans="1:18" s="14" customFormat="1" x14ac:dyDescent="0.25">
      <c r="A531" s="14" t="str">
        <f>"83704"</f>
        <v>83704</v>
      </c>
      <c r="B531" s="14" t="str">
        <f>"07010"</f>
        <v>07010</v>
      </c>
      <c r="C531" s="14" t="str">
        <f>"1800"</f>
        <v>1800</v>
      </c>
      <c r="D531" s="14" t="str">
        <f>""</f>
        <v/>
      </c>
      <c r="E531" s="14" t="s">
        <v>1412</v>
      </c>
      <c r="F531" s="14" t="s">
        <v>1002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228</v>
      </c>
      <c r="P531" s="14" t="s">
        <v>260</v>
      </c>
      <c r="Q531" s="14" t="s">
        <v>260</v>
      </c>
      <c r="R531" s="14" t="s">
        <v>229</v>
      </c>
    </row>
    <row r="532" spans="1:18" s="14" customFormat="1" x14ac:dyDescent="0.25">
      <c r="A532" s="14" t="str">
        <f>"83705"</f>
        <v>83705</v>
      </c>
      <c r="B532" s="14" t="str">
        <f>"07010"</f>
        <v>07010</v>
      </c>
      <c r="C532" s="14" t="str">
        <f>"1800"</f>
        <v>1800</v>
      </c>
      <c r="D532" s="14" t="str">
        <f>""</f>
        <v/>
      </c>
      <c r="E532" s="14" t="s">
        <v>1413</v>
      </c>
      <c r="F532" s="14" t="s">
        <v>1002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228</v>
      </c>
      <c r="P532" s="14" t="s">
        <v>260</v>
      </c>
      <c r="Q532" s="14" t="s">
        <v>260</v>
      </c>
      <c r="R532" s="14" t="s">
        <v>229</v>
      </c>
    </row>
    <row r="533" spans="1:18" s="14" customFormat="1" x14ac:dyDescent="0.25">
      <c r="A533" s="14" t="str">
        <f>"83706"</f>
        <v>83706</v>
      </c>
      <c r="B533" s="14" t="str">
        <f>"07010"</f>
        <v>07010</v>
      </c>
      <c r="C533" s="14" t="str">
        <f>"1800"</f>
        <v>1800</v>
      </c>
      <c r="D533" s="14" t="str">
        <f>""</f>
        <v/>
      </c>
      <c r="E533" s="14" t="s">
        <v>1414</v>
      </c>
      <c r="F533" s="14" t="s">
        <v>1002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228</v>
      </c>
      <c r="P533" s="14" t="s">
        <v>260</v>
      </c>
      <c r="Q533" s="14" t="s">
        <v>260</v>
      </c>
      <c r="R533" s="14" t="s">
        <v>229</v>
      </c>
    </row>
    <row r="534" spans="1:18" s="14" customFormat="1" x14ac:dyDescent="0.25">
      <c r="A534" s="14" t="str">
        <f>"83708"</f>
        <v>83708</v>
      </c>
      <c r="B534" s="14" t="str">
        <f>"07010"</f>
        <v>07010</v>
      </c>
      <c r="C534" s="14" t="str">
        <f>"1800"</f>
        <v>1800</v>
      </c>
      <c r="D534" s="14" t="str">
        <f>""</f>
        <v/>
      </c>
      <c r="E534" s="14" t="s">
        <v>1415</v>
      </c>
      <c r="F534" s="14" t="s">
        <v>1002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228</v>
      </c>
      <c r="P534" s="14" t="s">
        <v>260</v>
      </c>
      <c r="Q534" s="14" t="s">
        <v>260</v>
      </c>
      <c r="R534" s="14" t="s">
        <v>229</v>
      </c>
    </row>
    <row r="535" spans="1:18" s="14" customFormat="1" x14ac:dyDescent="0.25">
      <c r="A535" s="14" t="str">
        <f>"83709"</f>
        <v>83709</v>
      </c>
      <c r="B535" s="14" t="str">
        <f>"07010"</f>
        <v>07010</v>
      </c>
      <c r="C535" s="14" t="str">
        <f>"1800"</f>
        <v>1800</v>
      </c>
      <c r="D535" s="14" t="str">
        <f>""</f>
        <v/>
      </c>
      <c r="E535" s="14" t="s">
        <v>1402</v>
      </c>
      <c r="F535" s="14" t="s">
        <v>1002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228</v>
      </c>
      <c r="P535" s="14" t="s">
        <v>260</v>
      </c>
      <c r="Q535" s="14" t="s">
        <v>260</v>
      </c>
      <c r="R535" s="14" t="s">
        <v>229</v>
      </c>
    </row>
    <row r="536" spans="1:18" s="14" customFormat="1" x14ac:dyDescent="0.25">
      <c r="A536" s="14" t="str">
        <f>"83710"</f>
        <v>83710</v>
      </c>
      <c r="B536" s="14" t="str">
        <f>"07010"</f>
        <v>07010</v>
      </c>
      <c r="C536" s="14" t="str">
        <f>"1800"</f>
        <v>1800</v>
      </c>
      <c r="D536" s="14" t="str">
        <f>""</f>
        <v/>
      </c>
      <c r="E536" s="14" t="s">
        <v>1416</v>
      </c>
      <c r="F536" s="14" t="s">
        <v>1002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228</v>
      </c>
      <c r="P536" s="14" t="s">
        <v>260</v>
      </c>
      <c r="Q536" s="14" t="s">
        <v>260</v>
      </c>
      <c r="R536" s="14" t="s">
        <v>229</v>
      </c>
    </row>
    <row r="537" spans="1:18" s="14" customFormat="1" x14ac:dyDescent="0.25">
      <c r="A537" s="14" t="str">
        <f>"83711"</f>
        <v>83711</v>
      </c>
      <c r="B537" s="14" t="str">
        <f>"07010"</f>
        <v>07010</v>
      </c>
      <c r="C537" s="14" t="str">
        <f>"1800"</f>
        <v>1800</v>
      </c>
      <c r="D537" s="14" t="str">
        <f>""</f>
        <v/>
      </c>
      <c r="E537" s="14" t="s">
        <v>1417</v>
      </c>
      <c r="F537" s="14" t="s">
        <v>1002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228</v>
      </c>
      <c r="P537" s="14" t="s">
        <v>260</v>
      </c>
      <c r="Q537" s="14" t="s">
        <v>260</v>
      </c>
      <c r="R537" s="14" t="s">
        <v>229</v>
      </c>
    </row>
    <row r="538" spans="1:18" s="14" customFormat="1" x14ac:dyDescent="0.25">
      <c r="A538" s="14" t="str">
        <f>"83712"</f>
        <v>83712</v>
      </c>
      <c r="B538" s="14" t="str">
        <f>"07010"</f>
        <v>07010</v>
      </c>
      <c r="C538" s="14" t="str">
        <f>"1800"</f>
        <v>1800</v>
      </c>
      <c r="D538" s="14" t="str">
        <f>""</f>
        <v/>
      </c>
      <c r="E538" s="14" t="s">
        <v>1418</v>
      </c>
      <c r="F538" s="14" t="s">
        <v>1002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228</v>
      </c>
      <c r="P538" s="14" t="s">
        <v>260</v>
      </c>
      <c r="Q538" s="14" t="s">
        <v>260</v>
      </c>
      <c r="R538" s="14" t="s">
        <v>229</v>
      </c>
    </row>
    <row r="539" spans="1:18" s="14" customFormat="1" x14ac:dyDescent="0.25">
      <c r="A539" s="14" t="str">
        <f>"83713"</f>
        <v>83713</v>
      </c>
      <c r="B539" s="14" t="str">
        <f>"07010"</f>
        <v>07010</v>
      </c>
      <c r="C539" s="14" t="str">
        <f>"1800"</f>
        <v>1800</v>
      </c>
      <c r="D539" s="14" t="str">
        <f>""</f>
        <v/>
      </c>
      <c r="E539" s="14" t="s">
        <v>1419</v>
      </c>
      <c r="F539" s="14" t="s">
        <v>1002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228</v>
      </c>
      <c r="P539" s="14" t="s">
        <v>260</v>
      </c>
      <c r="Q539" s="14" t="s">
        <v>260</v>
      </c>
      <c r="R539" s="14" t="s">
        <v>229</v>
      </c>
    </row>
    <row r="540" spans="1:18" s="14" customFormat="1" x14ac:dyDescent="0.25">
      <c r="A540" s="14" t="str">
        <f>"83714"</f>
        <v>83714</v>
      </c>
      <c r="B540" s="14" t="str">
        <f>"07010"</f>
        <v>07010</v>
      </c>
      <c r="C540" s="14" t="str">
        <f>"1800"</f>
        <v>1800</v>
      </c>
      <c r="D540" s="14" t="str">
        <f>""</f>
        <v/>
      </c>
      <c r="E540" s="14" t="s">
        <v>1420</v>
      </c>
      <c r="F540" s="14" t="s">
        <v>1002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228</v>
      </c>
      <c r="P540" s="14" t="s">
        <v>260</v>
      </c>
      <c r="Q540" s="14" t="s">
        <v>260</v>
      </c>
      <c r="R540" s="14" t="s">
        <v>229</v>
      </c>
    </row>
    <row r="541" spans="1:18" s="14" customFormat="1" x14ac:dyDescent="0.25">
      <c r="A541" s="14" t="str">
        <f>"83715"</f>
        <v>83715</v>
      </c>
      <c r="B541" s="14" t="str">
        <f>"07010"</f>
        <v>07010</v>
      </c>
      <c r="C541" s="14" t="str">
        <f>"1800"</f>
        <v>1800</v>
      </c>
      <c r="D541" s="14" t="str">
        <f>""</f>
        <v/>
      </c>
      <c r="E541" s="14" t="s">
        <v>1421</v>
      </c>
      <c r="F541" s="14" t="s">
        <v>1002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228</v>
      </c>
      <c r="P541" s="14" t="s">
        <v>260</v>
      </c>
      <c r="Q541" s="14" t="s">
        <v>260</v>
      </c>
      <c r="R541" s="14" t="s">
        <v>229</v>
      </c>
    </row>
    <row r="542" spans="1:18" s="14" customFormat="1" x14ac:dyDescent="0.25">
      <c r="A542" s="14" t="str">
        <f>"83716"</f>
        <v>83716</v>
      </c>
      <c r="B542" s="14" t="str">
        <f>"07010"</f>
        <v>07010</v>
      </c>
      <c r="C542" s="14" t="str">
        <f>"1800"</f>
        <v>1800</v>
      </c>
      <c r="D542" s="14" t="str">
        <f>""</f>
        <v/>
      </c>
      <c r="E542" s="14" t="s">
        <v>1422</v>
      </c>
      <c r="F542" s="14" t="s">
        <v>1002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228</v>
      </c>
      <c r="P542" s="14" t="s">
        <v>260</v>
      </c>
      <c r="Q542" s="14" t="s">
        <v>260</v>
      </c>
      <c r="R542" s="14" t="s">
        <v>229</v>
      </c>
    </row>
    <row r="543" spans="1:18" s="14" customFormat="1" x14ac:dyDescent="0.25">
      <c r="A543" s="14" t="str">
        <f>"83717"</f>
        <v>83717</v>
      </c>
      <c r="B543" s="14" t="str">
        <f>"07010"</f>
        <v>07010</v>
      </c>
      <c r="C543" s="14" t="str">
        <f>"1800"</f>
        <v>1800</v>
      </c>
      <c r="D543" s="14" t="str">
        <f>""</f>
        <v/>
      </c>
      <c r="E543" s="14" t="s">
        <v>1423</v>
      </c>
      <c r="F543" s="14" t="s">
        <v>1002</v>
      </c>
      <c r="G543" s="14" t="str">
        <f>""</f>
        <v/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228</v>
      </c>
      <c r="P543" s="14" t="s">
        <v>260</v>
      </c>
      <c r="Q543" s="14" t="s">
        <v>260</v>
      </c>
      <c r="R543" s="14" t="s">
        <v>229</v>
      </c>
    </row>
    <row r="544" spans="1:18" s="14" customFormat="1" x14ac:dyDescent="0.25">
      <c r="A544" s="14" t="str">
        <f>"83718"</f>
        <v>83718</v>
      </c>
      <c r="B544" s="14" t="str">
        <f>"07010"</f>
        <v>07010</v>
      </c>
      <c r="C544" s="14" t="str">
        <f>"1800"</f>
        <v>1800</v>
      </c>
      <c r="D544" s="14" t="str">
        <f>""</f>
        <v/>
      </c>
      <c r="E544" s="14" t="s">
        <v>1424</v>
      </c>
      <c r="F544" s="14" t="s">
        <v>1002</v>
      </c>
      <c r="G544" s="14" t="str">
        <f>""</f>
        <v/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228</v>
      </c>
      <c r="P544" s="14" t="s">
        <v>260</v>
      </c>
      <c r="Q544" s="14" t="s">
        <v>260</v>
      </c>
      <c r="R544" s="14" t="s">
        <v>229</v>
      </c>
    </row>
    <row r="545" spans="1:18" s="14" customFormat="1" x14ac:dyDescent="0.25">
      <c r="A545" s="14" t="str">
        <f>"83719"</f>
        <v>83719</v>
      </c>
      <c r="B545" s="14" t="str">
        <f>"07010"</f>
        <v>07010</v>
      </c>
      <c r="C545" s="14" t="str">
        <f>"1800"</f>
        <v>1800</v>
      </c>
      <c r="D545" s="14" t="str">
        <f>""</f>
        <v/>
      </c>
      <c r="E545" s="14" t="s">
        <v>1425</v>
      </c>
      <c r="F545" s="14" t="s">
        <v>1002</v>
      </c>
      <c r="G545" s="14" t="str">
        <f>""</f>
        <v/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228</v>
      </c>
      <c r="P545" s="14" t="s">
        <v>260</v>
      </c>
      <c r="Q545" s="14" t="s">
        <v>260</v>
      </c>
      <c r="R545" s="14" t="s">
        <v>229</v>
      </c>
    </row>
    <row r="546" spans="1:18" s="14" customFormat="1" x14ac:dyDescent="0.25">
      <c r="A546" s="14" t="str">
        <f>"83720"</f>
        <v>83720</v>
      </c>
      <c r="B546" s="14" t="str">
        <f>"07010"</f>
        <v>07010</v>
      </c>
      <c r="C546" s="14" t="str">
        <f>"1800"</f>
        <v>1800</v>
      </c>
      <c r="D546" s="14" t="str">
        <f>""</f>
        <v/>
      </c>
      <c r="E546" s="14" t="s">
        <v>1426</v>
      </c>
      <c r="F546" s="14" t="s">
        <v>1002</v>
      </c>
      <c r="G546" s="14" t="str">
        <f>""</f>
        <v/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228</v>
      </c>
      <c r="P546" s="14" t="s">
        <v>260</v>
      </c>
      <c r="Q546" s="14" t="s">
        <v>260</v>
      </c>
      <c r="R546" s="14" t="s">
        <v>229</v>
      </c>
    </row>
    <row r="547" spans="1:18" s="14" customFormat="1" x14ac:dyDescent="0.25">
      <c r="A547" s="14" t="str">
        <f>"83721"</f>
        <v>83721</v>
      </c>
      <c r="B547" s="14" t="str">
        <f>"07010"</f>
        <v>07010</v>
      </c>
      <c r="C547" s="14" t="str">
        <f>"1800"</f>
        <v>1800</v>
      </c>
      <c r="D547" s="14" t="str">
        <f>""</f>
        <v/>
      </c>
      <c r="E547" s="14" t="s">
        <v>1427</v>
      </c>
      <c r="F547" s="14" t="s">
        <v>1002</v>
      </c>
      <c r="G547" s="14" t="str">
        <f>""</f>
        <v/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228</v>
      </c>
      <c r="P547" s="14" t="s">
        <v>260</v>
      </c>
      <c r="Q547" s="14" t="s">
        <v>260</v>
      </c>
      <c r="R547" s="14" t="s">
        <v>229</v>
      </c>
    </row>
    <row r="548" spans="1:18" s="14" customFormat="1" x14ac:dyDescent="0.25">
      <c r="A548" s="14" t="str">
        <f>"83722"</f>
        <v>83722</v>
      </c>
      <c r="B548" s="14" t="str">
        <f>"07010"</f>
        <v>07010</v>
      </c>
      <c r="C548" s="14" t="str">
        <f>"1800"</f>
        <v>1800</v>
      </c>
      <c r="D548" s="14" t="str">
        <f>""</f>
        <v/>
      </c>
      <c r="E548" s="14" t="s">
        <v>1428</v>
      </c>
      <c r="F548" s="14" t="s">
        <v>1002</v>
      </c>
      <c r="G548" s="14" t="str">
        <f>""</f>
        <v/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228</v>
      </c>
      <c r="P548" s="14" t="s">
        <v>260</v>
      </c>
      <c r="Q548" s="14" t="s">
        <v>260</v>
      </c>
      <c r="R548" s="14" t="s">
        <v>229</v>
      </c>
    </row>
    <row r="549" spans="1:18" s="14" customFormat="1" x14ac:dyDescent="0.25">
      <c r="A549" s="14" t="str">
        <f>"83723"</f>
        <v>83723</v>
      </c>
      <c r="B549" s="14" t="str">
        <f>"07010"</f>
        <v>07010</v>
      </c>
      <c r="C549" s="14" t="str">
        <f>"1800"</f>
        <v>1800</v>
      </c>
      <c r="D549" s="14" t="str">
        <f>""</f>
        <v/>
      </c>
      <c r="E549" s="14" t="s">
        <v>1429</v>
      </c>
      <c r="F549" s="14" t="s">
        <v>1002</v>
      </c>
      <c r="G549" s="14" t="str">
        <f>""</f>
        <v/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228</v>
      </c>
      <c r="P549" s="14" t="s">
        <v>260</v>
      </c>
      <c r="Q549" s="14" t="s">
        <v>260</v>
      </c>
      <c r="R549" s="14" t="s">
        <v>229</v>
      </c>
    </row>
    <row r="550" spans="1:18" s="14" customFormat="1" x14ac:dyDescent="0.25">
      <c r="A550" s="14" t="str">
        <f>"83724"</f>
        <v>83724</v>
      </c>
      <c r="B550" s="14" t="str">
        <f>"07010"</f>
        <v>07010</v>
      </c>
      <c r="C550" s="14" t="str">
        <f>"1800"</f>
        <v>1800</v>
      </c>
      <c r="D550" s="14" t="str">
        <f>""</f>
        <v/>
      </c>
      <c r="E550" s="14" t="s">
        <v>1430</v>
      </c>
      <c r="F550" s="14" t="s">
        <v>1002</v>
      </c>
      <c r="G550" s="14" t="str">
        <f>""</f>
        <v/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228</v>
      </c>
      <c r="P550" s="14" t="s">
        <v>260</v>
      </c>
      <c r="Q550" s="14" t="s">
        <v>260</v>
      </c>
      <c r="R550" s="14" t="s">
        <v>229</v>
      </c>
    </row>
    <row r="551" spans="1:18" s="14" customFormat="1" x14ac:dyDescent="0.25">
      <c r="A551" s="14" t="str">
        <f>"83725"</f>
        <v>83725</v>
      </c>
      <c r="B551" s="14" t="str">
        <f>"07010"</f>
        <v>07010</v>
      </c>
      <c r="C551" s="14" t="str">
        <f>"1800"</f>
        <v>1800</v>
      </c>
      <c r="D551" s="14" t="str">
        <f>""</f>
        <v/>
      </c>
      <c r="E551" s="14" t="s">
        <v>1431</v>
      </c>
      <c r="F551" s="14" t="s">
        <v>1002</v>
      </c>
      <c r="G551" s="14" t="str">
        <f>""</f>
        <v/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228</v>
      </c>
      <c r="P551" s="14" t="s">
        <v>260</v>
      </c>
      <c r="Q551" s="14" t="s">
        <v>260</v>
      </c>
      <c r="R551" s="14" t="s">
        <v>229</v>
      </c>
    </row>
    <row r="552" spans="1:18" s="14" customFormat="1" x14ac:dyDescent="0.25">
      <c r="A552" s="14" t="str">
        <f>"83726"</f>
        <v>83726</v>
      </c>
      <c r="B552" s="14" t="str">
        <f>"07010"</f>
        <v>07010</v>
      </c>
      <c r="C552" s="14" t="str">
        <f>"1800"</f>
        <v>1800</v>
      </c>
      <c r="D552" s="14" t="str">
        <f>""</f>
        <v/>
      </c>
      <c r="E552" s="14" t="s">
        <v>1432</v>
      </c>
      <c r="F552" s="14" t="s">
        <v>1002</v>
      </c>
      <c r="G552" s="14" t="str">
        <f>""</f>
        <v/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228</v>
      </c>
      <c r="P552" s="14" t="s">
        <v>260</v>
      </c>
      <c r="Q552" s="14" t="s">
        <v>260</v>
      </c>
      <c r="R552" s="14" t="s">
        <v>229</v>
      </c>
    </row>
    <row r="553" spans="1:18" s="14" customFormat="1" x14ac:dyDescent="0.25">
      <c r="A553" s="14" t="str">
        <f>"83727"</f>
        <v>83727</v>
      </c>
      <c r="B553" s="14" t="str">
        <f>"07010"</f>
        <v>07010</v>
      </c>
      <c r="C553" s="14" t="str">
        <f>"1800"</f>
        <v>1800</v>
      </c>
      <c r="D553" s="14" t="str">
        <f>""</f>
        <v/>
      </c>
      <c r="E553" s="14" t="s">
        <v>1433</v>
      </c>
      <c r="F553" s="14" t="s">
        <v>1002</v>
      </c>
      <c r="G553" s="14" t="str">
        <f>""</f>
        <v/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228</v>
      </c>
      <c r="P553" s="14" t="s">
        <v>260</v>
      </c>
      <c r="Q553" s="14" t="s">
        <v>260</v>
      </c>
      <c r="R553" s="14" t="s">
        <v>229</v>
      </c>
    </row>
    <row r="554" spans="1:18" s="14" customFormat="1" x14ac:dyDescent="0.25">
      <c r="A554" s="14" t="str">
        <f>"83728"</f>
        <v>83728</v>
      </c>
      <c r="B554" s="14" t="str">
        <f>"07010"</f>
        <v>07010</v>
      </c>
      <c r="C554" s="14" t="str">
        <f>"1800"</f>
        <v>1800</v>
      </c>
      <c r="D554" s="14" t="str">
        <f>""</f>
        <v/>
      </c>
      <c r="E554" s="14" t="s">
        <v>1434</v>
      </c>
      <c r="F554" s="14" t="s">
        <v>1002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228</v>
      </c>
      <c r="P554" s="14" t="s">
        <v>260</v>
      </c>
      <c r="Q554" s="14" t="s">
        <v>260</v>
      </c>
      <c r="R554" s="14" t="s">
        <v>229</v>
      </c>
    </row>
    <row r="555" spans="1:18" s="14" customFormat="1" x14ac:dyDescent="0.25">
      <c r="A555" s="14" t="str">
        <f>"83729"</f>
        <v>83729</v>
      </c>
      <c r="B555" s="14" t="str">
        <f>"07010"</f>
        <v>07010</v>
      </c>
      <c r="C555" s="14" t="str">
        <f>"1800"</f>
        <v>1800</v>
      </c>
      <c r="D555" s="14" t="str">
        <f>""</f>
        <v/>
      </c>
      <c r="E555" s="14" t="s">
        <v>1435</v>
      </c>
      <c r="F555" s="14" t="s">
        <v>1002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228</v>
      </c>
      <c r="P555" s="14" t="s">
        <v>260</v>
      </c>
      <c r="Q555" s="14" t="s">
        <v>260</v>
      </c>
      <c r="R555" s="14" t="s">
        <v>229</v>
      </c>
    </row>
    <row r="556" spans="1:18" s="14" customFormat="1" x14ac:dyDescent="0.25">
      <c r="A556" s="14" t="str">
        <f>"83730"</f>
        <v>83730</v>
      </c>
      <c r="B556" s="14" t="str">
        <f>"07010"</f>
        <v>07010</v>
      </c>
      <c r="C556" s="14" t="str">
        <f>"1800"</f>
        <v>1800</v>
      </c>
      <c r="D556" s="14" t="str">
        <f>""</f>
        <v/>
      </c>
      <c r="E556" s="14" t="s">
        <v>1436</v>
      </c>
      <c r="F556" s="14" t="s">
        <v>1002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228</v>
      </c>
      <c r="P556" s="14" t="s">
        <v>260</v>
      </c>
      <c r="Q556" s="14" t="s">
        <v>260</v>
      </c>
      <c r="R556" s="14" t="s">
        <v>229</v>
      </c>
    </row>
    <row r="557" spans="1:18" s="14" customFormat="1" x14ac:dyDescent="0.25">
      <c r="A557" s="14" t="str">
        <f>"83731"</f>
        <v>83731</v>
      </c>
      <c r="B557" s="14" t="str">
        <f>"07010"</f>
        <v>07010</v>
      </c>
      <c r="C557" s="14" t="str">
        <f>"1800"</f>
        <v>1800</v>
      </c>
      <c r="D557" s="14" t="str">
        <f>""</f>
        <v/>
      </c>
      <c r="E557" s="14" t="s">
        <v>1437</v>
      </c>
      <c r="F557" s="14" t="s">
        <v>1002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228</v>
      </c>
      <c r="P557" s="14" t="s">
        <v>260</v>
      </c>
      <c r="Q557" s="14" t="s">
        <v>260</v>
      </c>
      <c r="R557" s="14" t="s">
        <v>229</v>
      </c>
    </row>
    <row r="558" spans="1:18" s="14" customFormat="1" x14ac:dyDescent="0.25">
      <c r="A558" s="14" t="str">
        <f>"83732"</f>
        <v>83732</v>
      </c>
      <c r="B558" s="14" t="str">
        <f>"07010"</f>
        <v>07010</v>
      </c>
      <c r="C558" s="14" t="str">
        <f>"1800"</f>
        <v>1800</v>
      </c>
      <c r="D558" s="14" t="str">
        <f>""</f>
        <v/>
      </c>
      <c r="E558" s="14" t="s">
        <v>1438</v>
      </c>
      <c r="F558" s="14" t="s">
        <v>1002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228</v>
      </c>
      <c r="P558" s="14" t="s">
        <v>260</v>
      </c>
      <c r="Q558" s="14" t="s">
        <v>260</v>
      </c>
      <c r="R558" s="14" t="s">
        <v>229</v>
      </c>
    </row>
    <row r="559" spans="1:18" s="14" customFormat="1" x14ac:dyDescent="0.25">
      <c r="A559" s="14" t="str">
        <f>"83733"</f>
        <v>83733</v>
      </c>
      <c r="B559" s="14" t="str">
        <f>"07010"</f>
        <v>07010</v>
      </c>
      <c r="C559" s="14" t="str">
        <f>"1800"</f>
        <v>1800</v>
      </c>
      <c r="D559" s="14" t="str">
        <f>""</f>
        <v/>
      </c>
      <c r="E559" s="14" t="s">
        <v>1439</v>
      </c>
      <c r="F559" s="14" t="s">
        <v>1002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228</v>
      </c>
      <c r="P559" s="14" t="s">
        <v>260</v>
      </c>
      <c r="Q559" s="14" t="s">
        <v>260</v>
      </c>
      <c r="R559" s="14" t="s">
        <v>229</v>
      </c>
    </row>
    <row r="560" spans="1:18" s="14" customFormat="1" x14ac:dyDescent="0.25">
      <c r="A560" s="14" t="str">
        <f>"83734"</f>
        <v>83734</v>
      </c>
      <c r="B560" s="14" t="str">
        <f>"07010"</f>
        <v>07010</v>
      </c>
      <c r="C560" s="14" t="str">
        <f>"1800"</f>
        <v>1800</v>
      </c>
      <c r="D560" s="14" t="str">
        <f>""</f>
        <v/>
      </c>
      <c r="E560" s="14" t="s">
        <v>1440</v>
      </c>
      <c r="F560" s="14" t="s">
        <v>1002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228</v>
      </c>
      <c r="P560" s="14" t="s">
        <v>260</v>
      </c>
      <c r="Q560" s="14" t="s">
        <v>260</v>
      </c>
      <c r="R560" s="14" t="s">
        <v>229</v>
      </c>
    </row>
    <row r="561" spans="1:18" s="14" customFormat="1" x14ac:dyDescent="0.25">
      <c r="A561" s="14" t="str">
        <f>"83735"</f>
        <v>83735</v>
      </c>
      <c r="B561" s="14" t="str">
        <f>"07010"</f>
        <v>07010</v>
      </c>
      <c r="C561" s="14" t="str">
        <f>"1800"</f>
        <v>1800</v>
      </c>
      <c r="D561" s="14" t="str">
        <f>""</f>
        <v/>
      </c>
      <c r="E561" s="14" t="s">
        <v>1441</v>
      </c>
      <c r="F561" s="14" t="s">
        <v>1002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228</v>
      </c>
      <c r="P561" s="14" t="s">
        <v>260</v>
      </c>
      <c r="Q561" s="14" t="s">
        <v>260</v>
      </c>
      <c r="R561" s="14" t="s">
        <v>229</v>
      </c>
    </row>
    <row r="562" spans="1:18" s="14" customFormat="1" x14ac:dyDescent="0.25">
      <c r="A562" s="14" t="str">
        <f>"83736"</f>
        <v>83736</v>
      </c>
      <c r="B562" s="14" t="str">
        <f>"07010"</f>
        <v>07010</v>
      </c>
      <c r="C562" s="14" t="str">
        <f>"1800"</f>
        <v>1800</v>
      </c>
      <c r="D562" s="14" t="str">
        <f>""</f>
        <v/>
      </c>
      <c r="E562" s="14" t="s">
        <v>1442</v>
      </c>
      <c r="F562" s="14" t="s">
        <v>1002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228</v>
      </c>
      <c r="P562" s="14" t="s">
        <v>260</v>
      </c>
      <c r="Q562" s="14" t="s">
        <v>260</v>
      </c>
      <c r="R562" s="14" t="s">
        <v>229</v>
      </c>
    </row>
    <row r="563" spans="1:18" s="14" customFormat="1" x14ac:dyDescent="0.25">
      <c r="A563" s="14" t="str">
        <f>"83737"</f>
        <v>83737</v>
      </c>
      <c r="B563" s="14" t="str">
        <f>"07010"</f>
        <v>07010</v>
      </c>
      <c r="C563" s="14" t="str">
        <f>"1800"</f>
        <v>1800</v>
      </c>
      <c r="D563" s="14" t="str">
        <f>""</f>
        <v/>
      </c>
      <c r="E563" s="14" t="s">
        <v>1443</v>
      </c>
      <c r="F563" s="14" t="s">
        <v>1002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228</v>
      </c>
      <c r="P563" s="14" t="s">
        <v>260</v>
      </c>
      <c r="Q563" s="14" t="s">
        <v>260</v>
      </c>
      <c r="R563" s="14" t="s">
        <v>229</v>
      </c>
    </row>
    <row r="564" spans="1:18" s="14" customFormat="1" x14ac:dyDescent="0.25">
      <c r="A564" s="14" t="str">
        <f>"83738"</f>
        <v>83738</v>
      </c>
      <c r="B564" s="14" t="str">
        <f>"07010"</f>
        <v>07010</v>
      </c>
      <c r="C564" s="14" t="str">
        <f>"1800"</f>
        <v>1800</v>
      </c>
      <c r="D564" s="14" t="str">
        <f>""</f>
        <v/>
      </c>
      <c r="E564" s="14" t="s">
        <v>1444</v>
      </c>
      <c r="F564" s="14" t="s">
        <v>1002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228</v>
      </c>
      <c r="P564" s="14" t="s">
        <v>260</v>
      </c>
      <c r="Q564" s="14" t="s">
        <v>260</v>
      </c>
      <c r="R564" s="14" t="s">
        <v>229</v>
      </c>
    </row>
    <row r="565" spans="1:18" s="14" customFormat="1" x14ac:dyDescent="0.25">
      <c r="A565" s="14" t="str">
        <f>"83739"</f>
        <v>83739</v>
      </c>
      <c r="B565" s="14" t="str">
        <f>"07010"</f>
        <v>07010</v>
      </c>
      <c r="C565" s="14" t="str">
        <f>"1800"</f>
        <v>1800</v>
      </c>
      <c r="D565" s="14" t="str">
        <f>""</f>
        <v/>
      </c>
      <c r="E565" s="14" t="s">
        <v>1445</v>
      </c>
      <c r="F565" s="14" t="s">
        <v>1002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228</v>
      </c>
      <c r="P565" s="14" t="s">
        <v>260</v>
      </c>
      <c r="Q565" s="14" t="s">
        <v>260</v>
      </c>
      <c r="R565" s="14" t="s">
        <v>229</v>
      </c>
    </row>
    <row r="566" spans="1:18" s="14" customFormat="1" x14ac:dyDescent="0.25">
      <c r="A566" s="14" t="str">
        <f>"83740"</f>
        <v>83740</v>
      </c>
      <c r="B566" s="14" t="str">
        <f>"07010"</f>
        <v>07010</v>
      </c>
      <c r="C566" s="14" t="str">
        <f>"1800"</f>
        <v>1800</v>
      </c>
      <c r="D566" s="14" t="str">
        <f>""</f>
        <v/>
      </c>
      <c r="E566" s="14" t="s">
        <v>1446</v>
      </c>
      <c r="F566" s="14" t="s">
        <v>1002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228</v>
      </c>
      <c r="P566" s="14" t="s">
        <v>260</v>
      </c>
      <c r="Q566" s="14" t="s">
        <v>260</v>
      </c>
      <c r="R566" s="14" t="s">
        <v>229</v>
      </c>
    </row>
    <row r="567" spans="1:18" s="14" customFormat="1" x14ac:dyDescent="0.25">
      <c r="A567" s="14" t="str">
        <f>"83741"</f>
        <v>83741</v>
      </c>
      <c r="B567" s="14" t="str">
        <f>"07010"</f>
        <v>07010</v>
      </c>
      <c r="C567" s="14" t="str">
        <f>"1800"</f>
        <v>1800</v>
      </c>
      <c r="D567" s="14" t="str">
        <f>""</f>
        <v/>
      </c>
      <c r="E567" s="14" t="s">
        <v>1447</v>
      </c>
      <c r="F567" s="14" t="s">
        <v>1002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228</v>
      </c>
      <c r="P567" s="14" t="s">
        <v>260</v>
      </c>
      <c r="Q567" s="14" t="s">
        <v>260</v>
      </c>
      <c r="R567" s="14" t="s">
        <v>229</v>
      </c>
    </row>
    <row r="568" spans="1:18" s="14" customFormat="1" x14ac:dyDescent="0.25">
      <c r="A568" s="14" t="str">
        <f>"83742"</f>
        <v>83742</v>
      </c>
      <c r="B568" s="14" t="str">
        <f>"07010"</f>
        <v>07010</v>
      </c>
      <c r="C568" s="14" t="str">
        <f>"1800"</f>
        <v>1800</v>
      </c>
      <c r="D568" s="14" t="str">
        <f>""</f>
        <v/>
      </c>
      <c r="E568" s="14" t="s">
        <v>1448</v>
      </c>
      <c r="F568" s="14" t="s">
        <v>1002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228</v>
      </c>
      <c r="P568" s="14" t="s">
        <v>260</v>
      </c>
      <c r="Q568" s="14" t="s">
        <v>260</v>
      </c>
      <c r="R568" s="14" t="s">
        <v>229</v>
      </c>
    </row>
    <row r="569" spans="1:18" s="14" customFormat="1" x14ac:dyDescent="0.25">
      <c r="A569" s="14" t="str">
        <f>"83743"</f>
        <v>83743</v>
      </c>
      <c r="B569" s="14" t="str">
        <f>"07010"</f>
        <v>07010</v>
      </c>
      <c r="C569" s="14" t="str">
        <f>"1800"</f>
        <v>1800</v>
      </c>
      <c r="D569" s="14" t="str">
        <f>""</f>
        <v/>
      </c>
      <c r="E569" s="14" t="s">
        <v>1449</v>
      </c>
      <c r="F569" s="14" t="s">
        <v>1002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228</v>
      </c>
      <c r="P569" s="14" t="s">
        <v>260</v>
      </c>
      <c r="Q569" s="14" t="s">
        <v>260</v>
      </c>
      <c r="R569" s="14" t="s">
        <v>229</v>
      </c>
    </row>
    <row r="570" spans="1:18" s="14" customFormat="1" x14ac:dyDescent="0.25">
      <c r="A570" s="14" t="str">
        <f>"83744"</f>
        <v>83744</v>
      </c>
      <c r="B570" s="14" t="str">
        <f>"07010"</f>
        <v>07010</v>
      </c>
      <c r="C570" s="14" t="str">
        <f>"1800"</f>
        <v>1800</v>
      </c>
      <c r="D570" s="14" t="str">
        <f>""</f>
        <v/>
      </c>
      <c r="E570" s="14" t="s">
        <v>1450</v>
      </c>
      <c r="F570" s="14" t="s">
        <v>1002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228</v>
      </c>
      <c r="P570" s="14" t="s">
        <v>260</v>
      </c>
      <c r="Q570" s="14" t="s">
        <v>260</v>
      </c>
      <c r="R570" s="14" t="s">
        <v>229</v>
      </c>
    </row>
    <row r="571" spans="1:18" s="14" customFormat="1" x14ac:dyDescent="0.25">
      <c r="A571" s="14" t="str">
        <f>"83745"</f>
        <v>83745</v>
      </c>
      <c r="B571" s="14" t="str">
        <f>"07010"</f>
        <v>07010</v>
      </c>
      <c r="C571" s="14" t="str">
        <f>"1800"</f>
        <v>1800</v>
      </c>
      <c r="D571" s="14" t="str">
        <f>""</f>
        <v/>
      </c>
      <c r="E571" s="14" t="s">
        <v>1451</v>
      </c>
      <c r="F571" s="14" t="s">
        <v>1002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228</v>
      </c>
      <c r="P571" s="14" t="s">
        <v>260</v>
      </c>
      <c r="Q571" s="14" t="s">
        <v>260</v>
      </c>
      <c r="R571" s="14" t="s">
        <v>229</v>
      </c>
    </row>
    <row r="572" spans="1:18" s="14" customFormat="1" x14ac:dyDescent="0.25">
      <c r="A572" s="14" t="str">
        <f>"83746"</f>
        <v>83746</v>
      </c>
      <c r="B572" s="14" t="str">
        <f>"07010"</f>
        <v>07010</v>
      </c>
      <c r="C572" s="14" t="str">
        <f>"1800"</f>
        <v>1800</v>
      </c>
      <c r="D572" s="14" t="str">
        <f>""</f>
        <v/>
      </c>
      <c r="E572" s="14" t="s">
        <v>1452</v>
      </c>
      <c r="F572" s="14" t="s">
        <v>1002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228</v>
      </c>
      <c r="P572" s="14" t="s">
        <v>260</v>
      </c>
      <c r="Q572" s="14" t="s">
        <v>260</v>
      </c>
      <c r="R572" s="14" t="s">
        <v>229</v>
      </c>
    </row>
    <row r="573" spans="1:18" s="14" customFormat="1" x14ac:dyDescent="0.25">
      <c r="A573" s="14" t="str">
        <f>"83747"</f>
        <v>83747</v>
      </c>
      <c r="B573" s="14" t="str">
        <f>"07010"</f>
        <v>07010</v>
      </c>
      <c r="C573" s="14" t="str">
        <f>"1800"</f>
        <v>1800</v>
      </c>
      <c r="D573" s="14" t="str">
        <f>""</f>
        <v/>
      </c>
      <c r="E573" s="14" t="s">
        <v>1453</v>
      </c>
      <c r="F573" s="14" t="s">
        <v>1002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228</v>
      </c>
      <c r="P573" s="14" t="s">
        <v>260</v>
      </c>
      <c r="Q573" s="14" t="s">
        <v>260</v>
      </c>
      <c r="R573" s="14" t="s">
        <v>229</v>
      </c>
    </row>
    <row r="574" spans="1:18" s="14" customFormat="1" x14ac:dyDescent="0.25">
      <c r="A574" s="14" t="str">
        <f>"83748"</f>
        <v>83748</v>
      </c>
      <c r="B574" s="14" t="str">
        <f>"07010"</f>
        <v>07010</v>
      </c>
      <c r="C574" s="14" t="str">
        <f>"1800"</f>
        <v>1800</v>
      </c>
      <c r="D574" s="14" t="str">
        <f>""</f>
        <v/>
      </c>
      <c r="E574" s="14" t="s">
        <v>1454</v>
      </c>
      <c r="F574" s="14" t="s">
        <v>1002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228</v>
      </c>
      <c r="P574" s="14" t="s">
        <v>260</v>
      </c>
      <c r="Q574" s="14" t="s">
        <v>260</v>
      </c>
      <c r="R574" s="14" t="s">
        <v>229</v>
      </c>
    </row>
    <row r="575" spans="1:18" s="14" customFormat="1" x14ac:dyDescent="0.25">
      <c r="A575" s="14" t="str">
        <f>"83749"</f>
        <v>83749</v>
      </c>
      <c r="B575" s="14" t="str">
        <f>"07010"</f>
        <v>07010</v>
      </c>
      <c r="C575" s="14" t="str">
        <f>"1800"</f>
        <v>1800</v>
      </c>
      <c r="D575" s="14" t="str">
        <f>""</f>
        <v/>
      </c>
      <c r="E575" s="14" t="s">
        <v>1455</v>
      </c>
      <c r="F575" s="14" t="s">
        <v>1002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228</v>
      </c>
      <c r="P575" s="14" t="s">
        <v>260</v>
      </c>
      <c r="Q575" s="14" t="s">
        <v>260</v>
      </c>
      <c r="R575" s="14" t="s">
        <v>229</v>
      </c>
    </row>
    <row r="576" spans="1:18" s="14" customFormat="1" x14ac:dyDescent="0.25">
      <c r="A576" s="14" t="str">
        <f>"83750"</f>
        <v>83750</v>
      </c>
      <c r="B576" s="14" t="str">
        <f>"07010"</f>
        <v>07010</v>
      </c>
      <c r="C576" s="14" t="str">
        <f>"1800"</f>
        <v>1800</v>
      </c>
      <c r="D576" s="14" t="str">
        <f>""</f>
        <v/>
      </c>
      <c r="E576" s="14" t="s">
        <v>1456</v>
      </c>
      <c r="F576" s="14" t="s">
        <v>1002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228</v>
      </c>
      <c r="P576" s="14" t="s">
        <v>260</v>
      </c>
      <c r="Q576" s="14" t="s">
        <v>260</v>
      </c>
      <c r="R576" s="14" t="s">
        <v>229</v>
      </c>
    </row>
    <row r="577" spans="1:18" s="14" customFormat="1" x14ac:dyDescent="0.25">
      <c r="A577" s="14" t="str">
        <f>"83751"</f>
        <v>83751</v>
      </c>
      <c r="B577" s="14" t="str">
        <f>"07010"</f>
        <v>07010</v>
      </c>
      <c r="C577" s="14" t="str">
        <f>"1800"</f>
        <v>1800</v>
      </c>
      <c r="D577" s="14" t="str">
        <f>""</f>
        <v/>
      </c>
      <c r="E577" s="14" t="s">
        <v>1457</v>
      </c>
      <c r="F577" s="14" t="s">
        <v>1002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228</v>
      </c>
      <c r="P577" s="14" t="s">
        <v>260</v>
      </c>
      <c r="Q577" s="14" t="s">
        <v>260</v>
      </c>
      <c r="R577" s="14" t="s">
        <v>229</v>
      </c>
    </row>
    <row r="578" spans="1:18" s="14" customFormat="1" x14ac:dyDescent="0.25">
      <c r="A578" s="14" t="str">
        <f>"83752"</f>
        <v>83752</v>
      </c>
      <c r="B578" s="14" t="str">
        <f>"07010"</f>
        <v>07010</v>
      </c>
      <c r="C578" s="14" t="str">
        <f>"1800"</f>
        <v>1800</v>
      </c>
      <c r="D578" s="14" t="str">
        <f>""</f>
        <v/>
      </c>
      <c r="E578" s="14" t="s">
        <v>1458</v>
      </c>
      <c r="F578" s="14" t="s">
        <v>1002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228</v>
      </c>
      <c r="P578" s="14" t="s">
        <v>260</v>
      </c>
      <c r="Q578" s="14" t="s">
        <v>260</v>
      </c>
      <c r="R578" s="14" t="s">
        <v>229</v>
      </c>
    </row>
    <row r="579" spans="1:18" s="14" customFormat="1" x14ac:dyDescent="0.25">
      <c r="A579" s="14" t="str">
        <f>"83753"</f>
        <v>83753</v>
      </c>
      <c r="B579" s="14" t="str">
        <f>"07010"</f>
        <v>07010</v>
      </c>
      <c r="C579" s="14" t="str">
        <f>"1800"</f>
        <v>1800</v>
      </c>
      <c r="D579" s="14" t="str">
        <f>""</f>
        <v/>
      </c>
      <c r="E579" s="14" t="s">
        <v>1459</v>
      </c>
      <c r="F579" s="14" t="s">
        <v>1002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228</v>
      </c>
      <c r="P579" s="14" t="s">
        <v>260</v>
      </c>
      <c r="Q579" s="14" t="s">
        <v>260</v>
      </c>
      <c r="R579" s="14" t="s">
        <v>229</v>
      </c>
    </row>
    <row r="580" spans="1:18" s="14" customFormat="1" x14ac:dyDescent="0.25">
      <c r="A580" s="14" t="str">
        <f>"83754"</f>
        <v>83754</v>
      </c>
      <c r="B580" s="14" t="str">
        <f>"07010"</f>
        <v>07010</v>
      </c>
      <c r="C580" s="14" t="str">
        <f>"1800"</f>
        <v>1800</v>
      </c>
      <c r="D580" s="14" t="str">
        <f>""</f>
        <v/>
      </c>
      <c r="E580" s="14" t="s">
        <v>1460</v>
      </c>
      <c r="F580" s="14" t="s">
        <v>1002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228</v>
      </c>
      <c r="P580" s="14" t="s">
        <v>260</v>
      </c>
      <c r="Q580" s="14" t="s">
        <v>260</v>
      </c>
      <c r="R580" s="14" t="s">
        <v>229</v>
      </c>
    </row>
    <row r="581" spans="1:18" s="14" customFormat="1" x14ac:dyDescent="0.25">
      <c r="A581" s="14" t="str">
        <f>"83755"</f>
        <v>83755</v>
      </c>
      <c r="B581" s="14" t="str">
        <f>"07010"</f>
        <v>07010</v>
      </c>
      <c r="C581" s="14" t="str">
        <f>"1800"</f>
        <v>1800</v>
      </c>
      <c r="D581" s="14" t="str">
        <f>""</f>
        <v/>
      </c>
      <c r="E581" s="14" t="s">
        <v>1461</v>
      </c>
      <c r="F581" s="14" t="s">
        <v>1002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228</v>
      </c>
      <c r="P581" s="14" t="s">
        <v>260</v>
      </c>
      <c r="Q581" s="14" t="s">
        <v>260</v>
      </c>
      <c r="R581" s="14" t="s">
        <v>229</v>
      </c>
    </row>
    <row r="582" spans="1:18" s="14" customFormat="1" x14ac:dyDescent="0.25">
      <c r="A582" s="14" t="str">
        <f>"83756"</f>
        <v>83756</v>
      </c>
      <c r="B582" s="14" t="str">
        <f>"07010"</f>
        <v>07010</v>
      </c>
      <c r="C582" s="14" t="str">
        <f>"1800"</f>
        <v>1800</v>
      </c>
      <c r="D582" s="14" t="str">
        <f>""</f>
        <v/>
      </c>
      <c r="E582" s="14" t="s">
        <v>1462</v>
      </c>
      <c r="F582" s="14" t="s">
        <v>1002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228</v>
      </c>
      <c r="P582" s="14" t="s">
        <v>260</v>
      </c>
      <c r="Q582" s="14" t="s">
        <v>260</v>
      </c>
      <c r="R582" s="14" t="s">
        <v>229</v>
      </c>
    </row>
    <row r="583" spans="1:18" s="14" customFormat="1" x14ac:dyDescent="0.25">
      <c r="A583" s="14" t="str">
        <f>"83757"</f>
        <v>83757</v>
      </c>
      <c r="B583" s="14" t="str">
        <f>"07010"</f>
        <v>07010</v>
      </c>
      <c r="C583" s="14" t="str">
        <f>"1800"</f>
        <v>1800</v>
      </c>
      <c r="D583" s="14" t="str">
        <f>""</f>
        <v/>
      </c>
      <c r="E583" s="14" t="s">
        <v>1463</v>
      </c>
      <c r="F583" s="14" t="s">
        <v>1002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228</v>
      </c>
      <c r="P583" s="14" t="s">
        <v>260</v>
      </c>
      <c r="Q583" s="14" t="s">
        <v>260</v>
      </c>
      <c r="R583" s="14" t="s">
        <v>229</v>
      </c>
    </row>
    <row r="584" spans="1:18" s="14" customFormat="1" x14ac:dyDescent="0.25">
      <c r="A584" s="14" t="str">
        <f>"83758"</f>
        <v>83758</v>
      </c>
      <c r="B584" s="14" t="str">
        <f>"07010"</f>
        <v>07010</v>
      </c>
      <c r="C584" s="14" t="str">
        <f>"1800"</f>
        <v>1800</v>
      </c>
      <c r="D584" s="14" t="str">
        <f>""</f>
        <v/>
      </c>
      <c r="E584" s="14" t="s">
        <v>1464</v>
      </c>
      <c r="F584" s="14" t="s">
        <v>1002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228</v>
      </c>
      <c r="P584" s="14" t="s">
        <v>260</v>
      </c>
      <c r="Q584" s="14" t="s">
        <v>260</v>
      </c>
      <c r="R584" s="14" t="s">
        <v>229</v>
      </c>
    </row>
    <row r="585" spans="1:18" s="14" customFormat="1" x14ac:dyDescent="0.25">
      <c r="A585" s="14" t="str">
        <f>"83759"</f>
        <v>83759</v>
      </c>
      <c r="B585" s="14" t="str">
        <f>"07010"</f>
        <v>07010</v>
      </c>
      <c r="C585" s="14" t="str">
        <f>"1800"</f>
        <v>1800</v>
      </c>
      <c r="D585" s="14" t="str">
        <f>""</f>
        <v/>
      </c>
      <c r="E585" s="14" t="s">
        <v>1465</v>
      </c>
      <c r="F585" s="14" t="s">
        <v>1002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228</v>
      </c>
      <c r="P585" s="14" t="s">
        <v>260</v>
      </c>
      <c r="Q585" s="14" t="s">
        <v>260</v>
      </c>
      <c r="R585" s="14" t="s">
        <v>229</v>
      </c>
    </row>
    <row r="586" spans="1:18" s="14" customFormat="1" x14ac:dyDescent="0.25">
      <c r="A586" s="14" t="str">
        <f>"83760"</f>
        <v>83760</v>
      </c>
      <c r="B586" s="14" t="str">
        <f>"07010"</f>
        <v>07010</v>
      </c>
      <c r="C586" s="14" t="str">
        <f>"1800"</f>
        <v>1800</v>
      </c>
      <c r="D586" s="14" t="str">
        <f>""</f>
        <v/>
      </c>
      <c r="E586" s="14" t="s">
        <v>1466</v>
      </c>
      <c r="F586" s="14" t="s">
        <v>1002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228</v>
      </c>
      <c r="P586" s="14" t="s">
        <v>260</v>
      </c>
      <c r="Q586" s="14" t="s">
        <v>260</v>
      </c>
      <c r="R586" s="14" t="s">
        <v>229</v>
      </c>
    </row>
    <row r="587" spans="1:18" s="14" customFormat="1" x14ac:dyDescent="0.25">
      <c r="A587" s="14" t="str">
        <f>"83761"</f>
        <v>83761</v>
      </c>
      <c r="B587" s="14" t="str">
        <f>"07010"</f>
        <v>07010</v>
      </c>
      <c r="C587" s="14" t="str">
        <f>"1800"</f>
        <v>1800</v>
      </c>
      <c r="D587" s="14" t="str">
        <f>""</f>
        <v/>
      </c>
      <c r="E587" s="14" t="s">
        <v>1467</v>
      </c>
      <c r="F587" s="14" t="s">
        <v>1002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228</v>
      </c>
      <c r="P587" s="14" t="s">
        <v>260</v>
      </c>
      <c r="Q587" s="14" t="s">
        <v>260</v>
      </c>
      <c r="R587" s="14" t="s">
        <v>229</v>
      </c>
    </row>
    <row r="588" spans="1:18" s="14" customFormat="1" x14ac:dyDescent="0.25">
      <c r="A588" s="14" t="str">
        <f>"83762"</f>
        <v>83762</v>
      </c>
      <c r="B588" s="14" t="str">
        <f>"07010"</f>
        <v>07010</v>
      </c>
      <c r="C588" s="14" t="str">
        <f>"1800"</f>
        <v>1800</v>
      </c>
      <c r="D588" s="14" t="str">
        <f>""</f>
        <v/>
      </c>
      <c r="E588" s="14" t="s">
        <v>1468</v>
      </c>
      <c r="F588" s="14" t="s">
        <v>1002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228</v>
      </c>
      <c r="P588" s="14" t="s">
        <v>260</v>
      </c>
      <c r="Q588" s="14" t="s">
        <v>260</v>
      </c>
      <c r="R588" s="14" t="s">
        <v>229</v>
      </c>
    </row>
    <row r="589" spans="1:18" s="14" customFormat="1" x14ac:dyDescent="0.25">
      <c r="A589" s="14" t="str">
        <f>"83763"</f>
        <v>83763</v>
      </c>
      <c r="B589" s="14" t="str">
        <f>"07010"</f>
        <v>07010</v>
      </c>
      <c r="C589" s="14" t="str">
        <f>"1800"</f>
        <v>1800</v>
      </c>
      <c r="D589" s="14" t="str">
        <f>""</f>
        <v/>
      </c>
      <c r="E589" s="14" t="s">
        <v>1469</v>
      </c>
      <c r="F589" s="14" t="s">
        <v>1002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228</v>
      </c>
      <c r="P589" s="14" t="s">
        <v>260</v>
      </c>
      <c r="Q589" s="14" t="s">
        <v>260</v>
      </c>
      <c r="R589" s="14" t="s">
        <v>229</v>
      </c>
    </row>
    <row r="590" spans="1:18" s="14" customFormat="1" x14ac:dyDescent="0.25">
      <c r="A590" s="14" t="str">
        <f>"83764"</f>
        <v>83764</v>
      </c>
      <c r="B590" s="14" t="str">
        <f>"07010"</f>
        <v>07010</v>
      </c>
      <c r="C590" s="14" t="str">
        <f>"1800"</f>
        <v>1800</v>
      </c>
      <c r="D590" s="14" t="str">
        <f>""</f>
        <v/>
      </c>
      <c r="E590" s="14" t="s">
        <v>1470</v>
      </c>
      <c r="F590" s="14" t="s">
        <v>1002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228</v>
      </c>
      <c r="P590" s="14" t="s">
        <v>260</v>
      </c>
      <c r="Q590" s="14" t="s">
        <v>260</v>
      </c>
      <c r="R590" s="14" t="s">
        <v>229</v>
      </c>
    </row>
    <row r="591" spans="1:18" s="14" customFormat="1" x14ac:dyDescent="0.25">
      <c r="A591" s="14" t="str">
        <f>"83765"</f>
        <v>83765</v>
      </c>
      <c r="B591" s="14" t="str">
        <f>"07010"</f>
        <v>07010</v>
      </c>
      <c r="C591" s="14" t="str">
        <f>"1800"</f>
        <v>1800</v>
      </c>
      <c r="D591" s="14" t="str">
        <f>""</f>
        <v/>
      </c>
      <c r="E591" s="14" t="s">
        <v>1471</v>
      </c>
      <c r="F591" s="14" t="s">
        <v>1002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228</v>
      </c>
      <c r="P591" s="14" t="s">
        <v>260</v>
      </c>
      <c r="Q591" s="14" t="s">
        <v>260</v>
      </c>
      <c r="R591" s="14" t="s">
        <v>229</v>
      </c>
    </row>
    <row r="592" spans="1:18" s="14" customFormat="1" x14ac:dyDescent="0.25">
      <c r="A592" s="14" t="str">
        <f>"83766"</f>
        <v>83766</v>
      </c>
      <c r="B592" s="14" t="str">
        <f>"07010"</f>
        <v>07010</v>
      </c>
      <c r="C592" s="14" t="str">
        <f>"1800"</f>
        <v>1800</v>
      </c>
      <c r="D592" s="14" t="str">
        <f>""</f>
        <v/>
      </c>
      <c r="E592" s="14" t="s">
        <v>1472</v>
      </c>
      <c r="F592" s="14" t="s">
        <v>1002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228</v>
      </c>
      <c r="P592" s="14" t="s">
        <v>260</v>
      </c>
      <c r="Q592" s="14" t="s">
        <v>260</v>
      </c>
      <c r="R592" s="14" t="s">
        <v>229</v>
      </c>
    </row>
    <row r="593" spans="1:18" s="14" customFormat="1" x14ac:dyDescent="0.25">
      <c r="A593" s="14" t="str">
        <f>"83767"</f>
        <v>83767</v>
      </c>
      <c r="B593" s="14" t="str">
        <f>"07010"</f>
        <v>07010</v>
      </c>
      <c r="C593" s="14" t="str">
        <f>"1800"</f>
        <v>1800</v>
      </c>
      <c r="D593" s="14" t="str">
        <f>""</f>
        <v/>
      </c>
      <c r="E593" s="14" t="s">
        <v>1473</v>
      </c>
      <c r="F593" s="14" t="s">
        <v>1002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228</v>
      </c>
      <c r="P593" s="14" t="s">
        <v>260</v>
      </c>
      <c r="Q593" s="14" t="s">
        <v>260</v>
      </c>
      <c r="R593" s="14" t="s">
        <v>229</v>
      </c>
    </row>
    <row r="594" spans="1:18" s="14" customFormat="1" x14ac:dyDescent="0.25">
      <c r="A594" s="14" t="str">
        <f>"83768"</f>
        <v>83768</v>
      </c>
      <c r="B594" s="14" t="str">
        <f>"07010"</f>
        <v>07010</v>
      </c>
      <c r="C594" s="14" t="str">
        <f>"1800"</f>
        <v>1800</v>
      </c>
      <c r="D594" s="14" t="str">
        <f>""</f>
        <v/>
      </c>
      <c r="E594" s="14" t="s">
        <v>1474</v>
      </c>
      <c r="F594" s="14" t="s">
        <v>1002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228</v>
      </c>
      <c r="P594" s="14" t="s">
        <v>260</v>
      </c>
      <c r="Q594" s="14" t="s">
        <v>260</v>
      </c>
      <c r="R594" s="14" t="s">
        <v>229</v>
      </c>
    </row>
    <row r="595" spans="1:18" s="14" customFormat="1" x14ac:dyDescent="0.25">
      <c r="A595" s="14" t="str">
        <f>"83769"</f>
        <v>83769</v>
      </c>
      <c r="B595" s="14" t="str">
        <f>"07010"</f>
        <v>07010</v>
      </c>
      <c r="C595" s="14" t="str">
        <f>"1800"</f>
        <v>1800</v>
      </c>
      <c r="D595" s="14" t="str">
        <f>""</f>
        <v/>
      </c>
      <c r="E595" s="14" t="s">
        <v>1475</v>
      </c>
      <c r="F595" s="14" t="s">
        <v>1002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228</v>
      </c>
      <c r="P595" s="14" t="s">
        <v>260</v>
      </c>
      <c r="Q595" s="14" t="s">
        <v>260</v>
      </c>
      <c r="R595" s="14" t="s">
        <v>229</v>
      </c>
    </row>
    <row r="596" spans="1:18" s="14" customFormat="1" x14ac:dyDescent="0.25">
      <c r="A596" s="14" t="str">
        <f>"83770"</f>
        <v>83770</v>
      </c>
      <c r="B596" s="14" t="str">
        <f>"07010"</f>
        <v>07010</v>
      </c>
      <c r="C596" s="14" t="str">
        <f>"1800"</f>
        <v>1800</v>
      </c>
      <c r="D596" s="14" t="str">
        <f>""</f>
        <v/>
      </c>
      <c r="E596" s="14" t="s">
        <v>1476</v>
      </c>
      <c r="F596" s="14" t="s">
        <v>1002</v>
      </c>
      <c r="G596" s="14" t="str">
        <f>""</f>
        <v/>
      </c>
      <c r="H596" s="14" t="str">
        <f>" 00"</f>
        <v xml:space="preserve"> 00</v>
      </c>
      <c r="I596" s="14">
        <v>0.01</v>
      </c>
      <c r="J596" s="14">
        <v>9999999.9900000002</v>
      </c>
      <c r="K596" s="14" t="s">
        <v>228</v>
      </c>
      <c r="P596" s="14" t="s">
        <v>260</v>
      </c>
      <c r="Q596" s="14" t="s">
        <v>260</v>
      </c>
      <c r="R596" s="14" t="s">
        <v>229</v>
      </c>
    </row>
    <row r="597" spans="1:18" s="14" customFormat="1" x14ac:dyDescent="0.25">
      <c r="A597" s="14" t="str">
        <f>"83771"</f>
        <v>83771</v>
      </c>
      <c r="B597" s="14" t="str">
        <f>"07010"</f>
        <v>07010</v>
      </c>
      <c r="C597" s="14" t="str">
        <f>"1800"</f>
        <v>1800</v>
      </c>
      <c r="D597" s="14" t="str">
        <f>""</f>
        <v/>
      </c>
      <c r="E597" s="14" t="s">
        <v>1477</v>
      </c>
      <c r="F597" s="14" t="s">
        <v>1002</v>
      </c>
      <c r="G597" s="14" t="str">
        <f>""</f>
        <v/>
      </c>
      <c r="H597" s="14" t="str">
        <f>" 00"</f>
        <v xml:space="preserve"> 00</v>
      </c>
      <c r="I597" s="14">
        <v>0.01</v>
      </c>
      <c r="J597" s="14">
        <v>9999999.9900000002</v>
      </c>
      <c r="K597" s="14" t="s">
        <v>228</v>
      </c>
      <c r="P597" s="14" t="s">
        <v>260</v>
      </c>
      <c r="Q597" s="14" t="s">
        <v>260</v>
      </c>
      <c r="R597" s="14" t="s">
        <v>229</v>
      </c>
    </row>
    <row r="598" spans="1:18" s="14" customFormat="1" x14ac:dyDescent="0.25">
      <c r="A598" s="14" t="str">
        <f>"83772"</f>
        <v>83772</v>
      </c>
      <c r="B598" s="14" t="str">
        <f>"07010"</f>
        <v>07010</v>
      </c>
      <c r="C598" s="14" t="str">
        <f>"1800"</f>
        <v>1800</v>
      </c>
      <c r="D598" s="14" t="str">
        <f>""</f>
        <v/>
      </c>
      <c r="E598" s="14" t="s">
        <v>1478</v>
      </c>
      <c r="F598" s="14" t="s">
        <v>1002</v>
      </c>
      <c r="G598" s="14" t="str">
        <f>""</f>
        <v/>
      </c>
      <c r="H598" s="14" t="str">
        <f>" 00"</f>
        <v xml:space="preserve"> 00</v>
      </c>
      <c r="I598" s="14">
        <v>0.01</v>
      </c>
      <c r="J598" s="14">
        <v>9999999.9900000002</v>
      </c>
      <c r="K598" s="14" t="s">
        <v>228</v>
      </c>
      <c r="P598" s="14" t="s">
        <v>260</v>
      </c>
      <c r="Q598" s="14" t="s">
        <v>260</v>
      </c>
      <c r="R598" s="14" t="s">
        <v>229</v>
      </c>
    </row>
    <row r="599" spans="1:18" s="14" customFormat="1" x14ac:dyDescent="0.25">
      <c r="A599" s="14" t="str">
        <f>"83773"</f>
        <v>83773</v>
      </c>
      <c r="B599" s="14" t="str">
        <f>"07010"</f>
        <v>07010</v>
      </c>
      <c r="C599" s="14" t="str">
        <f>"1800"</f>
        <v>1800</v>
      </c>
      <c r="D599" s="14" t="str">
        <f>""</f>
        <v/>
      </c>
      <c r="E599" s="14" t="s">
        <v>1479</v>
      </c>
      <c r="F599" s="14" t="s">
        <v>1002</v>
      </c>
      <c r="G599" s="14" t="str">
        <f>""</f>
        <v/>
      </c>
      <c r="H599" s="14" t="str">
        <f>" 00"</f>
        <v xml:space="preserve"> 00</v>
      </c>
      <c r="I599" s="14">
        <v>0.01</v>
      </c>
      <c r="J599" s="14">
        <v>9999999.9900000002</v>
      </c>
      <c r="K599" s="14" t="s">
        <v>228</v>
      </c>
      <c r="P599" s="14" t="s">
        <v>260</v>
      </c>
      <c r="Q599" s="14" t="s">
        <v>260</v>
      </c>
      <c r="R599" s="14" t="s">
        <v>229</v>
      </c>
    </row>
    <row r="600" spans="1:18" s="14" customFormat="1" x14ac:dyDescent="0.25">
      <c r="A600" s="14" t="str">
        <f>"83774"</f>
        <v>83774</v>
      </c>
      <c r="B600" s="14" t="str">
        <f>"07010"</f>
        <v>07010</v>
      </c>
      <c r="C600" s="14" t="str">
        <f>"1800"</f>
        <v>1800</v>
      </c>
      <c r="D600" s="14" t="str">
        <f>""</f>
        <v/>
      </c>
      <c r="E600" s="14" t="s">
        <v>1480</v>
      </c>
      <c r="F600" s="14" t="s">
        <v>1002</v>
      </c>
      <c r="G600" s="14" t="str">
        <f>""</f>
        <v/>
      </c>
      <c r="H600" s="14" t="str">
        <f>" 00"</f>
        <v xml:space="preserve"> 00</v>
      </c>
      <c r="I600" s="14">
        <v>0.01</v>
      </c>
      <c r="J600" s="14">
        <v>9999999.9900000002</v>
      </c>
      <c r="K600" s="14" t="s">
        <v>228</v>
      </c>
      <c r="P600" s="14" t="s">
        <v>260</v>
      </c>
      <c r="Q600" s="14" t="s">
        <v>260</v>
      </c>
      <c r="R600" s="14" t="s">
        <v>229</v>
      </c>
    </row>
    <row r="601" spans="1:18" s="14" customFormat="1" x14ac:dyDescent="0.25">
      <c r="A601" s="14" t="str">
        <f>"83775"</f>
        <v>83775</v>
      </c>
      <c r="B601" s="14" t="str">
        <f>"07010"</f>
        <v>07010</v>
      </c>
      <c r="C601" s="14" t="str">
        <f>"1800"</f>
        <v>1800</v>
      </c>
      <c r="D601" s="14" t="str">
        <f>""</f>
        <v/>
      </c>
      <c r="E601" s="14" t="s">
        <v>1481</v>
      </c>
      <c r="F601" s="14" t="s">
        <v>1002</v>
      </c>
      <c r="G601" s="14" t="str">
        <f>""</f>
        <v/>
      </c>
      <c r="H601" s="14" t="str">
        <f>" 00"</f>
        <v xml:space="preserve"> 00</v>
      </c>
      <c r="I601" s="14">
        <v>0.01</v>
      </c>
      <c r="J601" s="14">
        <v>9999999.9900000002</v>
      </c>
      <c r="K601" s="14" t="s">
        <v>228</v>
      </c>
      <c r="P601" s="14" t="s">
        <v>260</v>
      </c>
      <c r="Q601" s="14" t="s">
        <v>260</v>
      </c>
      <c r="R601" s="14" t="s">
        <v>229</v>
      </c>
    </row>
    <row r="602" spans="1:18" s="14" customFormat="1" x14ac:dyDescent="0.25">
      <c r="A602" s="14" t="str">
        <f>"83776"</f>
        <v>83776</v>
      </c>
      <c r="B602" s="14" t="str">
        <f>"07010"</f>
        <v>07010</v>
      </c>
      <c r="C602" s="14" t="str">
        <f>"1800"</f>
        <v>1800</v>
      </c>
      <c r="D602" s="14" t="str">
        <f>""</f>
        <v/>
      </c>
      <c r="E602" s="14" t="s">
        <v>1482</v>
      </c>
      <c r="F602" s="14" t="s">
        <v>1002</v>
      </c>
      <c r="G602" s="14" t="str">
        <f>""</f>
        <v/>
      </c>
      <c r="H602" s="14" t="str">
        <f>" 00"</f>
        <v xml:space="preserve"> 00</v>
      </c>
      <c r="I602" s="14">
        <v>0.01</v>
      </c>
      <c r="J602" s="14">
        <v>9999999.9900000002</v>
      </c>
      <c r="K602" s="14" t="s">
        <v>228</v>
      </c>
      <c r="P602" s="14" t="s">
        <v>260</v>
      </c>
      <c r="Q602" s="14" t="s">
        <v>260</v>
      </c>
      <c r="R602" s="14" t="s">
        <v>229</v>
      </c>
    </row>
    <row r="603" spans="1:18" s="14" customFormat="1" x14ac:dyDescent="0.25">
      <c r="A603" s="14" t="str">
        <f>"83777"</f>
        <v>83777</v>
      </c>
      <c r="B603" s="14" t="str">
        <f>"07010"</f>
        <v>07010</v>
      </c>
      <c r="C603" s="14" t="str">
        <f>"1800"</f>
        <v>1800</v>
      </c>
      <c r="D603" s="14" t="str">
        <f>""</f>
        <v/>
      </c>
      <c r="E603" s="14" t="s">
        <v>1483</v>
      </c>
      <c r="F603" s="14" t="s">
        <v>1002</v>
      </c>
      <c r="G603" s="14" t="str">
        <f>""</f>
        <v/>
      </c>
      <c r="H603" s="14" t="str">
        <f>" 00"</f>
        <v xml:space="preserve"> 00</v>
      </c>
      <c r="I603" s="14">
        <v>0.01</v>
      </c>
      <c r="J603" s="14">
        <v>9999999.9900000002</v>
      </c>
      <c r="K603" s="14" t="s">
        <v>228</v>
      </c>
      <c r="P603" s="14" t="s">
        <v>260</v>
      </c>
      <c r="Q603" s="14" t="s">
        <v>260</v>
      </c>
      <c r="R603" s="14" t="s">
        <v>229</v>
      </c>
    </row>
    <row r="604" spans="1:18" s="14" customFormat="1" x14ac:dyDescent="0.25">
      <c r="A604" s="14" t="str">
        <f>"83778"</f>
        <v>83778</v>
      </c>
      <c r="B604" s="14" t="str">
        <f>"07010"</f>
        <v>07010</v>
      </c>
      <c r="C604" s="14" t="str">
        <f>"1800"</f>
        <v>1800</v>
      </c>
      <c r="D604" s="14" t="str">
        <f>""</f>
        <v/>
      </c>
      <c r="E604" s="14" t="s">
        <v>1484</v>
      </c>
      <c r="F604" s="14" t="s">
        <v>1002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228</v>
      </c>
      <c r="P604" s="14" t="s">
        <v>260</v>
      </c>
      <c r="Q604" s="14" t="s">
        <v>260</v>
      </c>
      <c r="R604" s="14" t="s">
        <v>229</v>
      </c>
    </row>
    <row r="605" spans="1:18" s="14" customFormat="1" x14ac:dyDescent="0.25">
      <c r="A605" s="14" t="str">
        <f>"83779"</f>
        <v>83779</v>
      </c>
      <c r="B605" s="14" t="str">
        <f>"07010"</f>
        <v>07010</v>
      </c>
      <c r="C605" s="14" t="str">
        <f>"1800"</f>
        <v>1800</v>
      </c>
      <c r="D605" s="14" t="str">
        <f>""</f>
        <v/>
      </c>
      <c r="E605" s="14" t="s">
        <v>1485</v>
      </c>
      <c r="F605" s="14" t="s">
        <v>1002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228</v>
      </c>
      <c r="P605" s="14" t="s">
        <v>260</v>
      </c>
      <c r="Q605" s="14" t="s">
        <v>260</v>
      </c>
      <c r="R605" s="14" t="s">
        <v>229</v>
      </c>
    </row>
    <row r="606" spans="1:18" s="14" customFormat="1" x14ac:dyDescent="0.25">
      <c r="A606" s="14" t="str">
        <f>"83780"</f>
        <v>83780</v>
      </c>
      <c r="B606" s="14" t="str">
        <f>"07010"</f>
        <v>07010</v>
      </c>
      <c r="C606" s="14" t="str">
        <f>"1800"</f>
        <v>1800</v>
      </c>
      <c r="D606" s="14" t="str">
        <f>""</f>
        <v/>
      </c>
      <c r="E606" s="14" t="s">
        <v>1486</v>
      </c>
      <c r="F606" s="14" t="s">
        <v>1002</v>
      </c>
      <c r="G606" s="14" t="str">
        <f>""</f>
        <v/>
      </c>
      <c r="H606" s="14" t="str">
        <f>" 00"</f>
        <v xml:space="preserve"> 00</v>
      </c>
      <c r="I606" s="14">
        <v>0.01</v>
      </c>
      <c r="J606" s="14">
        <v>9999999.9900000002</v>
      </c>
      <c r="K606" s="14" t="s">
        <v>228</v>
      </c>
      <c r="P606" s="14" t="s">
        <v>260</v>
      </c>
      <c r="Q606" s="14" t="s">
        <v>260</v>
      </c>
      <c r="R606" s="14" t="s">
        <v>229</v>
      </c>
    </row>
    <row r="607" spans="1:18" s="14" customFormat="1" x14ac:dyDescent="0.25">
      <c r="A607" s="14" t="str">
        <f>"83781"</f>
        <v>83781</v>
      </c>
      <c r="B607" s="14" t="str">
        <f>"07010"</f>
        <v>07010</v>
      </c>
      <c r="C607" s="14" t="str">
        <f>"1800"</f>
        <v>1800</v>
      </c>
      <c r="D607" s="14" t="str">
        <f>""</f>
        <v/>
      </c>
      <c r="E607" s="14" t="s">
        <v>1487</v>
      </c>
      <c r="F607" s="14" t="s">
        <v>1002</v>
      </c>
      <c r="G607" s="14" t="str">
        <f>""</f>
        <v/>
      </c>
      <c r="H607" s="14" t="str">
        <f>" 00"</f>
        <v xml:space="preserve"> 00</v>
      </c>
      <c r="I607" s="14">
        <v>0.01</v>
      </c>
      <c r="J607" s="14">
        <v>9999999.9900000002</v>
      </c>
      <c r="K607" s="14" t="s">
        <v>228</v>
      </c>
      <c r="P607" s="14" t="s">
        <v>260</v>
      </c>
      <c r="Q607" s="14" t="s">
        <v>260</v>
      </c>
      <c r="R607" s="14" t="s">
        <v>229</v>
      </c>
    </row>
    <row r="608" spans="1:18" s="14" customFormat="1" x14ac:dyDescent="0.25">
      <c r="A608" s="14" t="str">
        <f>"83782"</f>
        <v>83782</v>
      </c>
      <c r="B608" s="14" t="str">
        <f>"07010"</f>
        <v>07010</v>
      </c>
      <c r="C608" s="14" t="str">
        <f>"1800"</f>
        <v>1800</v>
      </c>
      <c r="D608" s="14" t="str">
        <f>""</f>
        <v/>
      </c>
      <c r="E608" s="14" t="s">
        <v>1488</v>
      </c>
      <c r="F608" s="14" t="s">
        <v>1002</v>
      </c>
      <c r="G608" s="14" t="str">
        <f>""</f>
        <v/>
      </c>
      <c r="H608" s="14" t="str">
        <f>" 00"</f>
        <v xml:space="preserve"> 00</v>
      </c>
      <c r="I608" s="14">
        <v>0.01</v>
      </c>
      <c r="J608" s="14">
        <v>9999999.9900000002</v>
      </c>
      <c r="K608" s="14" t="s">
        <v>228</v>
      </c>
      <c r="P608" s="14" t="s">
        <v>260</v>
      </c>
      <c r="Q608" s="14" t="s">
        <v>260</v>
      </c>
      <c r="R608" s="14" t="s">
        <v>229</v>
      </c>
    </row>
    <row r="609" spans="1:18" s="14" customFormat="1" x14ac:dyDescent="0.25">
      <c r="A609" s="14" t="str">
        <f>"83783"</f>
        <v>83783</v>
      </c>
      <c r="B609" s="14" t="str">
        <f>"07010"</f>
        <v>07010</v>
      </c>
      <c r="C609" s="14" t="str">
        <f>"1800"</f>
        <v>1800</v>
      </c>
      <c r="D609" s="14" t="str">
        <f>""</f>
        <v/>
      </c>
      <c r="E609" s="14" t="s">
        <v>1489</v>
      </c>
      <c r="F609" s="14" t="s">
        <v>1002</v>
      </c>
      <c r="G609" s="14" t="str">
        <f>""</f>
        <v/>
      </c>
      <c r="H609" s="14" t="str">
        <f>" 00"</f>
        <v xml:space="preserve"> 00</v>
      </c>
      <c r="I609" s="14">
        <v>0.01</v>
      </c>
      <c r="J609" s="14">
        <v>9999999.9900000002</v>
      </c>
      <c r="K609" s="14" t="s">
        <v>228</v>
      </c>
      <c r="P609" s="14" t="s">
        <v>260</v>
      </c>
      <c r="Q609" s="14" t="s">
        <v>260</v>
      </c>
      <c r="R609" s="14" t="s">
        <v>229</v>
      </c>
    </row>
    <row r="610" spans="1:18" s="14" customFormat="1" x14ac:dyDescent="0.25">
      <c r="A610" s="14" t="str">
        <f>"83784"</f>
        <v>83784</v>
      </c>
      <c r="B610" s="14" t="str">
        <f>"07010"</f>
        <v>07010</v>
      </c>
      <c r="C610" s="14" t="str">
        <f>"1800"</f>
        <v>1800</v>
      </c>
      <c r="D610" s="14" t="str">
        <f>""</f>
        <v/>
      </c>
      <c r="E610" s="14" t="s">
        <v>1490</v>
      </c>
      <c r="F610" s="14" t="s">
        <v>1002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228</v>
      </c>
      <c r="P610" s="14" t="s">
        <v>260</v>
      </c>
      <c r="Q610" s="14" t="s">
        <v>260</v>
      </c>
      <c r="R610" s="14" t="s">
        <v>229</v>
      </c>
    </row>
    <row r="611" spans="1:18" s="14" customFormat="1" x14ac:dyDescent="0.25">
      <c r="A611" s="14" t="str">
        <f>"83785"</f>
        <v>83785</v>
      </c>
      <c r="B611" s="14" t="str">
        <f>"07010"</f>
        <v>07010</v>
      </c>
      <c r="C611" s="14" t="str">
        <f>"1800"</f>
        <v>1800</v>
      </c>
      <c r="D611" s="14" t="str">
        <f>""</f>
        <v/>
      </c>
      <c r="E611" s="14" t="s">
        <v>1491</v>
      </c>
      <c r="F611" s="14" t="s">
        <v>1002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228</v>
      </c>
      <c r="P611" s="14" t="s">
        <v>260</v>
      </c>
      <c r="Q611" s="14" t="s">
        <v>260</v>
      </c>
      <c r="R611" s="14" t="s">
        <v>229</v>
      </c>
    </row>
    <row r="612" spans="1:18" s="14" customFormat="1" x14ac:dyDescent="0.25">
      <c r="A612" s="14" t="str">
        <f>"83786"</f>
        <v>83786</v>
      </c>
      <c r="B612" s="14" t="str">
        <f>"07010"</f>
        <v>07010</v>
      </c>
      <c r="C612" s="14" t="str">
        <f>"1800"</f>
        <v>1800</v>
      </c>
      <c r="D612" s="14" t="str">
        <f>""</f>
        <v/>
      </c>
      <c r="E612" s="14" t="s">
        <v>1492</v>
      </c>
      <c r="F612" s="14" t="s">
        <v>1002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228</v>
      </c>
      <c r="P612" s="14" t="s">
        <v>260</v>
      </c>
      <c r="Q612" s="14" t="s">
        <v>260</v>
      </c>
      <c r="R612" s="14" t="s">
        <v>229</v>
      </c>
    </row>
    <row r="613" spans="1:18" s="14" customFormat="1" x14ac:dyDescent="0.25">
      <c r="A613" s="14" t="str">
        <f>"83787"</f>
        <v>83787</v>
      </c>
      <c r="B613" s="14" t="str">
        <f>"07010"</f>
        <v>07010</v>
      </c>
      <c r="C613" s="14" t="str">
        <f>"1800"</f>
        <v>1800</v>
      </c>
      <c r="D613" s="14" t="str">
        <f>""</f>
        <v/>
      </c>
      <c r="E613" s="14" t="s">
        <v>1493</v>
      </c>
      <c r="F613" s="14" t="s">
        <v>1002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228</v>
      </c>
      <c r="P613" s="14" t="s">
        <v>260</v>
      </c>
      <c r="Q613" s="14" t="s">
        <v>260</v>
      </c>
      <c r="R613" s="14" t="s">
        <v>229</v>
      </c>
    </row>
    <row r="614" spans="1:18" s="14" customFormat="1" x14ac:dyDescent="0.25">
      <c r="A614" s="14" t="str">
        <f>"83788"</f>
        <v>83788</v>
      </c>
      <c r="B614" s="14" t="str">
        <f>"07010"</f>
        <v>07010</v>
      </c>
      <c r="C614" s="14" t="str">
        <f>"1800"</f>
        <v>1800</v>
      </c>
      <c r="D614" s="14" t="str">
        <f>""</f>
        <v/>
      </c>
      <c r="E614" s="14" t="s">
        <v>1494</v>
      </c>
      <c r="F614" s="14" t="s">
        <v>1002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228</v>
      </c>
      <c r="P614" s="14" t="s">
        <v>260</v>
      </c>
      <c r="Q614" s="14" t="s">
        <v>260</v>
      </c>
      <c r="R614" s="14" t="s">
        <v>229</v>
      </c>
    </row>
    <row r="615" spans="1:18" s="14" customFormat="1" x14ac:dyDescent="0.25">
      <c r="A615" s="14" t="str">
        <f>"83789"</f>
        <v>83789</v>
      </c>
      <c r="B615" s="14" t="str">
        <f>"07010"</f>
        <v>07010</v>
      </c>
      <c r="C615" s="14" t="str">
        <f>"1800"</f>
        <v>1800</v>
      </c>
      <c r="D615" s="14" t="str">
        <f>""</f>
        <v/>
      </c>
      <c r="E615" s="14" t="s">
        <v>1495</v>
      </c>
      <c r="F615" s="14" t="s">
        <v>1002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228</v>
      </c>
      <c r="P615" s="14" t="s">
        <v>260</v>
      </c>
      <c r="Q615" s="14" t="s">
        <v>260</v>
      </c>
      <c r="R615" s="14" t="s">
        <v>229</v>
      </c>
    </row>
    <row r="616" spans="1:18" s="14" customFormat="1" x14ac:dyDescent="0.25">
      <c r="A616" s="14" t="str">
        <f>"83790"</f>
        <v>83790</v>
      </c>
      <c r="B616" s="14" t="str">
        <f>"07010"</f>
        <v>07010</v>
      </c>
      <c r="C616" s="14" t="str">
        <f>"1800"</f>
        <v>1800</v>
      </c>
      <c r="D616" s="14" t="str">
        <f>""</f>
        <v/>
      </c>
      <c r="E616" s="14" t="s">
        <v>1496</v>
      </c>
      <c r="F616" s="14" t="s">
        <v>1002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228</v>
      </c>
      <c r="P616" s="14" t="s">
        <v>260</v>
      </c>
      <c r="Q616" s="14" t="s">
        <v>260</v>
      </c>
      <c r="R616" s="14" t="s">
        <v>229</v>
      </c>
    </row>
    <row r="617" spans="1:18" s="14" customFormat="1" x14ac:dyDescent="0.25">
      <c r="A617" s="14" t="str">
        <f>"83791"</f>
        <v>83791</v>
      </c>
      <c r="B617" s="14" t="str">
        <f>"07010"</f>
        <v>07010</v>
      </c>
      <c r="C617" s="14" t="str">
        <f>"1800"</f>
        <v>1800</v>
      </c>
      <c r="D617" s="14" t="str">
        <f>""</f>
        <v/>
      </c>
      <c r="E617" s="14" t="s">
        <v>1497</v>
      </c>
      <c r="F617" s="14" t="s">
        <v>1002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228</v>
      </c>
      <c r="P617" s="14" t="s">
        <v>260</v>
      </c>
      <c r="Q617" s="14" t="s">
        <v>260</v>
      </c>
      <c r="R617" s="14" t="s">
        <v>229</v>
      </c>
    </row>
    <row r="618" spans="1:18" s="14" customFormat="1" x14ac:dyDescent="0.25">
      <c r="A618" s="14" t="str">
        <f>"83792"</f>
        <v>83792</v>
      </c>
      <c r="B618" s="14" t="str">
        <f>"07010"</f>
        <v>07010</v>
      </c>
      <c r="C618" s="14" t="str">
        <f>"1800"</f>
        <v>1800</v>
      </c>
      <c r="D618" s="14" t="str">
        <f>""</f>
        <v/>
      </c>
      <c r="E618" s="14" t="s">
        <v>1498</v>
      </c>
      <c r="F618" s="14" t="s">
        <v>1002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228</v>
      </c>
      <c r="P618" s="14" t="s">
        <v>260</v>
      </c>
      <c r="Q618" s="14" t="s">
        <v>260</v>
      </c>
      <c r="R618" s="14" t="s">
        <v>229</v>
      </c>
    </row>
    <row r="619" spans="1:18" s="14" customFormat="1" x14ac:dyDescent="0.25">
      <c r="A619" s="14" t="str">
        <f>"83793"</f>
        <v>83793</v>
      </c>
      <c r="B619" s="14" t="str">
        <f>"07010"</f>
        <v>07010</v>
      </c>
      <c r="C619" s="14" t="str">
        <f>"1800"</f>
        <v>1800</v>
      </c>
      <c r="D619" s="14" t="str">
        <f>""</f>
        <v/>
      </c>
      <c r="E619" s="14" t="s">
        <v>1499</v>
      </c>
      <c r="F619" s="14" t="s">
        <v>1002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228</v>
      </c>
      <c r="P619" s="14" t="s">
        <v>260</v>
      </c>
      <c r="Q619" s="14" t="s">
        <v>260</v>
      </c>
      <c r="R619" s="14" t="s">
        <v>229</v>
      </c>
    </row>
    <row r="620" spans="1:18" s="14" customFormat="1" x14ac:dyDescent="0.25">
      <c r="A620" s="14" t="str">
        <f>"83794"</f>
        <v>83794</v>
      </c>
      <c r="B620" s="14" t="str">
        <f>"07010"</f>
        <v>07010</v>
      </c>
      <c r="C620" s="14" t="str">
        <f>"1800"</f>
        <v>1800</v>
      </c>
      <c r="D620" s="14" t="str">
        <f>""</f>
        <v/>
      </c>
      <c r="E620" s="14" t="s">
        <v>1500</v>
      </c>
      <c r="F620" s="14" t="s">
        <v>1002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228</v>
      </c>
      <c r="P620" s="14" t="s">
        <v>260</v>
      </c>
      <c r="Q620" s="14" t="s">
        <v>260</v>
      </c>
      <c r="R620" s="14" t="s">
        <v>229</v>
      </c>
    </row>
    <row r="621" spans="1:18" s="14" customFormat="1" x14ac:dyDescent="0.25">
      <c r="A621" s="14" t="str">
        <f>"83795"</f>
        <v>83795</v>
      </c>
      <c r="B621" s="14" t="str">
        <f>"07010"</f>
        <v>07010</v>
      </c>
      <c r="C621" s="14" t="str">
        <f>"1800"</f>
        <v>1800</v>
      </c>
      <c r="D621" s="14" t="str">
        <f>""</f>
        <v/>
      </c>
      <c r="E621" s="14" t="s">
        <v>1501</v>
      </c>
      <c r="F621" s="14" t="s">
        <v>1002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228</v>
      </c>
      <c r="P621" s="14" t="s">
        <v>260</v>
      </c>
      <c r="Q621" s="14" t="s">
        <v>260</v>
      </c>
      <c r="R621" s="14" t="s">
        <v>229</v>
      </c>
    </row>
    <row r="622" spans="1:18" s="14" customFormat="1" x14ac:dyDescent="0.25">
      <c r="A622" s="14" t="str">
        <f>"83796"</f>
        <v>83796</v>
      </c>
      <c r="B622" s="14" t="str">
        <f>"07010"</f>
        <v>07010</v>
      </c>
      <c r="C622" s="14" t="str">
        <f>"1800"</f>
        <v>1800</v>
      </c>
      <c r="D622" s="14" t="str">
        <f>""</f>
        <v/>
      </c>
      <c r="E622" s="14" t="s">
        <v>1502</v>
      </c>
      <c r="F622" s="14" t="s">
        <v>1002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228</v>
      </c>
      <c r="P622" s="14" t="s">
        <v>260</v>
      </c>
      <c r="Q622" s="14" t="s">
        <v>260</v>
      </c>
      <c r="R622" s="14" t="s">
        <v>229</v>
      </c>
    </row>
    <row r="623" spans="1:18" s="14" customFormat="1" x14ac:dyDescent="0.25">
      <c r="A623" s="14" t="str">
        <f>"83797"</f>
        <v>83797</v>
      </c>
      <c r="B623" s="14" t="str">
        <f>"07010"</f>
        <v>07010</v>
      </c>
      <c r="C623" s="14" t="str">
        <f>"1800"</f>
        <v>1800</v>
      </c>
      <c r="D623" s="14" t="str">
        <f>""</f>
        <v/>
      </c>
      <c r="E623" s="14" t="s">
        <v>1503</v>
      </c>
      <c r="F623" s="14" t="s">
        <v>1002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228</v>
      </c>
      <c r="P623" s="14" t="s">
        <v>260</v>
      </c>
      <c r="Q623" s="14" t="s">
        <v>260</v>
      </c>
      <c r="R623" s="14" t="s">
        <v>229</v>
      </c>
    </row>
    <row r="624" spans="1:18" s="14" customFormat="1" x14ac:dyDescent="0.25">
      <c r="A624" s="14" t="str">
        <f>"83798"</f>
        <v>83798</v>
      </c>
      <c r="B624" s="14" t="str">
        <f>"07010"</f>
        <v>07010</v>
      </c>
      <c r="C624" s="14" t="str">
        <f>"1800"</f>
        <v>1800</v>
      </c>
      <c r="D624" s="14" t="str">
        <f>""</f>
        <v/>
      </c>
      <c r="E624" s="14" t="s">
        <v>1504</v>
      </c>
      <c r="F624" s="14" t="s">
        <v>1002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228</v>
      </c>
      <c r="P624" s="14" t="s">
        <v>260</v>
      </c>
      <c r="Q624" s="14" t="s">
        <v>260</v>
      </c>
      <c r="R624" s="14" t="s">
        <v>229</v>
      </c>
    </row>
    <row r="625" spans="1:18" s="14" customFormat="1" x14ac:dyDescent="0.25">
      <c r="A625" s="14" t="str">
        <f>"83799"</f>
        <v>83799</v>
      </c>
      <c r="B625" s="14" t="str">
        <f>"07010"</f>
        <v>07010</v>
      </c>
      <c r="C625" s="14" t="str">
        <f>"1800"</f>
        <v>1800</v>
      </c>
      <c r="D625" s="14" t="str">
        <f>""</f>
        <v/>
      </c>
      <c r="E625" s="14" t="s">
        <v>1505</v>
      </c>
      <c r="F625" s="14" t="s">
        <v>1002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228</v>
      </c>
      <c r="P625" s="14" t="s">
        <v>260</v>
      </c>
      <c r="Q625" s="14" t="s">
        <v>260</v>
      </c>
      <c r="R625" s="14" t="s">
        <v>229</v>
      </c>
    </row>
    <row r="626" spans="1:18" s="14" customFormat="1" x14ac:dyDescent="0.25">
      <c r="A626" s="14" t="str">
        <f>"83801"</f>
        <v>83801</v>
      </c>
      <c r="B626" s="14" t="str">
        <f>"07010"</f>
        <v>07010</v>
      </c>
      <c r="C626" s="14" t="str">
        <f>"1800"</f>
        <v>1800</v>
      </c>
      <c r="D626" s="14" t="str">
        <f>""</f>
        <v/>
      </c>
      <c r="E626" s="14" t="s">
        <v>1506</v>
      </c>
      <c r="F626" s="14" t="s">
        <v>1002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228</v>
      </c>
      <c r="P626" s="14" t="s">
        <v>260</v>
      </c>
      <c r="Q626" s="14" t="s">
        <v>260</v>
      </c>
      <c r="R626" s="14" t="s">
        <v>229</v>
      </c>
    </row>
    <row r="627" spans="1:18" s="14" customFormat="1" x14ac:dyDescent="0.25">
      <c r="A627" s="14" t="str">
        <f>"83802"</f>
        <v>83802</v>
      </c>
      <c r="B627" s="14" t="str">
        <f>"07010"</f>
        <v>07010</v>
      </c>
      <c r="C627" s="14" t="str">
        <f>"1800"</f>
        <v>1800</v>
      </c>
      <c r="D627" s="14" t="str">
        <f>""</f>
        <v/>
      </c>
      <c r="E627" s="14" t="s">
        <v>1507</v>
      </c>
      <c r="F627" s="14" t="s">
        <v>1002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228</v>
      </c>
      <c r="P627" s="14" t="s">
        <v>260</v>
      </c>
      <c r="Q627" s="14" t="s">
        <v>260</v>
      </c>
      <c r="R627" s="14" t="s">
        <v>229</v>
      </c>
    </row>
    <row r="628" spans="1:18" s="14" customFormat="1" x14ac:dyDescent="0.25">
      <c r="A628" s="14" t="str">
        <f>"83803"</f>
        <v>83803</v>
      </c>
      <c r="B628" s="14" t="str">
        <f>"07010"</f>
        <v>07010</v>
      </c>
      <c r="C628" s="14" t="str">
        <f>"1800"</f>
        <v>1800</v>
      </c>
      <c r="D628" s="14" t="str">
        <f>""</f>
        <v/>
      </c>
      <c r="E628" s="14" t="s">
        <v>1508</v>
      </c>
      <c r="F628" s="14" t="s">
        <v>1002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228</v>
      </c>
      <c r="P628" s="14" t="s">
        <v>260</v>
      </c>
      <c r="Q628" s="14" t="s">
        <v>260</v>
      </c>
      <c r="R628" s="14" t="s">
        <v>229</v>
      </c>
    </row>
    <row r="629" spans="1:18" s="14" customFormat="1" x14ac:dyDescent="0.25">
      <c r="A629" s="14" t="str">
        <f>"83804"</f>
        <v>83804</v>
      </c>
      <c r="B629" s="14" t="str">
        <f>"07010"</f>
        <v>07010</v>
      </c>
      <c r="C629" s="14" t="str">
        <f>"1800"</f>
        <v>1800</v>
      </c>
      <c r="D629" s="14" t="str">
        <f>""</f>
        <v/>
      </c>
      <c r="E629" s="14" t="s">
        <v>1509</v>
      </c>
      <c r="F629" s="14" t="s">
        <v>1002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228</v>
      </c>
      <c r="P629" s="14" t="s">
        <v>260</v>
      </c>
      <c r="Q629" s="14" t="s">
        <v>260</v>
      </c>
      <c r="R629" s="14" t="s">
        <v>229</v>
      </c>
    </row>
    <row r="630" spans="1:18" s="14" customFormat="1" x14ac:dyDescent="0.25">
      <c r="A630" s="14" t="str">
        <f>"83805"</f>
        <v>83805</v>
      </c>
      <c r="B630" s="14" t="str">
        <f>"07010"</f>
        <v>07010</v>
      </c>
      <c r="C630" s="14" t="str">
        <f>"1800"</f>
        <v>1800</v>
      </c>
      <c r="D630" s="14" t="str">
        <f>""</f>
        <v/>
      </c>
      <c r="E630" s="14" t="s">
        <v>1510</v>
      </c>
      <c r="F630" s="14" t="s">
        <v>1002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228</v>
      </c>
      <c r="P630" s="14" t="s">
        <v>260</v>
      </c>
      <c r="Q630" s="14" t="s">
        <v>260</v>
      </c>
      <c r="R630" s="14" t="s">
        <v>229</v>
      </c>
    </row>
    <row r="631" spans="1:18" s="14" customFormat="1" x14ac:dyDescent="0.25">
      <c r="A631" s="14" t="str">
        <f>"83806"</f>
        <v>83806</v>
      </c>
      <c r="B631" s="14" t="str">
        <f>"07010"</f>
        <v>07010</v>
      </c>
      <c r="C631" s="14" t="str">
        <f>"1800"</f>
        <v>1800</v>
      </c>
      <c r="D631" s="14" t="str">
        <f>""</f>
        <v/>
      </c>
      <c r="E631" s="14" t="s">
        <v>1511</v>
      </c>
      <c r="F631" s="14" t="s">
        <v>1002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228</v>
      </c>
      <c r="P631" s="14" t="s">
        <v>260</v>
      </c>
      <c r="Q631" s="14" t="s">
        <v>260</v>
      </c>
      <c r="R631" s="14" t="s">
        <v>229</v>
      </c>
    </row>
    <row r="632" spans="1:18" s="14" customFormat="1" x14ac:dyDescent="0.25">
      <c r="A632" s="14" t="str">
        <f>"83807"</f>
        <v>83807</v>
      </c>
      <c r="B632" s="14" t="str">
        <f>"07010"</f>
        <v>07010</v>
      </c>
      <c r="C632" s="14" t="str">
        <f>"1800"</f>
        <v>1800</v>
      </c>
      <c r="D632" s="14" t="str">
        <f>""</f>
        <v/>
      </c>
      <c r="E632" s="14" t="s">
        <v>1512</v>
      </c>
      <c r="F632" s="14" t="s">
        <v>1002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228</v>
      </c>
      <c r="P632" s="14" t="s">
        <v>260</v>
      </c>
      <c r="Q632" s="14" t="s">
        <v>260</v>
      </c>
      <c r="R632" s="14" t="s">
        <v>229</v>
      </c>
    </row>
    <row r="633" spans="1:18" s="14" customFormat="1" x14ac:dyDescent="0.25">
      <c r="A633" s="14" t="str">
        <f>"83808"</f>
        <v>83808</v>
      </c>
      <c r="B633" s="14" t="str">
        <f>"07010"</f>
        <v>07010</v>
      </c>
      <c r="C633" s="14" t="str">
        <f>"1800"</f>
        <v>1800</v>
      </c>
      <c r="D633" s="14" t="str">
        <f>""</f>
        <v/>
      </c>
      <c r="E633" s="14" t="s">
        <v>1513</v>
      </c>
      <c r="F633" s="14" t="s">
        <v>1002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228</v>
      </c>
      <c r="P633" s="14" t="s">
        <v>260</v>
      </c>
      <c r="Q633" s="14" t="s">
        <v>260</v>
      </c>
      <c r="R633" s="14" t="s">
        <v>229</v>
      </c>
    </row>
    <row r="634" spans="1:18" s="14" customFormat="1" x14ac:dyDescent="0.25">
      <c r="A634" s="14" t="str">
        <f>"83809"</f>
        <v>83809</v>
      </c>
      <c r="B634" s="14" t="str">
        <f>"07010"</f>
        <v>07010</v>
      </c>
      <c r="C634" s="14" t="str">
        <f>"1800"</f>
        <v>1800</v>
      </c>
      <c r="D634" s="14" t="str">
        <f>""</f>
        <v/>
      </c>
      <c r="E634" s="14" t="s">
        <v>1514</v>
      </c>
      <c r="F634" s="14" t="s">
        <v>1002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228</v>
      </c>
      <c r="P634" s="14" t="s">
        <v>260</v>
      </c>
      <c r="Q634" s="14" t="s">
        <v>260</v>
      </c>
      <c r="R634" s="14" t="s">
        <v>229</v>
      </c>
    </row>
    <row r="635" spans="1:18" s="14" customFormat="1" x14ac:dyDescent="0.25">
      <c r="A635" s="14" t="str">
        <f>"83810"</f>
        <v>83810</v>
      </c>
      <c r="B635" s="14" t="str">
        <f>"07010"</f>
        <v>07010</v>
      </c>
      <c r="C635" s="14" t="str">
        <f>"1800"</f>
        <v>1800</v>
      </c>
      <c r="D635" s="14" t="str">
        <f>""</f>
        <v/>
      </c>
      <c r="E635" s="14" t="s">
        <v>1515</v>
      </c>
      <c r="F635" s="14" t="s">
        <v>1002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228</v>
      </c>
      <c r="P635" s="14" t="s">
        <v>260</v>
      </c>
      <c r="Q635" s="14" t="s">
        <v>260</v>
      </c>
      <c r="R635" s="14" t="s">
        <v>229</v>
      </c>
    </row>
    <row r="636" spans="1:18" s="14" customFormat="1" x14ac:dyDescent="0.25">
      <c r="A636" s="14" t="str">
        <f>"83811"</f>
        <v>83811</v>
      </c>
      <c r="B636" s="14" t="str">
        <f>"07010"</f>
        <v>07010</v>
      </c>
      <c r="C636" s="14" t="str">
        <f>"1800"</f>
        <v>1800</v>
      </c>
      <c r="D636" s="14" t="str">
        <f>""</f>
        <v/>
      </c>
      <c r="E636" s="14" t="s">
        <v>1516</v>
      </c>
      <c r="F636" s="14" t="s">
        <v>1002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228</v>
      </c>
      <c r="P636" s="14" t="s">
        <v>260</v>
      </c>
      <c r="Q636" s="14" t="s">
        <v>260</v>
      </c>
      <c r="R636" s="14" t="s">
        <v>229</v>
      </c>
    </row>
    <row r="637" spans="1:18" s="14" customFormat="1" x14ac:dyDescent="0.25">
      <c r="A637" s="14" t="str">
        <f>"83812"</f>
        <v>83812</v>
      </c>
      <c r="B637" s="14" t="str">
        <f>"07010"</f>
        <v>07010</v>
      </c>
      <c r="C637" s="14" t="str">
        <f>"1800"</f>
        <v>1800</v>
      </c>
      <c r="D637" s="14" t="str">
        <f>""</f>
        <v/>
      </c>
      <c r="E637" s="14" t="s">
        <v>1517</v>
      </c>
      <c r="F637" s="14" t="s">
        <v>1002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228</v>
      </c>
      <c r="P637" s="14" t="s">
        <v>260</v>
      </c>
      <c r="Q637" s="14" t="s">
        <v>260</v>
      </c>
      <c r="R637" s="14" t="s">
        <v>229</v>
      </c>
    </row>
    <row r="638" spans="1:18" s="14" customFormat="1" x14ac:dyDescent="0.25">
      <c r="A638" s="14" t="str">
        <f>"83813"</f>
        <v>83813</v>
      </c>
      <c r="B638" s="14" t="str">
        <f>"07010"</f>
        <v>07010</v>
      </c>
      <c r="C638" s="14" t="str">
        <f>"1800"</f>
        <v>1800</v>
      </c>
      <c r="D638" s="14" t="str">
        <f>""</f>
        <v/>
      </c>
      <c r="E638" s="14" t="s">
        <v>1518</v>
      </c>
      <c r="F638" s="14" t="s">
        <v>1002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228</v>
      </c>
      <c r="P638" s="14" t="s">
        <v>260</v>
      </c>
      <c r="Q638" s="14" t="s">
        <v>260</v>
      </c>
      <c r="R638" s="14" t="s">
        <v>229</v>
      </c>
    </row>
    <row r="639" spans="1:18" s="14" customFormat="1" x14ac:dyDescent="0.25">
      <c r="A639" s="14" t="str">
        <f>"83814"</f>
        <v>83814</v>
      </c>
      <c r="B639" s="14" t="str">
        <f>"07010"</f>
        <v>07010</v>
      </c>
      <c r="C639" s="14" t="str">
        <f>"1800"</f>
        <v>1800</v>
      </c>
      <c r="D639" s="14" t="str">
        <f>""</f>
        <v/>
      </c>
      <c r="E639" s="14" t="s">
        <v>1519</v>
      </c>
      <c r="F639" s="14" t="s">
        <v>1002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228</v>
      </c>
      <c r="P639" s="14" t="s">
        <v>260</v>
      </c>
      <c r="Q639" s="14" t="s">
        <v>260</v>
      </c>
      <c r="R639" s="14" t="s">
        <v>229</v>
      </c>
    </row>
    <row r="640" spans="1:18" s="14" customFormat="1" x14ac:dyDescent="0.25">
      <c r="A640" s="14" t="str">
        <f>"83815"</f>
        <v>83815</v>
      </c>
      <c r="B640" s="14" t="str">
        <f>"07010"</f>
        <v>07010</v>
      </c>
      <c r="C640" s="14" t="str">
        <f>"1800"</f>
        <v>1800</v>
      </c>
      <c r="D640" s="14" t="str">
        <f>""</f>
        <v/>
      </c>
      <c r="E640" s="14" t="s">
        <v>1520</v>
      </c>
      <c r="F640" s="14" t="s">
        <v>1002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228</v>
      </c>
      <c r="P640" s="14" t="s">
        <v>260</v>
      </c>
      <c r="Q640" s="14" t="s">
        <v>260</v>
      </c>
      <c r="R640" s="14" t="s">
        <v>229</v>
      </c>
    </row>
    <row r="641" spans="1:18" s="14" customFormat="1" x14ac:dyDescent="0.25">
      <c r="A641" s="14" t="str">
        <f>"83816"</f>
        <v>83816</v>
      </c>
      <c r="B641" s="14" t="str">
        <f>"07010"</f>
        <v>07010</v>
      </c>
      <c r="C641" s="14" t="str">
        <f>"1800"</f>
        <v>1800</v>
      </c>
      <c r="D641" s="14" t="str">
        <f>""</f>
        <v/>
      </c>
      <c r="E641" s="14" t="s">
        <v>1521</v>
      </c>
      <c r="F641" s="14" t="s">
        <v>1002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228</v>
      </c>
      <c r="P641" s="14" t="s">
        <v>260</v>
      </c>
      <c r="Q641" s="14" t="s">
        <v>260</v>
      </c>
      <c r="R641" s="14" t="s">
        <v>229</v>
      </c>
    </row>
    <row r="642" spans="1:18" s="14" customFormat="1" x14ac:dyDescent="0.25">
      <c r="A642" s="14" t="str">
        <f>"83817"</f>
        <v>83817</v>
      </c>
      <c r="B642" s="14" t="str">
        <f>"07010"</f>
        <v>07010</v>
      </c>
      <c r="C642" s="14" t="str">
        <f>"1800"</f>
        <v>1800</v>
      </c>
      <c r="D642" s="14" t="str">
        <f>""</f>
        <v/>
      </c>
      <c r="E642" s="14" t="s">
        <v>1522</v>
      </c>
      <c r="F642" s="14" t="s">
        <v>1002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228</v>
      </c>
      <c r="P642" s="14" t="s">
        <v>260</v>
      </c>
      <c r="Q642" s="14" t="s">
        <v>260</v>
      </c>
      <c r="R642" s="14" t="s">
        <v>229</v>
      </c>
    </row>
    <row r="643" spans="1:18" s="14" customFormat="1" x14ac:dyDescent="0.25">
      <c r="A643" s="14" t="str">
        <f>"83818"</f>
        <v>83818</v>
      </c>
      <c r="B643" s="14" t="str">
        <f>"07010"</f>
        <v>07010</v>
      </c>
      <c r="C643" s="14" t="str">
        <f>"1800"</f>
        <v>1800</v>
      </c>
      <c r="D643" s="14" t="str">
        <f>""</f>
        <v/>
      </c>
      <c r="E643" s="14" t="s">
        <v>1523</v>
      </c>
      <c r="F643" s="14" t="s">
        <v>1002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228</v>
      </c>
      <c r="P643" s="14" t="s">
        <v>260</v>
      </c>
      <c r="Q643" s="14" t="s">
        <v>260</v>
      </c>
      <c r="R643" s="14" t="s">
        <v>229</v>
      </c>
    </row>
    <row r="644" spans="1:18" s="14" customFormat="1" x14ac:dyDescent="0.25">
      <c r="A644" s="14" t="str">
        <f>"83819"</f>
        <v>83819</v>
      </c>
      <c r="B644" s="14" t="str">
        <f>"07010"</f>
        <v>07010</v>
      </c>
      <c r="C644" s="14" t="str">
        <f>"1800"</f>
        <v>1800</v>
      </c>
      <c r="D644" s="14" t="str">
        <f>""</f>
        <v/>
      </c>
      <c r="E644" s="14" t="s">
        <v>1524</v>
      </c>
      <c r="F644" s="14" t="s">
        <v>1002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228</v>
      </c>
      <c r="P644" s="14" t="s">
        <v>260</v>
      </c>
      <c r="Q644" s="14" t="s">
        <v>260</v>
      </c>
      <c r="R644" s="14" t="s">
        <v>229</v>
      </c>
    </row>
    <row r="645" spans="1:18" s="14" customFormat="1" x14ac:dyDescent="0.25">
      <c r="A645" s="14" t="str">
        <f>"83820"</f>
        <v>83820</v>
      </c>
      <c r="B645" s="14" t="str">
        <f>"07010"</f>
        <v>07010</v>
      </c>
      <c r="C645" s="14" t="str">
        <f>"1800"</f>
        <v>1800</v>
      </c>
      <c r="D645" s="14" t="str">
        <f>""</f>
        <v/>
      </c>
      <c r="E645" s="14" t="s">
        <v>1525</v>
      </c>
      <c r="F645" s="14" t="s">
        <v>1002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228</v>
      </c>
      <c r="P645" s="14" t="s">
        <v>260</v>
      </c>
      <c r="Q645" s="14" t="s">
        <v>260</v>
      </c>
      <c r="R645" s="14" t="s">
        <v>229</v>
      </c>
    </row>
    <row r="646" spans="1:18" s="14" customFormat="1" x14ac:dyDescent="0.25">
      <c r="A646" s="14" t="str">
        <f>"83821"</f>
        <v>83821</v>
      </c>
      <c r="B646" s="14" t="str">
        <f>"07010"</f>
        <v>07010</v>
      </c>
      <c r="C646" s="14" t="str">
        <f>"1800"</f>
        <v>1800</v>
      </c>
      <c r="D646" s="14" t="str">
        <f>""</f>
        <v/>
      </c>
      <c r="E646" s="14" t="s">
        <v>1526</v>
      </c>
      <c r="F646" s="14" t="s">
        <v>1002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228</v>
      </c>
      <c r="P646" s="14" t="s">
        <v>260</v>
      </c>
      <c r="Q646" s="14" t="s">
        <v>260</v>
      </c>
      <c r="R646" s="14" t="s">
        <v>229</v>
      </c>
    </row>
    <row r="647" spans="1:18" s="14" customFormat="1" x14ac:dyDescent="0.25">
      <c r="A647" s="14" t="str">
        <f>"83822"</f>
        <v>83822</v>
      </c>
      <c r="B647" s="14" t="str">
        <f>"07010"</f>
        <v>07010</v>
      </c>
      <c r="C647" s="14" t="str">
        <f>"1800"</f>
        <v>1800</v>
      </c>
      <c r="D647" s="14" t="str">
        <f>""</f>
        <v/>
      </c>
      <c r="E647" s="14" t="s">
        <v>1527</v>
      </c>
      <c r="F647" s="14" t="s">
        <v>1002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228</v>
      </c>
      <c r="P647" s="14" t="s">
        <v>260</v>
      </c>
      <c r="Q647" s="14" t="s">
        <v>260</v>
      </c>
      <c r="R647" s="14" t="s">
        <v>229</v>
      </c>
    </row>
    <row r="648" spans="1:18" s="14" customFormat="1" x14ac:dyDescent="0.25">
      <c r="A648" s="14" t="str">
        <f>"83823"</f>
        <v>83823</v>
      </c>
      <c r="B648" s="14" t="str">
        <f>"07010"</f>
        <v>07010</v>
      </c>
      <c r="C648" s="14" t="str">
        <f>"1800"</f>
        <v>1800</v>
      </c>
      <c r="D648" s="14" t="str">
        <f>""</f>
        <v/>
      </c>
      <c r="E648" s="14" t="s">
        <v>1528</v>
      </c>
      <c r="F648" s="14" t="s">
        <v>1002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228</v>
      </c>
      <c r="P648" s="14" t="s">
        <v>260</v>
      </c>
      <c r="Q648" s="14" t="s">
        <v>260</v>
      </c>
      <c r="R648" s="14" t="s">
        <v>229</v>
      </c>
    </row>
    <row r="649" spans="1:18" s="14" customFormat="1" x14ac:dyDescent="0.25">
      <c r="A649" s="14" t="str">
        <f>"83824"</f>
        <v>83824</v>
      </c>
      <c r="B649" s="14" t="str">
        <f>"07010"</f>
        <v>07010</v>
      </c>
      <c r="C649" s="14" t="str">
        <f>"1800"</f>
        <v>1800</v>
      </c>
      <c r="D649" s="14" t="str">
        <f>""</f>
        <v/>
      </c>
      <c r="E649" s="14" t="s">
        <v>1529</v>
      </c>
      <c r="F649" s="14" t="s">
        <v>1002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228</v>
      </c>
      <c r="P649" s="14" t="s">
        <v>260</v>
      </c>
      <c r="Q649" s="14" t="s">
        <v>260</v>
      </c>
      <c r="R649" s="14" t="s">
        <v>229</v>
      </c>
    </row>
    <row r="650" spans="1:18" s="14" customFormat="1" x14ac:dyDescent="0.25">
      <c r="A650" s="14" t="str">
        <f>"83950"</f>
        <v>83950</v>
      </c>
      <c r="B650" s="14" t="str">
        <f>"07010"</f>
        <v>07010</v>
      </c>
      <c r="C650" s="14" t="str">
        <f>"1800"</f>
        <v>1800</v>
      </c>
      <c r="D650" s="14" t="str">
        <f>""</f>
        <v/>
      </c>
      <c r="E650" s="14" t="s">
        <v>1530</v>
      </c>
      <c r="F650" s="14" t="s">
        <v>1002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228</v>
      </c>
      <c r="P650" s="14" t="s">
        <v>260</v>
      </c>
      <c r="Q650" s="14" t="s">
        <v>260</v>
      </c>
      <c r="R650" s="14" t="s">
        <v>229</v>
      </c>
    </row>
    <row r="651" spans="1:18" s="14" customFormat="1" x14ac:dyDescent="0.25">
      <c r="A651" s="14" t="str">
        <f>"83999"</f>
        <v>83999</v>
      </c>
      <c r="B651" s="14" t="str">
        <f>"07010"</f>
        <v>07010</v>
      </c>
      <c r="C651" s="14" t="str">
        <f>"1800"</f>
        <v>1800</v>
      </c>
      <c r="D651" s="14" t="str">
        <f>""</f>
        <v/>
      </c>
      <c r="E651" s="14" t="s">
        <v>496</v>
      </c>
      <c r="F651" s="14" t="s">
        <v>1002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228</v>
      </c>
      <c r="P651" s="14" t="s">
        <v>260</v>
      </c>
      <c r="Q651" s="14" t="s">
        <v>260</v>
      </c>
      <c r="R651" s="14" t="s">
        <v>229</v>
      </c>
    </row>
    <row r="652" spans="1:18" s="14" customFormat="1" x14ac:dyDescent="0.25">
      <c r="A652" s="14" t="str">
        <f>"85117"</f>
        <v>85117</v>
      </c>
      <c r="B652" s="14" t="str">
        <f>"07030"</f>
        <v>07030</v>
      </c>
      <c r="C652" s="14" t="str">
        <f>"8000"</f>
        <v>8000</v>
      </c>
      <c r="D652" s="14" t="str">
        <f>"85117"</f>
        <v>85117</v>
      </c>
      <c r="E652" s="14" t="s">
        <v>1789</v>
      </c>
      <c r="F652" s="14" t="s">
        <v>1776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395</v>
      </c>
      <c r="P652" s="14" t="s">
        <v>31</v>
      </c>
      <c r="Q652" s="14" t="s">
        <v>260</v>
      </c>
      <c r="R652" s="14" t="s">
        <v>399</v>
      </c>
    </row>
    <row r="653" spans="1:18" s="14" customFormat="1" x14ac:dyDescent="0.25">
      <c r="A653" s="14" t="str">
        <f>"10001"</f>
        <v>10001</v>
      </c>
      <c r="B653" s="14" t="str">
        <f>"00100"</f>
        <v>00100</v>
      </c>
      <c r="C653" s="14" t="str">
        <f>"1400"</f>
        <v>1400</v>
      </c>
      <c r="D653" s="14" t="str">
        <f>"00100"</f>
        <v>00100</v>
      </c>
      <c r="E653" s="14" t="s">
        <v>20</v>
      </c>
      <c r="F653" s="14" t="s">
        <v>21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22</v>
      </c>
      <c r="L653" s="14" t="s">
        <v>23</v>
      </c>
      <c r="P653" s="14" t="s">
        <v>24</v>
      </c>
      <c r="Q653" s="14" t="s">
        <v>25</v>
      </c>
      <c r="R653" s="14" t="s">
        <v>23</v>
      </c>
    </row>
    <row r="654" spans="1:18" s="14" customFormat="1" x14ac:dyDescent="0.25">
      <c r="A654" s="14" t="str">
        <f>"10001"</f>
        <v>10001</v>
      </c>
      <c r="B654" s="14" t="str">
        <f>"00110"</f>
        <v>00110</v>
      </c>
      <c r="C654" s="14" t="str">
        <f>"1400"</f>
        <v>1400</v>
      </c>
      <c r="D654" s="14" t="str">
        <f>"00110"</f>
        <v>00110</v>
      </c>
      <c r="E654" s="14" t="s">
        <v>20</v>
      </c>
      <c r="F654" s="14" t="s">
        <v>26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23</v>
      </c>
      <c r="L654" s="14" t="s">
        <v>22</v>
      </c>
      <c r="P654" s="14" t="s">
        <v>24</v>
      </c>
      <c r="Q654" s="14" t="s">
        <v>25</v>
      </c>
      <c r="R654" s="14" t="s">
        <v>23</v>
      </c>
    </row>
    <row r="655" spans="1:18" s="14" customFormat="1" x14ac:dyDescent="0.25">
      <c r="A655" s="14" t="str">
        <f>"10001"</f>
        <v>10001</v>
      </c>
      <c r="B655" s="14" t="str">
        <f>"00121"</f>
        <v>00121</v>
      </c>
      <c r="C655" s="14" t="str">
        <f>"1400"</f>
        <v>1400</v>
      </c>
      <c r="D655" s="14" t="str">
        <f>"00121"</f>
        <v>00121</v>
      </c>
      <c r="E655" s="14" t="s">
        <v>20</v>
      </c>
      <c r="F655" s="14" t="s">
        <v>33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34</v>
      </c>
      <c r="P655" s="14" t="s">
        <v>31</v>
      </c>
      <c r="Q655" s="14" t="s">
        <v>25</v>
      </c>
      <c r="R655" s="14" t="s">
        <v>35</v>
      </c>
    </row>
    <row r="656" spans="1:18" s="14" customFormat="1" x14ac:dyDescent="0.25">
      <c r="A656" s="14" t="str">
        <f>"10001"</f>
        <v>10001</v>
      </c>
      <c r="B656" s="14" t="str">
        <f>"00162"</f>
        <v>00162</v>
      </c>
      <c r="C656" s="14" t="str">
        <f>"1400"</f>
        <v>1400</v>
      </c>
      <c r="D656" s="14" t="str">
        <f>"00162"</f>
        <v>00162</v>
      </c>
      <c r="E656" s="14" t="s">
        <v>20</v>
      </c>
      <c r="F656" s="14" t="s">
        <v>36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37</v>
      </c>
      <c r="L656" s="14" t="s">
        <v>38</v>
      </c>
      <c r="P656" s="14" t="s">
        <v>39</v>
      </c>
      <c r="Q656" s="14" t="s">
        <v>25</v>
      </c>
      <c r="R656" s="14" t="s">
        <v>38</v>
      </c>
    </row>
    <row r="657" spans="1:18" s="14" customFormat="1" x14ac:dyDescent="0.25">
      <c r="A657" s="14" t="str">
        <f>"10001"</f>
        <v>10001</v>
      </c>
      <c r="B657" s="14" t="str">
        <f>"00163"</f>
        <v>00163</v>
      </c>
      <c r="C657" s="14" t="str">
        <f>"1400"</f>
        <v>1400</v>
      </c>
      <c r="D657" s="14" t="str">
        <f>"00163"</f>
        <v>00163</v>
      </c>
      <c r="E657" s="14" t="s">
        <v>20</v>
      </c>
      <c r="F657" s="14" t="s">
        <v>40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34</v>
      </c>
      <c r="L657" s="14" t="s">
        <v>25</v>
      </c>
      <c r="P657" s="14" t="s">
        <v>31</v>
      </c>
      <c r="Q657" s="14" t="s">
        <v>25</v>
      </c>
      <c r="R657" s="14" t="s">
        <v>35</v>
      </c>
    </row>
    <row r="658" spans="1:18" s="14" customFormat="1" x14ac:dyDescent="0.25">
      <c r="A658" s="14" t="str">
        <f>"10001"</f>
        <v>10001</v>
      </c>
      <c r="B658" s="14" t="str">
        <f>"00164"</f>
        <v>00164</v>
      </c>
      <c r="C658" s="14" t="str">
        <f>"1400"</f>
        <v>1400</v>
      </c>
      <c r="D658" s="14" t="str">
        <f>"00164"</f>
        <v>00164</v>
      </c>
      <c r="E658" s="14" t="s">
        <v>20</v>
      </c>
      <c r="F658" s="14" t="s">
        <v>41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30</v>
      </c>
      <c r="L658" s="14" t="s">
        <v>42</v>
      </c>
      <c r="P658" s="14" t="s">
        <v>24</v>
      </c>
      <c r="Q658" s="14" t="s">
        <v>25</v>
      </c>
      <c r="R658" s="14" t="s">
        <v>43</v>
      </c>
    </row>
    <row r="659" spans="1:18" s="14" customFormat="1" x14ac:dyDescent="0.25">
      <c r="A659" s="14" t="str">
        <f>"10001"</f>
        <v>10001</v>
      </c>
      <c r="B659" s="14" t="str">
        <f>"01000"</f>
        <v>01000</v>
      </c>
      <c r="C659" s="14" t="str">
        <f>"1400"</f>
        <v>1400</v>
      </c>
      <c r="D659" s="14" t="str">
        <f>"01000"</f>
        <v>01000</v>
      </c>
      <c r="E659" s="14" t="s">
        <v>20</v>
      </c>
      <c r="F659" s="14" t="s">
        <v>44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37</v>
      </c>
      <c r="L659" s="14" t="s">
        <v>38</v>
      </c>
      <c r="P659" s="14" t="s">
        <v>39</v>
      </c>
      <c r="Q659" s="14" t="s">
        <v>25</v>
      </c>
      <c r="R659" s="14" t="s">
        <v>45</v>
      </c>
    </row>
    <row r="660" spans="1:18" s="14" customFormat="1" x14ac:dyDescent="0.25">
      <c r="A660" s="14" t="str">
        <f>"10001"</f>
        <v>10001</v>
      </c>
      <c r="B660" s="14" t="str">
        <f>"01005"</f>
        <v>01005</v>
      </c>
      <c r="C660" s="14" t="str">
        <f>"1400"</f>
        <v>1400</v>
      </c>
      <c r="D660" s="14" t="str">
        <f>"01005"</f>
        <v>01005</v>
      </c>
      <c r="E660" s="14" t="s">
        <v>20</v>
      </c>
      <c r="F660" s="14" t="s">
        <v>46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47</v>
      </c>
      <c r="L660" s="14" t="s">
        <v>23</v>
      </c>
      <c r="P660" s="14" t="s">
        <v>39</v>
      </c>
      <c r="Q660" s="14" t="s">
        <v>25</v>
      </c>
      <c r="R660" s="14" t="s">
        <v>23</v>
      </c>
    </row>
    <row r="661" spans="1:18" s="14" customFormat="1" x14ac:dyDescent="0.25">
      <c r="A661" s="14" t="str">
        <f>"10001"</f>
        <v>10001</v>
      </c>
      <c r="B661" s="14" t="str">
        <f>"01010"</f>
        <v>01010</v>
      </c>
      <c r="C661" s="14" t="str">
        <f>"1400"</f>
        <v>1400</v>
      </c>
      <c r="D661" s="14" t="str">
        <f>"01010"</f>
        <v>01010</v>
      </c>
      <c r="E661" s="14" t="s">
        <v>20</v>
      </c>
      <c r="F661" s="14" t="s">
        <v>51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37</v>
      </c>
      <c r="L661" s="14" t="s">
        <v>34</v>
      </c>
      <c r="P661" s="14" t="s">
        <v>39</v>
      </c>
      <c r="Q661" s="14" t="s">
        <v>25</v>
      </c>
      <c r="R661" s="14" t="s">
        <v>38</v>
      </c>
    </row>
    <row r="662" spans="1:18" s="14" customFormat="1" x14ac:dyDescent="0.25">
      <c r="A662" s="14" t="str">
        <f>"10001"</f>
        <v>10001</v>
      </c>
      <c r="B662" s="14" t="str">
        <f>"01030"</f>
        <v>01030</v>
      </c>
      <c r="C662" s="14" t="str">
        <f>"1600"</f>
        <v>1600</v>
      </c>
      <c r="D662" s="14" t="str">
        <f>"01030"</f>
        <v>01030</v>
      </c>
      <c r="E662" s="14" t="s">
        <v>20</v>
      </c>
      <c r="F662" s="14" t="s">
        <v>52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53</v>
      </c>
      <c r="L662" s="14" t="s">
        <v>54</v>
      </c>
      <c r="M662" s="14" t="s">
        <v>55</v>
      </c>
      <c r="P662" s="14" t="s">
        <v>31</v>
      </c>
      <c r="Q662" s="14" t="s">
        <v>25</v>
      </c>
      <c r="R662" s="14" t="s">
        <v>54</v>
      </c>
    </row>
    <row r="663" spans="1:18" s="14" customFormat="1" x14ac:dyDescent="0.25">
      <c r="A663" s="14" t="str">
        <f>"10001"</f>
        <v>10001</v>
      </c>
      <c r="B663" s="14" t="str">
        <f>"01035"</f>
        <v>01035</v>
      </c>
      <c r="C663" s="14" t="str">
        <f>"1600"</f>
        <v>1600</v>
      </c>
      <c r="D663" s="14" t="str">
        <f>"01035"</f>
        <v>01035</v>
      </c>
      <c r="E663" s="14" t="s">
        <v>20</v>
      </c>
      <c r="F663" s="14" t="s">
        <v>56</v>
      </c>
      <c r="G663" s="14" t="str">
        <f>""</f>
        <v/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53</v>
      </c>
      <c r="L663" s="14" t="s">
        <v>54</v>
      </c>
      <c r="M663" s="14" t="s">
        <v>55</v>
      </c>
      <c r="P663" s="14" t="s">
        <v>31</v>
      </c>
      <c r="Q663" s="14" t="s">
        <v>25</v>
      </c>
      <c r="R663" s="14" t="s">
        <v>54</v>
      </c>
    </row>
    <row r="664" spans="1:18" s="14" customFormat="1" x14ac:dyDescent="0.25">
      <c r="A664" s="14" t="str">
        <f>"10001"</f>
        <v>10001</v>
      </c>
      <c r="B664" s="14" t="str">
        <f>"01040"</f>
        <v>01040</v>
      </c>
      <c r="C664" s="14" t="str">
        <f>"1100"</f>
        <v>1100</v>
      </c>
      <c r="D664" s="14" t="str">
        <f>"01040"</f>
        <v>01040</v>
      </c>
      <c r="E664" s="14" t="s">
        <v>20</v>
      </c>
      <c r="F664" s="14" t="s">
        <v>57</v>
      </c>
      <c r="G664" s="14" t="str">
        <f>""</f>
        <v/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53</v>
      </c>
      <c r="L664" s="14" t="s">
        <v>54</v>
      </c>
      <c r="M664" s="14" t="s">
        <v>55</v>
      </c>
      <c r="N664" s="14" t="s">
        <v>58</v>
      </c>
      <c r="P664" s="14" t="s">
        <v>31</v>
      </c>
      <c r="Q664" s="14" t="s">
        <v>25</v>
      </c>
      <c r="R664" s="14" t="s">
        <v>58</v>
      </c>
    </row>
    <row r="665" spans="1:18" s="14" customFormat="1" x14ac:dyDescent="0.25">
      <c r="A665" s="14" t="str">
        <f>"10001"</f>
        <v>10001</v>
      </c>
      <c r="B665" s="14" t="str">
        <f>"01047"</f>
        <v>01047</v>
      </c>
      <c r="C665" s="14" t="str">
        <f>"1700"</f>
        <v>1700</v>
      </c>
      <c r="D665" s="14" t="str">
        <f>"01047"</f>
        <v>01047</v>
      </c>
      <c r="E665" s="14" t="s">
        <v>20</v>
      </c>
      <c r="F665" s="14" t="s">
        <v>59</v>
      </c>
      <c r="G665" s="14" t="str">
        <f>""</f>
        <v/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53</v>
      </c>
      <c r="L665" s="14" t="s">
        <v>54</v>
      </c>
      <c r="M665" s="14" t="s">
        <v>55</v>
      </c>
      <c r="P665" s="14" t="s">
        <v>31</v>
      </c>
      <c r="Q665" s="14" t="s">
        <v>25</v>
      </c>
      <c r="R665" s="14" t="s">
        <v>60</v>
      </c>
    </row>
    <row r="666" spans="1:18" s="14" customFormat="1" x14ac:dyDescent="0.25">
      <c r="A666" s="14" t="str">
        <f>"10001"</f>
        <v>10001</v>
      </c>
      <c r="B666" s="14" t="str">
        <f>"01080"</f>
        <v>01080</v>
      </c>
      <c r="C666" s="14" t="str">
        <f>"1700"</f>
        <v>1700</v>
      </c>
      <c r="D666" s="14" t="str">
        <f>"01080"</f>
        <v>01080</v>
      </c>
      <c r="E666" s="14" t="s">
        <v>20</v>
      </c>
      <c r="F666" s="14" t="s">
        <v>61</v>
      </c>
      <c r="G666" s="14" t="str">
        <f>""</f>
        <v/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37</v>
      </c>
      <c r="L666" s="14" t="s">
        <v>50</v>
      </c>
      <c r="P666" s="14" t="s">
        <v>31</v>
      </c>
      <c r="Q666" s="14" t="s">
        <v>25</v>
      </c>
      <c r="R666" s="14" t="s">
        <v>38</v>
      </c>
    </row>
    <row r="667" spans="1:18" s="14" customFormat="1" x14ac:dyDescent="0.25">
      <c r="A667" s="14" t="str">
        <f>"10001"</f>
        <v>10001</v>
      </c>
      <c r="B667" s="14" t="str">
        <f>"01090"</f>
        <v>01090</v>
      </c>
      <c r="C667" s="14" t="str">
        <f>"1100"</f>
        <v>1100</v>
      </c>
      <c r="D667" s="14" t="str">
        <f>"01090"</f>
        <v>01090</v>
      </c>
      <c r="E667" s="14" t="s">
        <v>20</v>
      </c>
      <c r="F667" s="14" t="s">
        <v>62</v>
      </c>
      <c r="G667" s="14" t="str">
        <f>""</f>
        <v/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53</v>
      </c>
      <c r="L667" s="14" t="s">
        <v>54</v>
      </c>
      <c r="M667" s="14" t="s">
        <v>55</v>
      </c>
      <c r="P667" s="14" t="s">
        <v>31</v>
      </c>
      <c r="Q667" s="14" t="s">
        <v>25</v>
      </c>
      <c r="R667" s="14" t="s">
        <v>54</v>
      </c>
    </row>
    <row r="668" spans="1:18" s="14" customFormat="1" x14ac:dyDescent="0.25">
      <c r="A668" s="14" t="str">
        <f>"10001"</f>
        <v>10001</v>
      </c>
      <c r="B668" s="14" t="str">
        <f>"01160"</f>
        <v>01160</v>
      </c>
      <c r="C668" s="14" t="str">
        <f>"1600"</f>
        <v>1600</v>
      </c>
      <c r="D668" s="14" t="str">
        <f>"01160"</f>
        <v>01160</v>
      </c>
      <c r="E668" s="14" t="s">
        <v>20</v>
      </c>
      <c r="F668" s="14" t="s">
        <v>63</v>
      </c>
      <c r="G668" s="14" t="str">
        <f>""</f>
        <v/>
      </c>
      <c r="H668" s="14" t="str">
        <f>" 10"</f>
        <v xml:space="preserve"> 10</v>
      </c>
      <c r="I668" s="14">
        <v>0.01</v>
      </c>
      <c r="J668" s="14">
        <v>500</v>
      </c>
      <c r="K668" s="14" t="s">
        <v>64</v>
      </c>
      <c r="P668" s="14" t="s">
        <v>31</v>
      </c>
      <c r="Q668" s="14" t="s">
        <v>25</v>
      </c>
      <c r="R668" s="14" t="s">
        <v>55</v>
      </c>
    </row>
    <row r="669" spans="1:18" s="14" customFormat="1" x14ac:dyDescent="0.25">
      <c r="A669" s="14" t="str">
        <f>"10001"</f>
        <v>10001</v>
      </c>
      <c r="B669" s="14" t="str">
        <f>"01160"</f>
        <v>01160</v>
      </c>
      <c r="C669" s="14" t="str">
        <f>"1600"</f>
        <v>1600</v>
      </c>
      <c r="D669" s="14" t="str">
        <f>"01160"</f>
        <v>01160</v>
      </c>
      <c r="E669" s="14" t="s">
        <v>20</v>
      </c>
      <c r="F669" s="14" t="s">
        <v>63</v>
      </c>
      <c r="G669" s="14" t="str">
        <f>""</f>
        <v/>
      </c>
      <c r="H669" s="14" t="str">
        <f>" 20"</f>
        <v xml:space="preserve"> 20</v>
      </c>
      <c r="I669" s="14">
        <v>500.01</v>
      </c>
      <c r="J669" s="14">
        <v>9999999.9900000002</v>
      </c>
      <c r="K669" s="14" t="s">
        <v>55</v>
      </c>
      <c r="L669" s="14" t="s">
        <v>53</v>
      </c>
      <c r="M669" s="14" t="s">
        <v>54</v>
      </c>
      <c r="P669" s="14" t="s">
        <v>31</v>
      </c>
      <c r="Q669" s="14" t="s">
        <v>25</v>
      </c>
      <c r="R669" s="14" t="s">
        <v>55</v>
      </c>
    </row>
    <row r="670" spans="1:18" s="14" customFormat="1" x14ac:dyDescent="0.25">
      <c r="A670" s="14" t="str">
        <f>"10001"</f>
        <v>10001</v>
      </c>
      <c r="B670" s="14" t="str">
        <f>"01180"</f>
        <v>01180</v>
      </c>
      <c r="C670" s="14" t="str">
        <f>"1100"</f>
        <v>1100</v>
      </c>
      <c r="D670" s="14" t="str">
        <f>"01180"</f>
        <v>01180</v>
      </c>
      <c r="E670" s="14" t="s">
        <v>20</v>
      </c>
      <c r="F670" s="14" t="s">
        <v>65</v>
      </c>
      <c r="G670" s="14" t="str">
        <f>""</f>
        <v/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66</v>
      </c>
      <c r="L670" s="14" t="s">
        <v>50</v>
      </c>
      <c r="M670" s="14" t="s">
        <v>37</v>
      </c>
      <c r="P670" s="14" t="s">
        <v>31</v>
      </c>
      <c r="Q670" s="14" t="s">
        <v>25</v>
      </c>
      <c r="R670" s="14" t="s">
        <v>38</v>
      </c>
    </row>
    <row r="671" spans="1:18" s="14" customFormat="1" x14ac:dyDescent="0.25">
      <c r="A671" s="14" t="str">
        <f>"10001"</f>
        <v>10001</v>
      </c>
      <c r="B671" s="14" t="str">
        <f>"01190"</f>
        <v>01190</v>
      </c>
      <c r="C671" s="14" t="str">
        <f>"1700"</f>
        <v>1700</v>
      </c>
      <c r="D671" s="14" t="str">
        <f>"01190"</f>
        <v>01190</v>
      </c>
      <c r="E671" s="14" t="s">
        <v>20</v>
      </c>
      <c r="F671" s="14" t="s">
        <v>67</v>
      </c>
      <c r="G671" s="14" t="str">
        <f>""</f>
        <v/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53</v>
      </c>
      <c r="L671" s="14" t="s">
        <v>54</v>
      </c>
      <c r="M671" s="14" t="s">
        <v>55</v>
      </c>
      <c r="P671" s="14" t="s">
        <v>31</v>
      </c>
      <c r="Q671" s="14" t="s">
        <v>25</v>
      </c>
      <c r="R671" s="14" t="s">
        <v>54</v>
      </c>
    </row>
    <row r="672" spans="1:18" s="14" customFormat="1" x14ac:dyDescent="0.25">
      <c r="A672" s="14" t="str">
        <f>"10001"</f>
        <v>10001</v>
      </c>
      <c r="B672" s="14" t="str">
        <f>"01200"</f>
        <v>01200</v>
      </c>
      <c r="C672" s="14" t="str">
        <f>"1100"</f>
        <v>1100</v>
      </c>
      <c r="D672" s="14" t="str">
        <f>"01200"</f>
        <v>01200</v>
      </c>
      <c r="E672" s="14" t="s">
        <v>20</v>
      </c>
      <c r="F672" s="14" t="s">
        <v>68</v>
      </c>
      <c r="G672" s="14" t="str">
        <f>""</f>
        <v/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69</v>
      </c>
      <c r="L672" s="14" t="s">
        <v>70</v>
      </c>
      <c r="M672" s="14" t="s">
        <v>71</v>
      </c>
      <c r="P672" s="14" t="s">
        <v>31</v>
      </c>
      <c r="Q672" s="14" t="s">
        <v>25</v>
      </c>
      <c r="R672" s="14" t="s">
        <v>72</v>
      </c>
    </row>
    <row r="673" spans="1:18" s="14" customFormat="1" x14ac:dyDescent="0.25">
      <c r="A673" s="14" t="str">
        <f>"10001"</f>
        <v>10001</v>
      </c>
      <c r="B673" s="14" t="str">
        <f>"01225"</f>
        <v>01225</v>
      </c>
      <c r="C673" s="14" t="str">
        <f>"1300"</f>
        <v>1300</v>
      </c>
      <c r="D673" s="14" t="str">
        <f>"01225"</f>
        <v>01225</v>
      </c>
      <c r="E673" s="14" t="s">
        <v>20</v>
      </c>
      <c r="F673" s="14" t="s">
        <v>73</v>
      </c>
      <c r="G673" s="14" t="str">
        <f>""</f>
        <v/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50</v>
      </c>
      <c r="L673" s="14" t="s">
        <v>74</v>
      </c>
      <c r="P673" s="14" t="s">
        <v>31</v>
      </c>
      <c r="Q673" s="14" t="s">
        <v>25</v>
      </c>
      <c r="R673" s="14" t="s">
        <v>74</v>
      </c>
    </row>
    <row r="674" spans="1:18" s="14" customFormat="1" x14ac:dyDescent="0.25">
      <c r="A674" s="14" t="str">
        <f>"10001"</f>
        <v>10001</v>
      </c>
      <c r="B674" s="14" t="str">
        <f>"01230"</f>
        <v>01230</v>
      </c>
      <c r="C674" s="14" t="str">
        <f>"1300"</f>
        <v>1300</v>
      </c>
      <c r="D674" s="14" t="str">
        <f>"01230"</f>
        <v>01230</v>
      </c>
      <c r="E674" s="14" t="s">
        <v>20</v>
      </c>
      <c r="F674" s="14" t="s">
        <v>75</v>
      </c>
      <c r="G674" s="14" t="str">
        <f>""</f>
        <v/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76</v>
      </c>
      <c r="L674" s="14" t="s">
        <v>77</v>
      </c>
      <c r="M674" s="14" t="s">
        <v>78</v>
      </c>
      <c r="P674" s="14" t="s">
        <v>31</v>
      </c>
      <c r="Q674" s="14" t="s">
        <v>25</v>
      </c>
      <c r="R674" s="14" t="s">
        <v>79</v>
      </c>
    </row>
    <row r="675" spans="1:18" s="14" customFormat="1" x14ac:dyDescent="0.25">
      <c r="A675" s="14" t="str">
        <f>"10001"</f>
        <v>10001</v>
      </c>
      <c r="B675" s="14" t="str">
        <f>"01240"</f>
        <v>01240</v>
      </c>
      <c r="C675" s="14" t="str">
        <f>"1400"</f>
        <v>1400</v>
      </c>
      <c r="D675" s="14" t="str">
        <f>"01240"</f>
        <v>01240</v>
      </c>
      <c r="E675" s="14" t="s">
        <v>20</v>
      </c>
      <c r="F675" s="14" t="s">
        <v>80</v>
      </c>
      <c r="G675" s="14" t="str">
        <f>""</f>
        <v/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81</v>
      </c>
      <c r="L675" s="14" t="s">
        <v>37</v>
      </c>
      <c r="P675" s="14" t="s">
        <v>31</v>
      </c>
      <c r="Q675" s="14" t="s">
        <v>25</v>
      </c>
      <c r="R675" s="14" t="s">
        <v>81</v>
      </c>
    </row>
    <row r="676" spans="1:18" s="14" customFormat="1" x14ac:dyDescent="0.25">
      <c r="A676" s="14" t="str">
        <f>"10001"</f>
        <v>10001</v>
      </c>
      <c r="B676" s="14" t="str">
        <f>"01241"</f>
        <v>01241</v>
      </c>
      <c r="C676" s="14" t="str">
        <f>"1300"</f>
        <v>1300</v>
      </c>
      <c r="D676" s="14" t="str">
        <f>"01241"</f>
        <v>01241</v>
      </c>
      <c r="E676" s="14" t="s">
        <v>20</v>
      </c>
      <c r="F676" s="14" t="s">
        <v>82</v>
      </c>
      <c r="G676" s="14" t="str">
        <f>""</f>
        <v/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83</v>
      </c>
      <c r="L676" s="14" t="s">
        <v>37</v>
      </c>
      <c r="M676" s="14" t="s">
        <v>84</v>
      </c>
      <c r="P676" s="14" t="s">
        <v>31</v>
      </c>
      <c r="Q676" s="14" t="s">
        <v>25</v>
      </c>
      <c r="R676" s="14" t="s">
        <v>38</v>
      </c>
    </row>
    <row r="677" spans="1:18" s="14" customFormat="1" x14ac:dyDescent="0.25">
      <c r="A677" s="14" t="str">
        <f>"10001"</f>
        <v>10001</v>
      </c>
      <c r="B677" s="14" t="str">
        <f>"01242"</f>
        <v>01242</v>
      </c>
      <c r="C677" s="14" t="str">
        <f>"1300"</f>
        <v>1300</v>
      </c>
      <c r="D677" s="14" t="str">
        <f>"01242"</f>
        <v>01242</v>
      </c>
      <c r="E677" s="14" t="s">
        <v>20</v>
      </c>
      <c r="F677" s="14" t="s">
        <v>85</v>
      </c>
      <c r="G677" s="14" t="str">
        <f>""</f>
        <v/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37</v>
      </c>
      <c r="L677" s="14" t="s">
        <v>34</v>
      </c>
      <c r="P677" s="14" t="s">
        <v>39</v>
      </c>
      <c r="Q677" s="14" t="s">
        <v>25</v>
      </c>
      <c r="R677" s="14" t="s">
        <v>38</v>
      </c>
    </row>
    <row r="678" spans="1:18" s="14" customFormat="1" x14ac:dyDescent="0.25">
      <c r="A678" s="14" t="str">
        <f>"10001"</f>
        <v>10001</v>
      </c>
      <c r="B678" s="14" t="str">
        <f>"01250"</f>
        <v>01250</v>
      </c>
      <c r="C678" s="14" t="str">
        <f>"1300"</f>
        <v>1300</v>
      </c>
      <c r="D678" s="14" t="str">
        <f>"01250"</f>
        <v>01250</v>
      </c>
      <c r="E678" s="14" t="s">
        <v>20</v>
      </c>
      <c r="F678" s="14" t="s">
        <v>86</v>
      </c>
      <c r="G678" s="14" t="str">
        <f>""</f>
        <v/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37</v>
      </c>
      <c r="L678" s="14" t="s">
        <v>601</v>
      </c>
      <c r="P678" s="14" t="s">
        <v>39</v>
      </c>
      <c r="Q678" s="14" t="s">
        <v>25</v>
      </c>
      <c r="R678" s="14" t="s">
        <v>38</v>
      </c>
    </row>
    <row r="679" spans="1:18" s="14" customFormat="1" x14ac:dyDescent="0.25">
      <c r="A679" s="14" t="str">
        <f>"10001"</f>
        <v>10001</v>
      </c>
      <c r="B679" s="14" t="str">
        <f>"01260"</f>
        <v>01260</v>
      </c>
      <c r="C679" s="14" t="str">
        <f>"1100"</f>
        <v>1100</v>
      </c>
      <c r="D679" s="14" t="str">
        <f>"01260"</f>
        <v>01260</v>
      </c>
      <c r="E679" s="14" t="s">
        <v>20</v>
      </c>
      <c r="F679" s="14" t="s">
        <v>87</v>
      </c>
      <c r="G679" s="14" t="str">
        <f>""</f>
        <v/>
      </c>
      <c r="H679" s="14" t="str">
        <f>" 10"</f>
        <v xml:space="preserve"> 10</v>
      </c>
      <c r="I679" s="14">
        <v>0.01</v>
      </c>
      <c r="J679" s="14">
        <v>500</v>
      </c>
      <c r="K679" s="14" t="s">
        <v>88</v>
      </c>
      <c r="P679" s="14" t="s">
        <v>31</v>
      </c>
      <c r="Q679" s="14" t="s">
        <v>25</v>
      </c>
      <c r="R679" s="14" t="s">
        <v>89</v>
      </c>
    </row>
    <row r="680" spans="1:18" s="14" customFormat="1" x14ac:dyDescent="0.25">
      <c r="A680" s="14" t="str">
        <f>"10001"</f>
        <v>10001</v>
      </c>
      <c r="B680" s="14" t="str">
        <f>"01260"</f>
        <v>01260</v>
      </c>
      <c r="C680" s="14" t="str">
        <f>"1100"</f>
        <v>1100</v>
      </c>
      <c r="D680" s="14" t="str">
        <f>"01260"</f>
        <v>01260</v>
      </c>
      <c r="E680" s="14" t="s">
        <v>20</v>
      </c>
      <c r="F680" s="14" t="s">
        <v>87</v>
      </c>
      <c r="G680" s="14" t="str">
        <f>""</f>
        <v/>
      </c>
      <c r="H680" s="14" t="str">
        <f>" 20"</f>
        <v xml:space="preserve"> 20</v>
      </c>
      <c r="I680" s="14">
        <v>500.01</v>
      </c>
      <c r="J680" s="14">
        <v>9999999.9900000002</v>
      </c>
      <c r="K680" s="14" t="s">
        <v>90</v>
      </c>
      <c r="L680" s="14" t="s">
        <v>88</v>
      </c>
      <c r="P680" s="14" t="s">
        <v>31</v>
      </c>
      <c r="Q680" s="14" t="s">
        <v>25</v>
      </c>
      <c r="R680" s="14" t="s">
        <v>89</v>
      </c>
    </row>
    <row r="681" spans="1:18" s="14" customFormat="1" x14ac:dyDescent="0.25">
      <c r="A681" s="14" t="str">
        <f>"10001"</f>
        <v>10001</v>
      </c>
      <c r="B681" s="14" t="str">
        <f>"01270"</f>
        <v>01270</v>
      </c>
      <c r="C681" s="14" t="str">
        <f>"1100"</f>
        <v>1100</v>
      </c>
      <c r="D681" s="14" t="str">
        <f>"01270"</f>
        <v>01270</v>
      </c>
      <c r="E681" s="14" t="s">
        <v>20</v>
      </c>
      <c r="F681" s="14" t="s">
        <v>91</v>
      </c>
      <c r="G681" s="14" t="str">
        <f>""</f>
        <v/>
      </c>
      <c r="H681" s="14" t="str">
        <f>" 10"</f>
        <v xml:space="preserve"> 10</v>
      </c>
      <c r="I681" s="14">
        <v>0.01</v>
      </c>
      <c r="J681" s="14">
        <v>500</v>
      </c>
      <c r="K681" s="14" t="s">
        <v>88</v>
      </c>
      <c r="P681" s="14" t="s">
        <v>31</v>
      </c>
      <c r="Q681" s="14" t="s">
        <v>25</v>
      </c>
      <c r="R681" s="14" t="s">
        <v>89</v>
      </c>
    </row>
    <row r="682" spans="1:18" s="14" customFormat="1" x14ac:dyDescent="0.25">
      <c r="A682" s="14" t="str">
        <f>"10001"</f>
        <v>10001</v>
      </c>
      <c r="B682" s="14" t="str">
        <f>"01270"</f>
        <v>01270</v>
      </c>
      <c r="C682" s="14" t="str">
        <f>"1100"</f>
        <v>1100</v>
      </c>
      <c r="D682" s="14" t="str">
        <f>"01270"</f>
        <v>01270</v>
      </c>
      <c r="E682" s="14" t="s">
        <v>20</v>
      </c>
      <c r="F682" s="14" t="s">
        <v>91</v>
      </c>
      <c r="G682" s="14" t="str">
        <f>""</f>
        <v/>
      </c>
      <c r="H682" s="14" t="str">
        <f>" 20"</f>
        <v xml:space="preserve"> 20</v>
      </c>
      <c r="I682" s="14">
        <v>500.01</v>
      </c>
      <c r="J682" s="14">
        <v>9999999.9900000002</v>
      </c>
      <c r="K682" s="14" t="s">
        <v>90</v>
      </c>
      <c r="L682" s="14" t="s">
        <v>88</v>
      </c>
      <c r="P682" s="14" t="s">
        <v>31</v>
      </c>
      <c r="Q682" s="14" t="s">
        <v>25</v>
      </c>
      <c r="R682" s="14" t="s">
        <v>89</v>
      </c>
    </row>
    <row r="683" spans="1:18" s="14" customFormat="1" x14ac:dyDescent="0.25">
      <c r="A683" s="14" t="str">
        <f>"10001"</f>
        <v>10001</v>
      </c>
      <c r="B683" s="14" t="str">
        <f>"01285"</f>
        <v>01285</v>
      </c>
      <c r="C683" s="14" t="str">
        <f>"1700"</f>
        <v>1700</v>
      </c>
      <c r="D683" s="14" t="str">
        <f>"01285"</f>
        <v>01285</v>
      </c>
      <c r="E683" s="14" t="s">
        <v>20</v>
      </c>
      <c r="F683" s="14" t="s">
        <v>92</v>
      </c>
      <c r="G683" s="14" t="str">
        <f>""</f>
        <v/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37</v>
      </c>
      <c r="L683" s="14" t="s">
        <v>93</v>
      </c>
      <c r="P683" s="14" t="s">
        <v>39</v>
      </c>
      <c r="Q683" s="14" t="s">
        <v>25</v>
      </c>
      <c r="R683" s="14" t="s">
        <v>94</v>
      </c>
    </row>
    <row r="684" spans="1:18" s="14" customFormat="1" x14ac:dyDescent="0.25">
      <c r="A684" s="14" t="str">
        <f>"10001"</f>
        <v>10001</v>
      </c>
      <c r="B684" s="14" t="str">
        <f>"01290"</f>
        <v>01290</v>
      </c>
      <c r="C684" s="14" t="str">
        <f>"1300"</f>
        <v>1300</v>
      </c>
      <c r="D684" s="14" t="str">
        <f>"01290"</f>
        <v>01290</v>
      </c>
      <c r="E684" s="14" t="s">
        <v>20</v>
      </c>
      <c r="F684" s="14" t="s">
        <v>95</v>
      </c>
      <c r="G684" s="14" t="str">
        <f>""</f>
        <v/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83</v>
      </c>
      <c r="L684" s="14" t="s">
        <v>37</v>
      </c>
      <c r="M684" s="14" t="s">
        <v>38</v>
      </c>
      <c r="P684" s="14" t="s">
        <v>39</v>
      </c>
      <c r="Q684" s="14" t="s">
        <v>25</v>
      </c>
      <c r="R684" s="14" t="s">
        <v>38</v>
      </c>
    </row>
    <row r="685" spans="1:18" s="14" customFormat="1" x14ac:dyDescent="0.25">
      <c r="A685" s="14" t="str">
        <f>"10001"</f>
        <v>10001</v>
      </c>
      <c r="B685" s="14" t="str">
        <f>"01300"</f>
        <v>01300</v>
      </c>
      <c r="C685" s="14" t="str">
        <f>"1300"</f>
        <v>1300</v>
      </c>
      <c r="D685" s="14" t="str">
        <f>"01300"</f>
        <v>01300</v>
      </c>
      <c r="E685" s="14" t="s">
        <v>20</v>
      </c>
      <c r="F685" s="14" t="s">
        <v>96</v>
      </c>
      <c r="G685" s="14" t="str">
        <f>""</f>
        <v/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48</v>
      </c>
      <c r="L685" s="14" t="s">
        <v>97</v>
      </c>
      <c r="M685" s="14" t="s">
        <v>98</v>
      </c>
      <c r="P685" s="14" t="s">
        <v>39</v>
      </c>
      <c r="Q685" s="14" t="s">
        <v>25</v>
      </c>
      <c r="R685" s="14" t="s">
        <v>49</v>
      </c>
    </row>
    <row r="686" spans="1:18" s="14" customFormat="1" x14ac:dyDescent="0.25">
      <c r="A686" s="14" t="str">
        <f>"10001"</f>
        <v>10001</v>
      </c>
      <c r="B686" s="14" t="str">
        <f>"01305"</f>
        <v>01305</v>
      </c>
      <c r="C686" s="14" t="str">
        <f>"1300"</f>
        <v>1300</v>
      </c>
      <c r="D686" s="14" t="str">
        <f>"01305"</f>
        <v>01305</v>
      </c>
      <c r="E686" s="14" t="s">
        <v>20</v>
      </c>
      <c r="F686" s="14" t="s">
        <v>99</v>
      </c>
      <c r="G686" s="14" t="str">
        <f>""</f>
        <v/>
      </c>
      <c r="H686" s="14" t="str">
        <f>" 10"</f>
        <v xml:space="preserve"> 10</v>
      </c>
      <c r="I686" s="14">
        <v>0.01</v>
      </c>
      <c r="J686" s="14">
        <v>500</v>
      </c>
      <c r="K686" s="14" t="s">
        <v>100</v>
      </c>
      <c r="P686" s="14" t="s">
        <v>31</v>
      </c>
      <c r="Q686" s="14" t="s">
        <v>25</v>
      </c>
      <c r="R686" s="14" t="s">
        <v>90</v>
      </c>
    </row>
    <row r="687" spans="1:18" s="14" customFormat="1" x14ac:dyDescent="0.25">
      <c r="A687" s="14" t="str">
        <f>"10001"</f>
        <v>10001</v>
      </c>
      <c r="B687" s="14" t="str">
        <f>"01305"</f>
        <v>01305</v>
      </c>
      <c r="C687" s="14" t="str">
        <f>"1300"</f>
        <v>1300</v>
      </c>
      <c r="D687" s="14" t="str">
        <f>"01305"</f>
        <v>01305</v>
      </c>
      <c r="E687" s="14" t="s">
        <v>20</v>
      </c>
      <c r="F687" s="14" t="s">
        <v>99</v>
      </c>
      <c r="G687" s="14" t="str">
        <f>""</f>
        <v/>
      </c>
      <c r="H687" s="14" t="str">
        <f>" 20"</f>
        <v xml:space="preserve"> 20</v>
      </c>
      <c r="I687" s="14">
        <v>500.01</v>
      </c>
      <c r="J687" s="14">
        <v>9999999.9900000002</v>
      </c>
      <c r="K687" s="14" t="s">
        <v>90</v>
      </c>
      <c r="L687" s="14" t="s">
        <v>100</v>
      </c>
      <c r="P687" s="14" t="s">
        <v>31</v>
      </c>
      <c r="Q687" s="14" t="s">
        <v>25</v>
      </c>
      <c r="R687" s="14" t="s">
        <v>90</v>
      </c>
    </row>
    <row r="688" spans="1:18" s="14" customFormat="1" x14ac:dyDescent="0.25">
      <c r="A688" s="14" t="str">
        <f>"10001"</f>
        <v>10001</v>
      </c>
      <c r="B688" s="14" t="str">
        <f>"01310"</f>
        <v>01310</v>
      </c>
      <c r="C688" s="14" t="str">
        <f>"1100"</f>
        <v>1100</v>
      </c>
      <c r="D688" s="14" t="str">
        <f>"01310"</f>
        <v>01310</v>
      </c>
      <c r="E688" s="14" t="s">
        <v>20</v>
      </c>
      <c r="F688" s="14" t="s">
        <v>101</v>
      </c>
      <c r="G688" s="14" t="str">
        <f>""</f>
        <v/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102</v>
      </c>
      <c r="L688" s="14" t="s">
        <v>48</v>
      </c>
      <c r="M688" s="14" t="s">
        <v>97</v>
      </c>
      <c r="N688" s="14" t="s">
        <v>98</v>
      </c>
      <c r="P688" s="14" t="s">
        <v>39</v>
      </c>
      <c r="Q688" s="14" t="s">
        <v>25</v>
      </c>
      <c r="R688" s="14" t="s">
        <v>49</v>
      </c>
    </row>
    <row r="689" spans="1:18" s="14" customFormat="1" x14ac:dyDescent="0.25">
      <c r="A689" s="14" t="str">
        <f>"10001"</f>
        <v>10001</v>
      </c>
      <c r="B689" s="14" t="str">
        <f>"01320"</f>
        <v>01320</v>
      </c>
      <c r="C689" s="14" t="str">
        <f>"1100"</f>
        <v>1100</v>
      </c>
      <c r="D689" s="14" t="str">
        <f>"01320"</f>
        <v>01320</v>
      </c>
      <c r="E689" s="14" t="s">
        <v>20</v>
      </c>
      <c r="F689" s="14" t="s">
        <v>103</v>
      </c>
      <c r="G689" s="14" t="str">
        <f>""</f>
        <v/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48</v>
      </c>
      <c r="L689" s="14" t="s">
        <v>97</v>
      </c>
      <c r="M689" s="14" t="s">
        <v>98</v>
      </c>
      <c r="P689" s="14" t="s">
        <v>39</v>
      </c>
      <c r="Q689" s="14" t="s">
        <v>25</v>
      </c>
      <c r="R689" s="14" t="s">
        <v>49</v>
      </c>
    </row>
    <row r="690" spans="1:18" s="14" customFormat="1" x14ac:dyDescent="0.25">
      <c r="A690" s="14" t="str">
        <f>"10001"</f>
        <v>10001</v>
      </c>
      <c r="B690" s="14" t="str">
        <f>"01325"</f>
        <v>01325</v>
      </c>
      <c r="C690" s="14" t="str">
        <f>"1100"</f>
        <v>1100</v>
      </c>
      <c r="D690" s="14" t="str">
        <f>"01325"</f>
        <v>01325</v>
      </c>
      <c r="E690" s="14" t="s">
        <v>20</v>
      </c>
      <c r="F690" s="14" t="s">
        <v>104</v>
      </c>
      <c r="G690" s="14" t="str">
        <f>""</f>
        <v/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48</v>
      </c>
      <c r="L690" s="14" t="s">
        <v>97</v>
      </c>
      <c r="M690" s="14" t="s">
        <v>98</v>
      </c>
      <c r="P690" s="14" t="s">
        <v>39</v>
      </c>
      <c r="Q690" s="14" t="s">
        <v>25</v>
      </c>
      <c r="R690" s="14" t="s">
        <v>49</v>
      </c>
    </row>
    <row r="691" spans="1:18" s="14" customFormat="1" x14ac:dyDescent="0.25">
      <c r="A691" s="14" t="str">
        <f>"10001"</f>
        <v>10001</v>
      </c>
      <c r="B691" s="14" t="str">
        <f>"01330"</f>
        <v>01330</v>
      </c>
      <c r="C691" s="14" t="str">
        <f>"1100"</f>
        <v>1100</v>
      </c>
      <c r="D691" s="14" t="str">
        <f>"01330"</f>
        <v>01330</v>
      </c>
      <c r="E691" s="14" t="s">
        <v>20</v>
      </c>
      <c r="F691" s="14" t="s">
        <v>105</v>
      </c>
      <c r="G691" s="14" t="str">
        <f>""</f>
        <v/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106</v>
      </c>
      <c r="L691" s="14" t="s">
        <v>48</v>
      </c>
      <c r="M691" s="14" t="s">
        <v>97</v>
      </c>
      <c r="N691" s="14" t="s">
        <v>98</v>
      </c>
      <c r="P691" s="14" t="s">
        <v>39</v>
      </c>
      <c r="Q691" s="14" t="s">
        <v>25</v>
      </c>
      <c r="R691" s="14" t="s">
        <v>49</v>
      </c>
    </row>
    <row r="692" spans="1:18" s="14" customFormat="1" x14ac:dyDescent="0.25">
      <c r="A692" s="14" t="str">
        <f>"10001"</f>
        <v>10001</v>
      </c>
      <c r="B692" s="14" t="str">
        <f>"01341"</f>
        <v>01341</v>
      </c>
      <c r="C692" s="14" t="str">
        <f>"1100"</f>
        <v>1100</v>
      </c>
      <c r="D692" s="14" t="str">
        <f>"01341"</f>
        <v>01341</v>
      </c>
      <c r="E692" s="14" t="s">
        <v>20</v>
      </c>
      <c r="F692" s="14" t="s">
        <v>107</v>
      </c>
      <c r="G692" s="14" t="str">
        <f>""</f>
        <v/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48</v>
      </c>
      <c r="L692" s="14" t="s">
        <v>97</v>
      </c>
      <c r="M692" s="14" t="s">
        <v>98</v>
      </c>
      <c r="P692" s="14" t="s">
        <v>39</v>
      </c>
      <c r="Q692" s="14" t="s">
        <v>25</v>
      </c>
      <c r="R692" s="14" t="s">
        <v>49</v>
      </c>
    </row>
    <row r="693" spans="1:18" s="14" customFormat="1" x14ac:dyDescent="0.25">
      <c r="A693" s="14" t="str">
        <f>"10001"</f>
        <v>10001</v>
      </c>
      <c r="B693" s="14" t="str">
        <f>"01370"</f>
        <v>01370</v>
      </c>
      <c r="C693" s="14" t="str">
        <f>"1100"</f>
        <v>1100</v>
      </c>
      <c r="D693" s="14" t="str">
        <f>"01370"</f>
        <v>01370</v>
      </c>
      <c r="E693" s="14" t="s">
        <v>20</v>
      </c>
      <c r="F693" s="14" t="s">
        <v>108</v>
      </c>
      <c r="G693" s="14" t="str">
        <f>""</f>
        <v/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69</v>
      </c>
      <c r="L693" s="14" t="s">
        <v>109</v>
      </c>
      <c r="M693" s="14" t="s">
        <v>70</v>
      </c>
      <c r="N693" s="14" t="s">
        <v>71</v>
      </c>
      <c r="P693" s="14" t="s">
        <v>31</v>
      </c>
      <c r="Q693" s="14" t="s">
        <v>25</v>
      </c>
      <c r="R693" s="14" t="s">
        <v>109</v>
      </c>
    </row>
    <row r="694" spans="1:18" s="14" customFormat="1" x14ac:dyDescent="0.25">
      <c r="A694" s="14" t="str">
        <f>"10001"</f>
        <v>10001</v>
      </c>
      <c r="B694" s="14" t="str">
        <f>"01380"</f>
        <v>01380</v>
      </c>
      <c r="C694" s="14" t="str">
        <f>"1100"</f>
        <v>1100</v>
      </c>
      <c r="D694" s="14" t="str">
        <f>"01380"</f>
        <v>01380</v>
      </c>
      <c r="E694" s="14" t="s">
        <v>20</v>
      </c>
      <c r="F694" s="14" t="s">
        <v>110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111</v>
      </c>
      <c r="L694" s="14" t="s">
        <v>112</v>
      </c>
      <c r="M694" s="14" t="s">
        <v>113</v>
      </c>
      <c r="N694" s="14" t="s">
        <v>114</v>
      </c>
      <c r="P694" s="14" t="s">
        <v>31</v>
      </c>
      <c r="Q694" s="14" t="s">
        <v>25</v>
      </c>
      <c r="R694" s="14" t="s">
        <v>115</v>
      </c>
    </row>
    <row r="695" spans="1:18" s="14" customFormat="1" x14ac:dyDescent="0.25">
      <c r="A695" s="14" t="str">
        <f>"10001"</f>
        <v>10001</v>
      </c>
      <c r="B695" s="14" t="str">
        <f>"01390"</f>
        <v>01390</v>
      </c>
      <c r="C695" s="14" t="str">
        <f>"1100"</f>
        <v>1100</v>
      </c>
      <c r="D695" s="14" t="str">
        <f>"01390"</f>
        <v>01390</v>
      </c>
      <c r="E695" s="14" t="s">
        <v>20</v>
      </c>
      <c r="F695" s="14" t="s">
        <v>116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112</v>
      </c>
      <c r="L695" s="14" t="s">
        <v>113</v>
      </c>
      <c r="M695" s="14" t="s">
        <v>114</v>
      </c>
      <c r="P695" s="14" t="s">
        <v>31</v>
      </c>
      <c r="Q695" s="14" t="s">
        <v>25</v>
      </c>
      <c r="R695" s="14" t="s">
        <v>115</v>
      </c>
    </row>
    <row r="696" spans="1:18" s="14" customFormat="1" x14ac:dyDescent="0.25">
      <c r="A696" s="14" t="str">
        <f>"10001"</f>
        <v>10001</v>
      </c>
      <c r="B696" s="14" t="str">
        <f>"01400"</f>
        <v>01400</v>
      </c>
      <c r="C696" s="14" t="str">
        <f>"1300"</f>
        <v>1300</v>
      </c>
      <c r="D696" s="14" t="str">
        <f>"01400"</f>
        <v>01400</v>
      </c>
      <c r="E696" s="14" t="s">
        <v>20</v>
      </c>
      <c r="F696" s="14" t="s">
        <v>117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69</v>
      </c>
      <c r="L696" s="14" t="s">
        <v>70</v>
      </c>
      <c r="M696" s="14" t="s">
        <v>71</v>
      </c>
      <c r="P696" s="14" t="s">
        <v>31</v>
      </c>
      <c r="Q696" s="14" t="s">
        <v>25</v>
      </c>
      <c r="R696" s="14" t="s">
        <v>72</v>
      </c>
    </row>
    <row r="697" spans="1:18" s="14" customFormat="1" x14ac:dyDescent="0.25">
      <c r="A697" s="14" t="str">
        <f>"10001"</f>
        <v>10001</v>
      </c>
      <c r="B697" s="14" t="str">
        <f>"01405"</f>
        <v>01405</v>
      </c>
      <c r="C697" s="14" t="str">
        <f>"1300"</f>
        <v>1300</v>
      </c>
      <c r="D697" s="14" t="str">
        <f>"01405"</f>
        <v>01405</v>
      </c>
      <c r="E697" s="14" t="s">
        <v>20</v>
      </c>
      <c r="F697" s="14" t="s">
        <v>118</v>
      </c>
      <c r="G697" s="14" t="str">
        <f>""</f>
        <v/>
      </c>
      <c r="H697" s="14" t="str">
        <f>" 10"</f>
        <v xml:space="preserve"> 10</v>
      </c>
      <c r="I697" s="14">
        <v>0.01</v>
      </c>
      <c r="J697" s="14">
        <v>500</v>
      </c>
      <c r="K697" s="14" t="s">
        <v>119</v>
      </c>
      <c r="P697" s="14" t="s">
        <v>31</v>
      </c>
      <c r="Q697" s="14" t="s">
        <v>25</v>
      </c>
      <c r="R697" s="14" t="s">
        <v>119</v>
      </c>
    </row>
    <row r="698" spans="1:18" s="14" customFormat="1" x14ac:dyDescent="0.25">
      <c r="A698" s="14" t="str">
        <f>"10001"</f>
        <v>10001</v>
      </c>
      <c r="B698" s="14" t="str">
        <f>"01405"</f>
        <v>01405</v>
      </c>
      <c r="C698" s="14" t="str">
        <f>"1300"</f>
        <v>1300</v>
      </c>
      <c r="D698" s="14" t="str">
        <f>"01405"</f>
        <v>01405</v>
      </c>
      <c r="E698" s="14" t="s">
        <v>20</v>
      </c>
      <c r="F698" s="14" t="s">
        <v>118</v>
      </c>
      <c r="G698" s="14" t="str">
        <f>""</f>
        <v/>
      </c>
      <c r="H698" s="14" t="str">
        <f>" 20"</f>
        <v xml:space="preserve"> 20</v>
      </c>
      <c r="I698" s="14">
        <v>500.01</v>
      </c>
      <c r="J698" s="14">
        <v>9999999.9900000002</v>
      </c>
      <c r="K698" s="14" t="s">
        <v>90</v>
      </c>
      <c r="L698" s="14" t="s">
        <v>119</v>
      </c>
      <c r="P698" s="14" t="s">
        <v>31</v>
      </c>
      <c r="Q698" s="14" t="s">
        <v>25</v>
      </c>
      <c r="R698" s="14" t="s">
        <v>119</v>
      </c>
    </row>
    <row r="699" spans="1:18" s="14" customFormat="1" x14ac:dyDescent="0.25">
      <c r="A699" s="14" t="str">
        <f>"10001"</f>
        <v>10001</v>
      </c>
      <c r="B699" s="14" t="str">
        <f>"01410"</f>
        <v>01410</v>
      </c>
      <c r="C699" s="14" t="str">
        <f>"1300"</f>
        <v>1300</v>
      </c>
      <c r="D699" s="14" t="str">
        <f>"01410"</f>
        <v>01410</v>
      </c>
      <c r="E699" s="14" t="s">
        <v>20</v>
      </c>
      <c r="F699" s="14" t="s">
        <v>120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69</v>
      </c>
      <c r="L699" s="14" t="s">
        <v>70</v>
      </c>
      <c r="M699" s="14" t="s">
        <v>71</v>
      </c>
      <c r="P699" s="14" t="s">
        <v>31</v>
      </c>
      <c r="Q699" s="14" t="s">
        <v>25</v>
      </c>
      <c r="R699" s="14" t="s">
        <v>72</v>
      </c>
    </row>
    <row r="700" spans="1:18" s="14" customFormat="1" x14ac:dyDescent="0.25">
      <c r="A700" s="14" t="str">
        <f>"10001"</f>
        <v>10001</v>
      </c>
      <c r="B700" s="14" t="str">
        <f>"01420"</f>
        <v>01420</v>
      </c>
      <c r="C700" s="14" t="str">
        <f>"1300"</f>
        <v>1300</v>
      </c>
      <c r="D700" s="14" t="str">
        <f>"01420"</f>
        <v>01420</v>
      </c>
      <c r="E700" s="14" t="s">
        <v>20</v>
      </c>
      <c r="F700" s="14" t="s">
        <v>121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69</v>
      </c>
      <c r="L700" s="14" t="s">
        <v>70</v>
      </c>
      <c r="M700" s="14" t="s">
        <v>71</v>
      </c>
      <c r="P700" s="14" t="s">
        <v>31</v>
      </c>
      <c r="Q700" s="14" t="s">
        <v>25</v>
      </c>
      <c r="R700" s="14" t="s">
        <v>72</v>
      </c>
    </row>
    <row r="701" spans="1:18" s="14" customFormat="1" x14ac:dyDescent="0.25">
      <c r="A701" s="14" t="str">
        <f>"10001"</f>
        <v>10001</v>
      </c>
      <c r="B701" s="14" t="str">
        <f>"01430"</f>
        <v>01430</v>
      </c>
      <c r="C701" s="14" t="str">
        <f>"1300"</f>
        <v>1300</v>
      </c>
      <c r="D701" s="14" t="str">
        <f>"01430"</f>
        <v>01430</v>
      </c>
      <c r="E701" s="14" t="s">
        <v>20</v>
      </c>
      <c r="F701" s="14" t="s">
        <v>122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69</v>
      </c>
      <c r="L701" s="14" t="s">
        <v>70</v>
      </c>
      <c r="M701" s="14" t="s">
        <v>71</v>
      </c>
      <c r="P701" s="14" t="s">
        <v>31</v>
      </c>
      <c r="Q701" s="14" t="s">
        <v>25</v>
      </c>
      <c r="R701" s="14" t="s">
        <v>72</v>
      </c>
    </row>
    <row r="702" spans="1:18" s="14" customFormat="1" x14ac:dyDescent="0.25">
      <c r="A702" s="14" t="str">
        <f>"10001"</f>
        <v>10001</v>
      </c>
      <c r="B702" s="14" t="str">
        <f>"01440"</f>
        <v>01440</v>
      </c>
      <c r="C702" s="14" t="str">
        <f>"1300"</f>
        <v>1300</v>
      </c>
      <c r="D702" s="14" t="str">
        <f>"01440"</f>
        <v>01440</v>
      </c>
      <c r="E702" s="14" t="s">
        <v>20</v>
      </c>
      <c r="F702" s="14" t="s">
        <v>123</v>
      </c>
      <c r="G702" s="14" t="str">
        <f>""</f>
        <v/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124</v>
      </c>
      <c r="L702" s="14" t="s">
        <v>69</v>
      </c>
      <c r="M702" s="14" t="s">
        <v>70</v>
      </c>
      <c r="N702" s="14" t="s">
        <v>71</v>
      </c>
      <c r="P702" s="14" t="s">
        <v>31</v>
      </c>
      <c r="Q702" s="14" t="s">
        <v>25</v>
      </c>
      <c r="R702" s="14" t="s">
        <v>72</v>
      </c>
    </row>
    <row r="703" spans="1:18" s="14" customFormat="1" x14ac:dyDescent="0.25">
      <c r="A703" s="14" t="str">
        <f>"10001"</f>
        <v>10001</v>
      </c>
      <c r="B703" s="14" t="str">
        <f>"01441"</f>
        <v>01441</v>
      </c>
      <c r="C703" s="14" t="str">
        <f>"1300"</f>
        <v>1300</v>
      </c>
      <c r="D703" s="14" t="str">
        <f>"01441"</f>
        <v>01441</v>
      </c>
      <c r="E703" s="14" t="s">
        <v>20</v>
      </c>
      <c r="F703" s="14" t="s">
        <v>125</v>
      </c>
      <c r="G703" s="14" t="str">
        <f>""</f>
        <v/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124</v>
      </c>
      <c r="L703" s="14" t="s">
        <v>69</v>
      </c>
      <c r="M703" s="14" t="s">
        <v>70</v>
      </c>
      <c r="N703" s="14" t="s">
        <v>71</v>
      </c>
      <c r="P703" s="14" t="s">
        <v>31</v>
      </c>
      <c r="Q703" s="14" t="s">
        <v>25</v>
      </c>
      <c r="R703" s="14" t="s">
        <v>72</v>
      </c>
    </row>
    <row r="704" spans="1:18" s="14" customFormat="1" x14ac:dyDescent="0.25">
      <c r="A704" s="14" t="str">
        <f>"10001"</f>
        <v>10001</v>
      </c>
      <c r="B704" s="14" t="str">
        <f>"01450"</f>
        <v>01450</v>
      </c>
      <c r="C704" s="14" t="str">
        <f>"1300"</f>
        <v>1300</v>
      </c>
      <c r="D704" s="14" t="str">
        <f>"01450"</f>
        <v>01450</v>
      </c>
      <c r="E704" s="14" t="s">
        <v>20</v>
      </c>
      <c r="F704" s="14" t="s">
        <v>126</v>
      </c>
      <c r="G704" s="14" t="str">
        <f>""</f>
        <v/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69</v>
      </c>
      <c r="L704" s="14" t="s">
        <v>70</v>
      </c>
      <c r="M704" s="14" t="s">
        <v>71</v>
      </c>
      <c r="P704" s="14" t="s">
        <v>31</v>
      </c>
      <c r="Q704" s="14" t="s">
        <v>25</v>
      </c>
      <c r="R704" s="14" t="s">
        <v>72</v>
      </c>
    </row>
    <row r="705" spans="1:18" s="14" customFormat="1" x14ac:dyDescent="0.25">
      <c r="A705" s="14" t="str">
        <f>"10001"</f>
        <v>10001</v>
      </c>
      <c r="B705" s="14" t="str">
        <f>"01460"</f>
        <v>01460</v>
      </c>
      <c r="C705" s="14" t="str">
        <f>"1300"</f>
        <v>1300</v>
      </c>
      <c r="D705" s="14" t="str">
        <f>"01460"</f>
        <v>01460</v>
      </c>
      <c r="E705" s="14" t="s">
        <v>20</v>
      </c>
      <c r="F705" s="14" t="s">
        <v>127</v>
      </c>
      <c r="G705" s="14" t="str">
        <f>""</f>
        <v/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69</v>
      </c>
      <c r="L705" s="14" t="s">
        <v>70</v>
      </c>
      <c r="M705" s="14" t="s">
        <v>71</v>
      </c>
      <c r="P705" s="14" t="s">
        <v>31</v>
      </c>
      <c r="Q705" s="14" t="s">
        <v>25</v>
      </c>
      <c r="R705" s="14" t="s">
        <v>72</v>
      </c>
    </row>
    <row r="706" spans="1:18" s="14" customFormat="1" x14ac:dyDescent="0.25">
      <c r="A706" s="14" t="str">
        <f>"10001"</f>
        <v>10001</v>
      </c>
      <c r="B706" s="14" t="str">
        <f>"01480"</f>
        <v>01480</v>
      </c>
      <c r="C706" s="14" t="str">
        <f>"1300"</f>
        <v>1300</v>
      </c>
      <c r="D706" s="14" t="str">
        <f>"01480"</f>
        <v>01480</v>
      </c>
      <c r="E706" s="14" t="s">
        <v>20</v>
      </c>
      <c r="F706" s="14" t="s">
        <v>128</v>
      </c>
      <c r="G706" s="14" t="str">
        <f>""</f>
        <v/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129</v>
      </c>
      <c r="L706" s="14" t="s">
        <v>69</v>
      </c>
      <c r="M706" s="14" t="s">
        <v>70</v>
      </c>
      <c r="N706" s="14" t="s">
        <v>71</v>
      </c>
      <c r="P706" s="14" t="s">
        <v>31</v>
      </c>
      <c r="Q706" s="14" t="s">
        <v>25</v>
      </c>
      <c r="R706" s="14" t="s">
        <v>129</v>
      </c>
    </row>
    <row r="707" spans="1:18" s="14" customFormat="1" x14ac:dyDescent="0.25">
      <c r="A707" s="14" t="str">
        <f>"10001"</f>
        <v>10001</v>
      </c>
      <c r="B707" s="14" t="str">
        <f>"01500"</f>
        <v>01500</v>
      </c>
      <c r="C707" s="14" t="str">
        <f>"1100"</f>
        <v>1100</v>
      </c>
      <c r="D707" s="14" t="str">
        <f>"01500"</f>
        <v>01500</v>
      </c>
      <c r="E707" s="14" t="s">
        <v>20</v>
      </c>
      <c r="F707" s="14" t="s">
        <v>130</v>
      </c>
      <c r="G707" s="14" t="str">
        <f>""</f>
        <v/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69</v>
      </c>
      <c r="L707" s="14" t="s">
        <v>70</v>
      </c>
      <c r="M707" s="14" t="s">
        <v>71</v>
      </c>
      <c r="P707" s="14" t="s">
        <v>31</v>
      </c>
      <c r="Q707" s="14" t="s">
        <v>25</v>
      </c>
      <c r="R707" s="14" t="s">
        <v>72</v>
      </c>
    </row>
    <row r="708" spans="1:18" s="14" customFormat="1" x14ac:dyDescent="0.25">
      <c r="A708" s="14" t="str">
        <f>"10001"</f>
        <v>10001</v>
      </c>
      <c r="B708" s="14" t="str">
        <f>"01505"</f>
        <v>01505</v>
      </c>
      <c r="C708" s="14" t="str">
        <f>"1300"</f>
        <v>1300</v>
      </c>
      <c r="D708" s="14" t="str">
        <f>"01505"</f>
        <v>01505</v>
      </c>
      <c r="E708" s="14" t="s">
        <v>20</v>
      </c>
      <c r="F708" s="14" t="s">
        <v>131</v>
      </c>
      <c r="G708" s="14" t="str">
        <f>""</f>
        <v/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69</v>
      </c>
      <c r="L708" s="14" t="s">
        <v>70</v>
      </c>
      <c r="M708" s="14" t="s">
        <v>71</v>
      </c>
      <c r="P708" s="14" t="s">
        <v>31</v>
      </c>
      <c r="Q708" s="14" t="s">
        <v>25</v>
      </c>
      <c r="R708" s="14" t="s">
        <v>72</v>
      </c>
    </row>
    <row r="709" spans="1:18" s="14" customFormat="1" x14ac:dyDescent="0.25">
      <c r="A709" s="14" t="str">
        <f>"10001"</f>
        <v>10001</v>
      </c>
      <c r="B709" s="14" t="str">
        <f>"01520"</f>
        <v>01520</v>
      </c>
      <c r="C709" s="14" t="str">
        <f>"1100"</f>
        <v>1100</v>
      </c>
      <c r="D709" s="14" t="str">
        <f>"01520"</f>
        <v>01520</v>
      </c>
      <c r="E709" s="14" t="s">
        <v>20</v>
      </c>
      <c r="F709" s="14" t="s">
        <v>132</v>
      </c>
      <c r="G709" s="14" t="str">
        <f>""</f>
        <v/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124</v>
      </c>
      <c r="L709" s="14" t="s">
        <v>69</v>
      </c>
      <c r="M709" s="14" t="s">
        <v>70</v>
      </c>
      <c r="N709" s="14" t="s">
        <v>71</v>
      </c>
      <c r="P709" s="14" t="s">
        <v>31</v>
      </c>
      <c r="Q709" s="14" t="s">
        <v>25</v>
      </c>
      <c r="R709" s="14" t="s">
        <v>72</v>
      </c>
    </row>
    <row r="710" spans="1:18" s="14" customFormat="1" x14ac:dyDescent="0.25">
      <c r="A710" s="14" t="str">
        <f>"10001"</f>
        <v>10001</v>
      </c>
      <c r="B710" s="14" t="str">
        <f>"01545"</f>
        <v>01545</v>
      </c>
      <c r="C710" s="14" t="str">
        <f>"1100"</f>
        <v>1100</v>
      </c>
      <c r="D710" s="14" t="str">
        <f>"01545"</f>
        <v>01545</v>
      </c>
      <c r="E710" s="14" t="s">
        <v>20</v>
      </c>
      <c r="F710" s="14" t="s">
        <v>133</v>
      </c>
      <c r="G710" s="14" t="str">
        <f>""</f>
        <v/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69</v>
      </c>
      <c r="L710" s="14" t="s">
        <v>70</v>
      </c>
      <c r="M710" s="14" t="s">
        <v>71</v>
      </c>
      <c r="P710" s="14" t="s">
        <v>31</v>
      </c>
      <c r="Q710" s="14" t="s">
        <v>25</v>
      </c>
      <c r="R710" s="14" t="s">
        <v>72</v>
      </c>
    </row>
    <row r="711" spans="1:18" s="14" customFormat="1" x14ac:dyDescent="0.25">
      <c r="A711" s="14" t="str">
        <f>"10001"</f>
        <v>10001</v>
      </c>
      <c r="B711" s="14" t="str">
        <f>"01550"</f>
        <v>01550</v>
      </c>
      <c r="C711" s="14" t="str">
        <f>"1100"</f>
        <v>1100</v>
      </c>
      <c r="D711" s="14" t="str">
        <f>"01550"</f>
        <v>01550</v>
      </c>
      <c r="E711" s="14" t="s">
        <v>20</v>
      </c>
      <c r="F711" s="14" t="s">
        <v>134</v>
      </c>
      <c r="G711" s="14" t="str">
        <f>""</f>
        <v/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69</v>
      </c>
      <c r="L711" s="14" t="s">
        <v>70</v>
      </c>
      <c r="M711" s="14" t="s">
        <v>71</v>
      </c>
      <c r="P711" s="14" t="s">
        <v>31</v>
      </c>
      <c r="Q711" s="14" t="s">
        <v>25</v>
      </c>
      <c r="R711" s="14" t="s">
        <v>72</v>
      </c>
    </row>
    <row r="712" spans="1:18" s="14" customFormat="1" x14ac:dyDescent="0.25">
      <c r="A712" s="14" t="str">
        <f>"10001"</f>
        <v>10001</v>
      </c>
      <c r="B712" s="14" t="str">
        <f>"01560"</f>
        <v>01560</v>
      </c>
      <c r="C712" s="14" t="str">
        <f>"1100"</f>
        <v>1100</v>
      </c>
      <c r="D712" s="14" t="str">
        <f>"01560"</f>
        <v>01560</v>
      </c>
      <c r="E712" s="14" t="s">
        <v>20</v>
      </c>
      <c r="F712" s="14" t="s">
        <v>135</v>
      </c>
      <c r="G712" s="14" t="str">
        <f>""</f>
        <v/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69</v>
      </c>
      <c r="L712" s="14" t="s">
        <v>70</v>
      </c>
      <c r="M712" s="14" t="s">
        <v>71</v>
      </c>
      <c r="P712" s="14" t="s">
        <v>31</v>
      </c>
      <c r="Q712" s="14" t="s">
        <v>25</v>
      </c>
      <c r="R712" s="14" t="s">
        <v>72</v>
      </c>
    </row>
    <row r="713" spans="1:18" s="14" customFormat="1" x14ac:dyDescent="0.25">
      <c r="A713" s="14" t="str">
        <f>"10001"</f>
        <v>10001</v>
      </c>
      <c r="B713" s="14" t="str">
        <f>"01570"</f>
        <v>01570</v>
      </c>
      <c r="C713" s="14" t="str">
        <f>"1100"</f>
        <v>1100</v>
      </c>
      <c r="D713" s="14" t="str">
        <f>"01570"</f>
        <v>01570</v>
      </c>
      <c r="E713" s="14" t="s">
        <v>20</v>
      </c>
      <c r="F713" s="14" t="s">
        <v>136</v>
      </c>
      <c r="G713" s="14" t="str">
        <f>""</f>
        <v/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69</v>
      </c>
      <c r="L713" s="14" t="s">
        <v>70</v>
      </c>
      <c r="M713" s="14" t="s">
        <v>71</v>
      </c>
      <c r="P713" s="14" t="s">
        <v>31</v>
      </c>
      <c r="Q713" s="14" t="s">
        <v>25</v>
      </c>
      <c r="R713" s="14" t="s">
        <v>72</v>
      </c>
    </row>
    <row r="714" spans="1:18" s="14" customFormat="1" x14ac:dyDescent="0.25">
      <c r="A714" s="14" t="str">
        <f>"10001"</f>
        <v>10001</v>
      </c>
      <c r="B714" s="14" t="str">
        <f>"01580"</f>
        <v>01580</v>
      </c>
      <c r="C714" s="14" t="str">
        <f>"1100"</f>
        <v>1100</v>
      </c>
      <c r="D714" s="14" t="str">
        <f>"01580"</f>
        <v>01580</v>
      </c>
      <c r="E714" s="14" t="s">
        <v>20</v>
      </c>
      <c r="F714" s="14" t="s">
        <v>137</v>
      </c>
      <c r="G714" s="14" t="str">
        <f>""</f>
        <v/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69</v>
      </c>
      <c r="L714" s="14" t="s">
        <v>70</v>
      </c>
      <c r="M714" s="14" t="s">
        <v>71</v>
      </c>
      <c r="P714" s="14" t="s">
        <v>31</v>
      </c>
      <c r="Q714" s="14" t="s">
        <v>25</v>
      </c>
      <c r="R714" s="14" t="s">
        <v>72</v>
      </c>
    </row>
    <row r="715" spans="1:18" s="14" customFormat="1" x14ac:dyDescent="0.25">
      <c r="A715" s="14" t="str">
        <f>"10001"</f>
        <v>10001</v>
      </c>
      <c r="B715" s="14" t="str">
        <f>"01600"</f>
        <v>01600</v>
      </c>
      <c r="C715" s="14" t="str">
        <f>"1100"</f>
        <v>1100</v>
      </c>
      <c r="D715" s="14" t="str">
        <f>"01600"</f>
        <v>01600</v>
      </c>
      <c r="E715" s="14" t="s">
        <v>20</v>
      </c>
      <c r="F715" s="14" t="s">
        <v>138</v>
      </c>
      <c r="G715" s="14" t="str">
        <f>""</f>
        <v/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69</v>
      </c>
      <c r="L715" s="14" t="s">
        <v>70</v>
      </c>
      <c r="M715" s="14" t="s">
        <v>71</v>
      </c>
      <c r="P715" s="14" t="s">
        <v>31</v>
      </c>
      <c r="Q715" s="14" t="s">
        <v>25</v>
      </c>
      <c r="R715" s="14" t="s">
        <v>72</v>
      </c>
    </row>
    <row r="716" spans="1:18" s="14" customFormat="1" x14ac:dyDescent="0.25">
      <c r="A716" s="14" t="str">
        <f>"10001"</f>
        <v>10001</v>
      </c>
      <c r="B716" s="14" t="str">
        <f>"01610"</f>
        <v>01610</v>
      </c>
      <c r="C716" s="14" t="str">
        <f>"1100"</f>
        <v>1100</v>
      </c>
      <c r="D716" s="14" t="str">
        <f>"01610"</f>
        <v>01610</v>
      </c>
      <c r="E716" s="14" t="s">
        <v>20</v>
      </c>
      <c r="F716" s="14" t="s">
        <v>139</v>
      </c>
      <c r="G716" s="14" t="str">
        <f>""</f>
        <v/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69</v>
      </c>
      <c r="L716" s="14" t="s">
        <v>70</v>
      </c>
      <c r="M716" s="14" t="s">
        <v>71</v>
      </c>
      <c r="P716" s="14" t="s">
        <v>31</v>
      </c>
      <c r="Q716" s="14" t="s">
        <v>25</v>
      </c>
      <c r="R716" s="14" t="s">
        <v>72</v>
      </c>
    </row>
    <row r="717" spans="1:18" s="14" customFormat="1" x14ac:dyDescent="0.25">
      <c r="A717" s="14" t="str">
        <f>"10001"</f>
        <v>10001</v>
      </c>
      <c r="B717" s="14" t="str">
        <f>"01620"</f>
        <v>01620</v>
      </c>
      <c r="C717" s="14" t="str">
        <f>"1100"</f>
        <v>1100</v>
      </c>
      <c r="D717" s="14" t="str">
        <f>"01620"</f>
        <v>01620</v>
      </c>
      <c r="E717" s="14" t="s">
        <v>20</v>
      </c>
      <c r="F717" s="14" t="s">
        <v>140</v>
      </c>
      <c r="G717" s="14" t="str">
        <f>""</f>
        <v/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69</v>
      </c>
      <c r="L717" s="14" t="s">
        <v>70</v>
      </c>
      <c r="M717" s="14" t="s">
        <v>71</v>
      </c>
      <c r="P717" s="14" t="s">
        <v>31</v>
      </c>
      <c r="Q717" s="14" t="s">
        <v>25</v>
      </c>
      <c r="R717" s="14" t="s">
        <v>141</v>
      </c>
    </row>
    <row r="718" spans="1:18" s="14" customFormat="1" x14ac:dyDescent="0.25">
      <c r="A718" s="14" t="str">
        <f>"10001"</f>
        <v>10001</v>
      </c>
      <c r="B718" s="14" t="str">
        <f>"01630"</f>
        <v>01630</v>
      </c>
      <c r="C718" s="14" t="str">
        <f>"1100"</f>
        <v>1100</v>
      </c>
      <c r="D718" s="14" t="str">
        <f>"01630"</f>
        <v>01630</v>
      </c>
      <c r="E718" s="14" t="s">
        <v>20</v>
      </c>
      <c r="F718" s="14" t="s">
        <v>142</v>
      </c>
      <c r="G718" s="14" t="str">
        <f>""</f>
        <v/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69</v>
      </c>
      <c r="L718" s="14" t="s">
        <v>70</v>
      </c>
      <c r="M718" s="14" t="s">
        <v>71</v>
      </c>
      <c r="P718" s="14" t="s">
        <v>31</v>
      </c>
      <c r="Q718" s="14" t="s">
        <v>25</v>
      </c>
      <c r="R718" s="14" t="s">
        <v>72</v>
      </c>
    </row>
    <row r="719" spans="1:18" s="14" customFormat="1" x14ac:dyDescent="0.25">
      <c r="A719" s="14" t="str">
        <f>"10001"</f>
        <v>10001</v>
      </c>
      <c r="B719" s="14" t="str">
        <f>"01640"</f>
        <v>01640</v>
      </c>
      <c r="C719" s="14" t="str">
        <f>"1100"</f>
        <v>1100</v>
      </c>
      <c r="D719" s="14" t="str">
        <f>"01640"</f>
        <v>01640</v>
      </c>
      <c r="E719" s="14" t="s">
        <v>20</v>
      </c>
      <c r="F719" s="14" t="s">
        <v>143</v>
      </c>
      <c r="G719" s="14" t="str">
        <f>""</f>
        <v/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69</v>
      </c>
      <c r="L719" s="14" t="s">
        <v>70</v>
      </c>
      <c r="M719" s="14" t="s">
        <v>71</v>
      </c>
      <c r="P719" s="14" t="s">
        <v>31</v>
      </c>
      <c r="Q719" s="14" t="s">
        <v>25</v>
      </c>
      <c r="R719" s="14" t="s">
        <v>72</v>
      </c>
    </row>
    <row r="720" spans="1:18" s="14" customFormat="1" x14ac:dyDescent="0.25">
      <c r="A720" s="14" t="str">
        <f>"10001"</f>
        <v>10001</v>
      </c>
      <c r="B720" s="14" t="str">
        <f>"01645"</f>
        <v>01645</v>
      </c>
      <c r="C720" s="14" t="str">
        <f>"1100"</f>
        <v>1100</v>
      </c>
      <c r="D720" s="14" t="str">
        <f>"01645"</f>
        <v>01645</v>
      </c>
      <c r="E720" s="14" t="s">
        <v>20</v>
      </c>
      <c r="F720" s="14" t="s">
        <v>144</v>
      </c>
      <c r="G720" s="14" t="str">
        <f>""</f>
        <v/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69</v>
      </c>
      <c r="L720" s="14" t="s">
        <v>70</v>
      </c>
      <c r="M720" s="14" t="s">
        <v>71</v>
      </c>
      <c r="P720" s="14" t="s">
        <v>31</v>
      </c>
      <c r="Q720" s="14" t="s">
        <v>25</v>
      </c>
      <c r="R720" s="14" t="s">
        <v>72</v>
      </c>
    </row>
    <row r="721" spans="1:18" s="14" customFormat="1" x14ac:dyDescent="0.25">
      <c r="A721" s="14" t="str">
        <f>"10001"</f>
        <v>10001</v>
      </c>
      <c r="B721" s="14" t="str">
        <f>"01660"</f>
        <v>01660</v>
      </c>
      <c r="C721" s="14" t="str">
        <f>"1300"</f>
        <v>1300</v>
      </c>
      <c r="D721" s="14" t="str">
        <f>"01660"</f>
        <v>01660</v>
      </c>
      <c r="E721" s="14" t="s">
        <v>20</v>
      </c>
      <c r="F721" s="14" t="s">
        <v>145</v>
      </c>
      <c r="G721" s="14" t="str">
        <f>""</f>
        <v/>
      </c>
      <c r="H721" s="14" t="str">
        <f>" 10"</f>
        <v xml:space="preserve"> 10</v>
      </c>
      <c r="I721" s="14">
        <v>0.01</v>
      </c>
      <c r="J721" s="14">
        <v>500</v>
      </c>
      <c r="K721" s="14" t="s">
        <v>146</v>
      </c>
      <c r="L721" s="14" t="s">
        <v>147</v>
      </c>
      <c r="P721" s="14" t="s">
        <v>39</v>
      </c>
      <c r="Q721" s="14" t="s">
        <v>25</v>
      </c>
      <c r="R721" s="14" t="s">
        <v>146</v>
      </c>
    </row>
    <row r="722" spans="1:18" s="14" customFormat="1" x14ac:dyDescent="0.25">
      <c r="A722" s="14" t="str">
        <f>"10001"</f>
        <v>10001</v>
      </c>
      <c r="B722" s="14" t="str">
        <f>"01660"</f>
        <v>01660</v>
      </c>
      <c r="C722" s="14" t="str">
        <f>"1300"</f>
        <v>1300</v>
      </c>
      <c r="D722" s="14" t="str">
        <f>"01660"</f>
        <v>01660</v>
      </c>
      <c r="E722" s="14" t="s">
        <v>20</v>
      </c>
      <c r="F722" s="14" t="s">
        <v>145</v>
      </c>
      <c r="G722" s="14" t="str">
        <f>""</f>
        <v/>
      </c>
      <c r="H722" s="14" t="str">
        <f>" 20"</f>
        <v xml:space="preserve"> 20</v>
      </c>
      <c r="I722" s="14">
        <v>500.01</v>
      </c>
      <c r="J722" s="14">
        <v>9999999.9900000002</v>
      </c>
      <c r="K722" s="14" t="s">
        <v>147</v>
      </c>
      <c r="L722" s="14" t="s">
        <v>148</v>
      </c>
      <c r="P722" s="14" t="s">
        <v>39</v>
      </c>
      <c r="Q722" s="14" t="s">
        <v>25</v>
      </c>
      <c r="R722" s="14" t="s">
        <v>146</v>
      </c>
    </row>
    <row r="723" spans="1:18" s="14" customFormat="1" x14ac:dyDescent="0.25">
      <c r="A723" s="14" t="str">
        <f>"10001"</f>
        <v>10001</v>
      </c>
      <c r="B723" s="14" t="str">
        <f>"01661"</f>
        <v>01661</v>
      </c>
      <c r="C723" s="14" t="str">
        <f>"1300"</f>
        <v>1300</v>
      </c>
      <c r="D723" s="14" t="str">
        <f>"01661"</f>
        <v>01661</v>
      </c>
      <c r="E723" s="14" t="s">
        <v>20</v>
      </c>
      <c r="F723" s="14" t="s">
        <v>149</v>
      </c>
      <c r="G723" s="14" t="str">
        <f>""</f>
        <v/>
      </c>
      <c r="H723" s="14" t="str">
        <f>" 10"</f>
        <v xml:space="preserve"> 10</v>
      </c>
      <c r="I723" s="14">
        <v>0.01</v>
      </c>
      <c r="J723" s="14">
        <v>500</v>
      </c>
      <c r="K723" s="14" t="s">
        <v>150</v>
      </c>
      <c r="P723" s="14" t="s">
        <v>31</v>
      </c>
      <c r="Q723" s="14" t="s">
        <v>25</v>
      </c>
      <c r="R723" s="14" t="s">
        <v>150</v>
      </c>
    </row>
    <row r="724" spans="1:18" s="14" customFormat="1" x14ac:dyDescent="0.25">
      <c r="A724" s="14" t="str">
        <f>"10001"</f>
        <v>10001</v>
      </c>
      <c r="B724" s="14" t="str">
        <f>"01661"</f>
        <v>01661</v>
      </c>
      <c r="C724" s="14" t="str">
        <f>"1300"</f>
        <v>1300</v>
      </c>
      <c r="D724" s="14" t="str">
        <f>"01661"</f>
        <v>01661</v>
      </c>
      <c r="E724" s="14" t="s">
        <v>20</v>
      </c>
      <c r="F724" s="14" t="s">
        <v>149</v>
      </c>
      <c r="G724" s="14" t="str">
        <f>""</f>
        <v/>
      </c>
      <c r="H724" s="14" t="str">
        <f>" 20"</f>
        <v xml:space="preserve"> 20</v>
      </c>
      <c r="I724" s="14">
        <v>500.01</v>
      </c>
      <c r="J724" s="14">
        <v>9999999.9900000002</v>
      </c>
      <c r="K724" s="14" t="s">
        <v>90</v>
      </c>
      <c r="L724" s="14" t="s">
        <v>150</v>
      </c>
      <c r="P724" s="14" t="s">
        <v>31</v>
      </c>
      <c r="Q724" s="14" t="s">
        <v>25</v>
      </c>
      <c r="R724" s="14" t="s">
        <v>150</v>
      </c>
    </row>
    <row r="725" spans="1:18" s="14" customFormat="1" x14ac:dyDescent="0.25">
      <c r="A725" s="14" t="str">
        <f>"10001"</f>
        <v>10001</v>
      </c>
      <c r="B725" s="14" t="str">
        <f>"01670"</f>
        <v>01670</v>
      </c>
      <c r="C725" s="14" t="str">
        <f>"1100"</f>
        <v>1100</v>
      </c>
      <c r="D725" s="14" t="str">
        <f>"01670"</f>
        <v>01670</v>
      </c>
      <c r="E725" s="14" t="s">
        <v>20</v>
      </c>
      <c r="F725" s="14" t="s">
        <v>151</v>
      </c>
      <c r="G725" s="14" t="str">
        <f>""</f>
        <v/>
      </c>
      <c r="H725" s="14" t="str">
        <f>" 10"</f>
        <v xml:space="preserve"> 10</v>
      </c>
      <c r="I725" s="14">
        <v>0.01</v>
      </c>
      <c r="J725" s="14">
        <v>500</v>
      </c>
      <c r="K725" s="14" t="s">
        <v>146</v>
      </c>
      <c r="L725" s="14" t="s">
        <v>147</v>
      </c>
      <c r="P725" s="14" t="s">
        <v>39</v>
      </c>
      <c r="Q725" s="14" t="s">
        <v>25</v>
      </c>
      <c r="R725" s="14" t="s">
        <v>146</v>
      </c>
    </row>
    <row r="726" spans="1:18" s="14" customFormat="1" x14ac:dyDescent="0.25">
      <c r="A726" s="14" t="str">
        <f>"10001"</f>
        <v>10001</v>
      </c>
      <c r="B726" s="14" t="str">
        <f>"01670"</f>
        <v>01670</v>
      </c>
      <c r="C726" s="14" t="str">
        <f>"1100"</f>
        <v>1100</v>
      </c>
      <c r="D726" s="14" t="str">
        <f>"01670"</f>
        <v>01670</v>
      </c>
      <c r="E726" s="14" t="s">
        <v>20</v>
      </c>
      <c r="F726" s="14" t="s">
        <v>151</v>
      </c>
      <c r="G726" s="14" t="str">
        <f>""</f>
        <v/>
      </c>
      <c r="H726" s="14" t="str">
        <f>" 20"</f>
        <v xml:space="preserve"> 20</v>
      </c>
      <c r="I726" s="14">
        <v>500.01</v>
      </c>
      <c r="J726" s="14">
        <v>9999999.9900000002</v>
      </c>
      <c r="K726" s="14" t="s">
        <v>147</v>
      </c>
      <c r="L726" s="14" t="s">
        <v>148</v>
      </c>
      <c r="P726" s="14" t="s">
        <v>39</v>
      </c>
      <c r="Q726" s="14" t="s">
        <v>25</v>
      </c>
      <c r="R726" s="14" t="s">
        <v>146</v>
      </c>
    </row>
    <row r="727" spans="1:18" s="14" customFormat="1" x14ac:dyDescent="0.25">
      <c r="A727" s="14" t="str">
        <f>"10001"</f>
        <v>10001</v>
      </c>
      <c r="B727" s="14" t="str">
        <f>"01690"</f>
        <v>01690</v>
      </c>
      <c r="C727" s="14" t="str">
        <f>"1100"</f>
        <v>1100</v>
      </c>
      <c r="D727" s="14" t="str">
        <f>"01690"</f>
        <v>01690</v>
      </c>
      <c r="E727" s="14" t="s">
        <v>20</v>
      </c>
      <c r="F727" s="14" t="s">
        <v>152</v>
      </c>
      <c r="G727" s="14" t="str">
        <f>""</f>
        <v/>
      </c>
      <c r="H727" s="14" t="str">
        <f>" 10"</f>
        <v xml:space="preserve"> 10</v>
      </c>
      <c r="I727" s="14">
        <v>0.01</v>
      </c>
      <c r="J727" s="14">
        <v>500</v>
      </c>
      <c r="K727" s="14" t="s">
        <v>146</v>
      </c>
      <c r="L727" s="14" t="s">
        <v>147</v>
      </c>
      <c r="P727" s="14" t="s">
        <v>39</v>
      </c>
      <c r="Q727" s="14" t="s">
        <v>25</v>
      </c>
      <c r="R727" s="14" t="s">
        <v>146</v>
      </c>
    </row>
    <row r="728" spans="1:18" s="14" customFormat="1" x14ac:dyDescent="0.25">
      <c r="A728" s="14" t="str">
        <f>"10001"</f>
        <v>10001</v>
      </c>
      <c r="B728" s="14" t="str">
        <f>"01690"</f>
        <v>01690</v>
      </c>
      <c r="C728" s="14" t="str">
        <f>"1100"</f>
        <v>1100</v>
      </c>
      <c r="D728" s="14" t="str">
        <f>"01690"</f>
        <v>01690</v>
      </c>
      <c r="E728" s="14" t="s">
        <v>20</v>
      </c>
      <c r="F728" s="14" t="s">
        <v>152</v>
      </c>
      <c r="G728" s="14" t="str">
        <f>""</f>
        <v/>
      </c>
      <c r="H728" s="14" t="str">
        <f>" 20"</f>
        <v xml:space="preserve"> 20</v>
      </c>
      <c r="I728" s="14">
        <v>500.01</v>
      </c>
      <c r="J728" s="14">
        <v>9999999.9900000002</v>
      </c>
      <c r="K728" s="14" t="s">
        <v>153</v>
      </c>
      <c r="L728" s="14" t="s">
        <v>147</v>
      </c>
      <c r="M728" s="14" t="s">
        <v>154</v>
      </c>
      <c r="P728" s="14" t="s">
        <v>39</v>
      </c>
      <c r="Q728" s="14" t="s">
        <v>25</v>
      </c>
      <c r="R728" s="14" t="s">
        <v>146</v>
      </c>
    </row>
    <row r="729" spans="1:18" s="14" customFormat="1" x14ac:dyDescent="0.25">
      <c r="A729" s="14" t="str">
        <f>"10001"</f>
        <v>10001</v>
      </c>
      <c r="B729" s="14" t="str">
        <f>"01695"</f>
        <v>01695</v>
      </c>
      <c r="C729" s="14" t="str">
        <f>"1100"</f>
        <v>1100</v>
      </c>
      <c r="D729" s="14" t="str">
        <f>"01695"</f>
        <v>01695</v>
      </c>
      <c r="E729" s="14" t="s">
        <v>20</v>
      </c>
      <c r="F729" s="14" t="s">
        <v>155</v>
      </c>
      <c r="G729" s="14" t="str">
        <f>""</f>
        <v/>
      </c>
      <c r="H729" s="14" t="str">
        <f>" 10"</f>
        <v xml:space="preserve"> 10</v>
      </c>
      <c r="I729" s="14">
        <v>0.01</v>
      </c>
      <c r="J729" s="14">
        <v>500</v>
      </c>
      <c r="K729" s="14" t="s">
        <v>146</v>
      </c>
      <c r="L729" s="14" t="s">
        <v>147</v>
      </c>
      <c r="M729" s="14" t="s">
        <v>156</v>
      </c>
      <c r="P729" s="14" t="s">
        <v>39</v>
      </c>
      <c r="Q729" s="14" t="s">
        <v>25</v>
      </c>
      <c r="R729" s="14" t="s">
        <v>146</v>
      </c>
    </row>
    <row r="730" spans="1:18" s="14" customFormat="1" x14ac:dyDescent="0.25">
      <c r="A730" s="14" t="str">
        <f>"10001"</f>
        <v>10001</v>
      </c>
      <c r="B730" s="14" t="str">
        <f>"01695"</f>
        <v>01695</v>
      </c>
      <c r="C730" s="14" t="str">
        <f>"1100"</f>
        <v>1100</v>
      </c>
      <c r="D730" s="14" t="str">
        <f>"01695"</f>
        <v>01695</v>
      </c>
      <c r="E730" s="14" t="s">
        <v>20</v>
      </c>
      <c r="F730" s="14" t="s">
        <v>155</v>
      </c>
      <c r="G730" s="14" t="str">
        <f>""</f>
        <v/>
      </c>
      <c r="H730" s="14" t="str">
        <f>" 20"</f>
        <v xml:space="preserve"> 20</v>
      </c>
      <c r="I730" s="14">
        <v>500.01</v>
      </c>
      <c r="J730" s="14">
        <v>9999999.9900000002</v>
      </c>
      <c r="K730" s="14" t="s">
        <v>156</v>
      </c>
      <c r="L730" s="14" t="s">
        <v>147</v>
      </c>
      <c r="M730" s="14" t="s">
        <v>154</v>
      </c>
      <c r="P730" s="14" t="s">
        <v>39</v>
      </c>
      <c r="Q730" s="14" t="s">
        <v>25</v>
      </c>
      <c r="R730" s="14" t="s">
        <v>146</v>
      </c>
    </row>
    <row r="731" spans="1:18" s="14" customFormat="1" x14ac:dyDescent="0.25">
      <c r="A731" s="14" t="str">
        <f>"10001"</f>
        <v>10001</v>
      </c>
      <c r="B731" s="14" t="str">
        <f>"01700"</f>
        <v>01700</v>
      </c>
      <c r="C731" s="14" t="str">
        <f>"1100"</f>
        <v>1100</v>
      </c>
      <c r="D731" s="14" t="str">
        <f>"01700"</f>
        <v>01700</v>
      </c>
      <c r="E731" s="14" t="s">
        <v>20</v>
      </c>
      <c r="F731" s="14" t="s">
        <v>157</v>
      </c>
      <c r="G731" s="14" t="str">
        <f>""</f>
        <v/>
      </c>
      <c r="H731" s="14" t="str">
        <f>" 10"</f>
        <v xml:space="preserve"> 10</v>
      </c>
      <c r="I731" s="14">
        <v>0.01</v>
      </c>
      <c r="J731" s="14">
        <v>500</v>
      </c>
      <c r="K731" s="14" t="s">
        <v>146</v>
      </c>
      <c r="L731" s="14" t="s">
        <v>147</v>
      </c>
      <c r="P731" s="14" t="s">
        <v>39</v>
      </c>
      <c r="Q731" s="14" t="s">
        <v>25</v>
      </c>
      <c r="R731" s="14" t="s">
        <v>146</v>
      </c>
    </row>
    <row r="732" spans="1:18" s="14" customFormat="1" x14ac:dyDescent="0.25">
      <c r="A732" s="14" t="str">
        <f>"10001"</f>
        <v>10001</v>
      </c>
      <c r="B732" s="14" t="str">
        <f>"01700"</f>
        <v>01700</v>
      </c>
      <c r="C732" s="14" t="str">
        <f>"1100"</f>
        <v>1100</v>
      </c>
      <c r="D732" s="14" t="str">
        <f>"01700"</f>
        <v>01700</v>
      </c>
      <c r="E732" s="14" t="s">
        <v>20</v>
      </c>
      <c r="F732" s="14" t="s">
        <v>157</v>
      </c>
      <c r="G732" s="14" t="str">
        <f>""</f>
        <v/>
      </c>
      <c r="H732" s="14" t="str">
        <f>" 20"</f>
        <v xml:space="preserve"> 20</v>
      </c>
      <c r="I732" s="14">
        <v>500.01</v>
      </c>
      <c r="J732" s="14">
        <v>9999999.9900000002</v>
      </c>
      <c r="K732" s="14" t="s">
        <v>158</v>
      </c>
      <c r="L732" s="14" t="s">
        <v>147</v>
      </c>
      <c r="M732" s="14" t="s">
        <v>154</v>
      </c>
      <c r="P732" s="14" t="s">
        <v>39</v>
      </c>
      <c r="Q732" s="14" t="s">
        <v>25</v>
      </c>
      <c r="R732" s="14" t="s">
        <v>146</v>
      </c>
    </row>
    <row r="733" spans="1:18" s="14" customFormat="1" x14ac:dyDescent="0.25">
      <c r="A733" s="14" t="str">
        <f>"10001"</f>
        <v>10001</v>
      </c>
      <c r="B733" s="14" t="str">
        <f>"01705"</f>
        <v>01705</v>
      </c>
      <c r="C733" s="14" t="str">
        <f>"1100"</f>
        <v>1100</v>
      </c>
      <c r="D733" s="14" t="str">
        <f>"01705"</f>
        <v>01705</v>
      </c>
      <c r="E733" s="14" t="s">
        <v>20</v>
      </c>
      <c r="F733" s="14" t="s">
        <v>159</v>
      </c>
      <c r="G733" s="14" t="str">
        <f>""</f>
        <v/>
      </c>
      <c r="H733" s="14" t="str">
        <f>" 10"</f>
        <v xml:space="preserve"> 10</v>
      </c>
      <c r="I733" s="14">
        <v>0.01</v>
      </c>
      <c r="J733" s="14">
        <v>500</v>
      </c>
      <c r="K733" s="14" t="s">
        <v>146</v>
      </c>
      <c r="L733" s="14" t="s">
        <v>147</v>
      </c>
      <c r="P733" s="14" t="s">
        <v>39</v>
      </c>
      <c r="Q733" s="14" t="s">
        <v>25</v>
      </c>
      <c r="R733" s="14" t="s">
        <v>146</v>
      </c>
    </row>
    <row r="734" spans="1:18" s="14" customFormat="1" x14ac:dyDescent="0.25">
      <c r="A734" s="14" t="str">
        <f>"10001"</f>
        <v>10001</v>
      </c>
      <c r="B734" s="14" t="str">
        <f>"01705"</f>
        <v>01705</v>
      </c>
      <c r="C734" s="14" t="str">
        <f>"1100"</f>
        <v>1100</v>
      </c>
      <c r="D734" s="14" t="str">
        <f>"01705"</f>
        <v>01705</v>
      </c>
      <c r="E734" s="14" t="s">
        <v>20</v>
      </c>
      <c r="F734" s="14" t="s">
        <v>159</v>
      </c>
      <c r="G734" s="14" t="str">
        <f>""</f>
        <v/>
      </c>
      <c r="H734" s="14" t="str">
        <f>" 20"</f>
        <v xml:space="preserve"> 20</v>
      </c>
      <c r="I734" s="14">
        <v>500.01</v>
      </c>
      <c r="J734" s="14">
        <v>9999999.9900000002</v>
      </c>
      <c r="K734" s="14" t="s">
        <v>147</v>
      </c>
      <c r="L734" s="14" t="s">
        <v>154</v>
      </c>
      <c r="M734" s="14" t="s">
        <v>160</v>
      </c>
      <c r="P734" s="14" t="s">
        <v>39</v>
      </c>
      <c r="Q734" s="14" t="s">
        <v>25</v>
      </c>
      <c r="R734" s="14" t="s">
        <v>146</v>
      </c>
    </row>
    <row r="735" spans="1:18" s="14" customFormat="1" x14ac:dyDescent="0.25">
      <c r="A735" s="14" t="str">
        <f>"10001"</f>
        <v>10001</v>
      </c>
      <c r="B735" s="14" t="str">
        <f>"01710"</f>
        <v>01710</v>
      </c>
      <c r="C735" s="14" t="str">
        <f>"1100"</f>
        <v>1100</v>
      </c>
      <c r="D735" s="14" t="str">
        <f>"01710"</f>
        <v>01710</v>
      </c>
      <c r="E735" s="14" t="s">
        <v>20</v>
      </c>
      <c r="F735" s="14" t="s">
        <v>161</v>
      </c>
      <c r="G735" s="14" t="str">
        <f>""</f>
        <v/>
      </c>
      <c r="H735" s="14" t="str">
        <f>" 10"</f>
        <v xml:space="preserve"> 10</v>
      </c>
      <c r="I735" s="14">
        <v>0.01</v>
      </c>
      <c r="J735" s="14">
        <v>500</v>
      </c>
      <c r="K735" s="14" t="s">
        <v>146</v>
      </c>
      <c r="L735" s="14" t="s">
        <v>162</v>
      </c>
      <c r="P735" s="14" t="s">
        <v>39</v>
      </c>
      <c r="Q735" s="14" t="s">
        <v>25</v>
      </c>
      <c r="R735" s="14" t="s">
        <v>146</v>
      </c>
    </row>
    <row r="736" spans="1:18" s="14" customFormat="1" x14ac:dyDescent="0.25">
      <c r="A736" s="14" t="str">
        <f>"10001"</f>
        <v>10001</v>
      </c>
      <c r="B736" s="14" t="str">
        <f>"01710"</f>
        <v>01710</v>
      </c>
      <c r="C736" s="14" t="str">
        <f>"1100"</f>
        <v>1100</v>
      </c>
      <c r="D736" s="14" t="str">
        <f>"01710"</f>
        <v>01710</v>
      </c>
      <c r="E736" s="14" t="s">
        <v>20</v>
      </c>
      <c r="F736" s="14" t="s">
        <v>161</v>
      </c>
      <c r="G736" s="14" t="str">
        <f>""</f>
        <v/>
      </c>
      <c r="H736" s="14" t="str">
        <f>" 20"</f>
        <v xml:space="preserve"> 20</v>
      </c>
      <c r="I736" s="14">
        <v>500.01</v>
      </c>
      <c r="J736" s="14">
        <v>9999999.9900000002</v>
      </c>
      <c r="K736" s="14" t="s">
        <v>162</v>
      </c>
      <c r="L736" s="14" t="s">
        <v>147</v>
      </c>
      <c r="M736" s="14" t="s">
        <v>154</v>
      </c>
      <c r="P736" s="14" t="s">
        <v>39</v>
      </c>
      <c r="Q736" s="14" t="s">
        <v>25</v>
      </c>
      <c r="R736" s="14" t="s">
        <v>146</v>
      </c>
    </row>
    <row r="737" spans="1:18" s="14" customFormat="1" x14ac:dyDescent="0.25">
      <c r="A737" s="14" t="str">
        <f>"10001"</f>
        <v>10001</v>
      </c>
      <c r="B737" s="14" t="str">
        <f>"01720"</f>
        <v>01720</v>
      </c>
      <c r="C737" s="14" t="str">
        <f>"1100"</f>
        <v>1100</v>
      </c>
      <c r="D737" s="14" t="str">
        <f>"01720"</f>
        <v>01720</v>
      </c>
      <c r="E737" s="14" t="s">
        <v>20</v>
      </c>
      <c r="F737" s="14" t="s">
        <v>163</v>
      </c>
      <c r="G737" s="14" t="str">
        <f>""</f>
        <v/>
      </c>
      <c r="H737" s="14" t="str">
        <f>" 10"</f>
        <v xml:space="preserve"> 10</v>
      </c>
      <c r="I737" s="14">
        <v>0.01</v>
      </c>
      <c r="J737" s="14">
        <v>500</v>
      </c>
      <c r="K737" s="14" t="s">
        <v>146</v>
      </c>
      <c r="L737" s="14" t="s">
        <v>147</v>
      </c>
      <c r="P737" s="14" t="s">
        <v>39</v>
      </c>
      <c r="Q737" s="14" t="s">
        <v>25</v>
      </c>
      <c r="R737" s="14" t="s">
        <v>146</v>
      </c>
    </row>
    <row r="738" spans="1:18" s="14" customFormat="1" x14ac:dyDescent="0.25">
      <c r="A738" s="14" t="str">
        <f>"10001"</f>
        <v>10001</v>
      </c>
      <c r="B738" s="14" t="str">
        <f>"01720"</f>
        <v>01720</v>
      </c>
      <c r="C738" s="14" t="str">
        <f>"1100"</f>
        <v>1100</v>
      </c>
      <c r="D738" s="14" t="str">
        <f>"01720"</f>
        <v>01720</v>
      </c>
      <c r="E738" s="14" t="s">
        <v>20</v>
      </c>
      <c r="F738" s="14" t="s">
        <v>163</v>
      </c>
      <c r="G738" s="14" t="str">
        <f>""</f>
        <v/>
      </c>
      <c r="H738" s="14" t="str">
        <f>" 20"</f>
        <v xml:space="preserve"> 20</v>
      </c>
      <c r="I738" s="14">
        <v>500.01</v>
      </c>
      <c r="J738" s="14">
        <v>9999999.9900000002</v>
      </c>
      <c r="K738" s="14" t="s">
        <v>164</v>
      </c>
      <c r="L738" s="14" t="s">
        <v>147</v>
      </c>
      <c r="M738" s="14" t="s">
        <v>154</v>
      </c>
      <c r="P738" s="14" t="s">
        <v>39</v>
      </c>
      <c r="Q738" s="14" t="s">
        <v>25</v>
      </c>
      <c r="R738" s="14" t="s">
        <v>146</v>
      </c>
    </row>
    <row r="739" spans="1:18" s="14" customFormat="1" x14ac:dyDescent="0.25">
      <c r="A739" s="14" t="str">
        <f>"10001"</f>
        <v>10001</v>
      </c>
      <c r="B739" s="14" t="str">
        <f>"01730"</f>
        <v>01730</v>
      </c>
      <c r="C739" s="14" t="str">
        <f>"1100"</f>
        <v>1100</v>
      </c>
      <c r="D739" s="14" t="str">
        <f>"01730"</f>
        <v>01730</v>
      </c>
      <c r="E739" s="14" t="s">
        <v>20</v>
      </c>
      <c r="F739" s="14" t="s">
        <v>165</v>
      </c>
      <c r="G739" s="14" t="str">
        <f>""</f>
        <v/>
      </c>
      <c r="H739" s="14" t="str">
        <f>" 10"</f>
        <v xml:space="preserve"> 10</v>
      </c>
      <c r="I739" s="14">
        <v>0.01</v>
      </c>
      <c r="J739" s="14">
        <v>500</v>
      </c>
      <c r="K739" s="14" t="s">
        <v>147</v>
      </c>
      <c r="L739" s="14" t="s">
        <v>146</v>
      </c>
      <c r="P739" s="14" t="s">
        <v>39</v>
      </c>
      <c r="Q739" s="14" t="s">
        <v>25</v>
      </c>
      <c r="R739" s="14" t="s">
        <v>146</v>
      </c>
    </row>
    <row r="740" spans="1:18" s="14" customFormat="1" x14ac:dyDescent="0.25">
      <c r="A740" s="14" t="str">
        <f>"10001"</f>
        <v>10001</v>
      </c>
      <c r="B740" s="14" t="str">
        <f>"01730"</f>
        <v>01730</v>
      </c>
      <c r="C740" s="14" t="str">
        <f>"1100"</f>
        <v>1100</v>
      </c>
      <c r="D740" s="14" t="str">
        <f>"01730"</f>
        <v>01730</v>
      </c>
      <c r="E740" s="14" t="s">
        <v>20</v>
      </c>
      <c r="F740" s="14" t="s">
        <v>165</v>
      </c>
      <c r="G740" s="14" t="str">
        <f>""</f>
        <v/>
      </c>
      <c r="H740" s="14" t="str">
        <f>" 20"</f>
        <v xml:space="preserve"> 20</v>
      </c>
      <c r="I740" s="14">
        <v>500.01</v>
      </c>
      <c r="J740" s="14">
        <v>9999999.9900000002</v>
      </c>
      <c r="K740" s="14" t="s">
        <v>154</v>
      </c>
      <c r="L740" s="14" t="s">
        <v>147</v>
      </c>
      <c r="M740" s="14" t="s">
        <v>166</v>
      </c>
      <c r="P740" s="14" t="s">
        <v>39</v>
      </c>
      <c r="Q740" s="14" t="s">
        <v>25</v>
      </c>
      <c r="R740" s="14" t="s">
        <v>146</v>
      </c>
    </row>
    <row r="741" spans="1:18" s="14" customFormat="1" x14ac:dyDescent="0.25">
      <c r="A741" s="14" t="str">
        <f>"10001"</f>
        <v>10001</v>
      </c>
      <c r="B741" s="14" t="str">
        <f>"01750"</f>
        <v>01750</v>
      </c>
      <c r="C741" s="14" t="str">
        <f>"1100"</f>
        <v>1100</v>
      </c>
      <c r="D741" s="14" t="str">
        <f>"01750"</f>
        <v>01750</v>
      </c>
      <c r="E741" s="14" t="s">
        <v>20</v>
      </c>
      <c r="F741" s="14" t="s">
        <v>167</v>
      </c>
      <c r="G741" s="14" t="str">
        <f>""</f>
        <v/>
      </c>
      <c r="H741" s="14" t="str">
        <f>" 10"</f>
        <v xml:space="preserve"> 10</v>
      </c>
      <c r="I741" s="14">
        <v>0.01</v>
      </c>
      <c r="J741" s="14">
        <v>500</v>
      </c>
      <c r="K741" s="14" t="s">
        <v>147</v>
      </c>
      <c r="L741" s="14" t="s">
        <v>146</v>
      </c>
      <c r="P741" s="14" t="s">
        <v>39</v>
      </c>
      <c r="Q741" s="14" t="s">
        <v>25</v>
      </c>
      <c r="R741" s="14" t="s">
        <v>146</v>
      </c>
    </row>
    <row r="742" spans="1:18" s="14" customFormat="1" x14ac:dyDescent="0.25">
      <c r="A742" s="14" t="str">
        <f>"10001"</f>
        <v>10001</v>
      </c>
      <c r="B742" s="14" t="str">
        <f>"01750"</f>
        <v>01750</v>
      </c>
      <c r="C742" s="14" t="str">
        <f>"1100"</f>
        <v>1100</v>
      </c>
      <c r="D742" s="14" t="str">
        <f>"01750"</f>
        <v>01750</v>
      </c>
      <c r="E742" s="14" t="s">
        <v>20</v>
      </c>
      <c r="F742" s="14" t="s">
        <v>167</v>
      </c>
      <c r="G742" s="14" t="str">
        <f>""</f>
        <v/>
      </c>
      <c r="H742" s="14" t="str">
        <f>" 20"</f>
        <v xml:space="preserve"> 20</v>
      </c>
      <c r="I742" s="14">
        <v>500.01</v>
      </c>
      <c r="J742" s="14">
        <v>9999999.9900000002</v>
      </c>
      <c r="K742" s="14" t="s">
        <v>154</v>
      </c>
      <c r="L742" s="14" t="s">
        <v>147</v>
      </c>
      <c r="M742" s="14" t="s">
        <v>166</v>
      </c>
      <c r="P742" s="14" t="s">
        <v>39</v>
      </c>
      <c r="Q742" s="14" t="s">
        <v>25</v>
      </c>
      <c r="R742" s="14" t="s">
        <v>146</v>
      </c>
    </row>
    <row r="743" spans="1:18" s="14" customFormat="1" x14ac:dyDescent="0.25">
      <c r="A743" s="14" t="str">
        <f>"10001"</f>
        <v>10001</v>
      </c>
      <c r="B743" s="14" t="str">
        <f>"01760"</f>
        <v>01760</v>
      </c>
      <c r="C743" s="14" t="str">
        <f>"1100"</f>
        <v>1100</v>
      </c>
      <c r="D743" s="14" t="str">
        <f>"01760"</f>
        <v>01760</v>
      </c>
      <c r="E743" s="14" t="s">
        <v>20</v>
      </c>
      <c r="F743" s="14" t="s">
        <v>168</v>
      </c>
      <c r="G743" s="14" t="str">
        <f>""</f>
        <v/>
      </c>
      <c r="H743" s="14" t="str">
        <f>" 10"</f>
        <v xml:space="preserve"> 10</v>
      </c>
      <c r="I743" s="14">
        <v>0.01</v>
      </c>
      <c r="J743" s="14">
        <v>500</v>
      </c>
      <c r="K743" s="14" t="s">
        <v>146</v>
      </c>
      <c r="L743" s="14" t="s">
        <v>147</v>
      </c>
      <c r="P743" s="14" t="s">
        <v>39</v>
      </c>
      <c r="Q743" s="14" t="s">
        <v>25</v>
      </c>
      <c r="R743" s="14" t="s">
        <v>146</v>
      </c>
    </row>
    <row r="744" spans="1:18" s="14" customFormat="1" x14ac:dyDescent="0.25">
      <c r="A744" s="14" t="str">
        <f>"10001"</f>
        <v>10001</v>
      </c>
      <c r="B744" s="14" t="str">
        <f>"01760"</f>
        <v>01760</v>
      </c>
      <c r="C744" s="14" t="str">
        <f>"1100"</f>
        <v>1100</v>
      </c>
      <c r="D744" s="14" t="str">
        <f>"01760"</f>
        <v>01760</v>
      </c>
      <c r="E744" s="14" t="s">
        <v>20</v>
      </c>
      <c r="F744" s="14" t="s">
        <v>168</v>
      </c>
      <c r="G744" s="14" t="str">
        <f>""</f>
        <v/>
      </c>
      <c r="H744" s="14" t="str">
        <f>" 20"</f>
        <v xml:space="preserve"> 20</v>
      </c>
      <c r="I744" s="14">
        <v>500.01</v>
      </c>
      <c r="J744" s="14">
        <v>9999999.9900000002</v>
      </c>
      <c r="K744" s="14" t="s">
        <v>169</v>
      </c>
      <c r="L744" s="14" t="s">
        <v>147</v>
      </c>
      <c r="M744" s="14" t="s">
        <v>154</v>
      </c>
      <c r="P744" s="14" t="s">
        <v>39</v>
      </c>
      <c r="Q744" s="14" t="s">
        <v>25</v>
      </c>
      <c r="R744" s="14" t="s">
        <v>146</v>
      </c>
    </row>
    <row r="745" spans="1:18" s="14" customFormat="1" x14ac:dyDescent="0.25">
      <c r="A745" s="14" t="str">
        <f>"10001"</f>
        <v>10001</v>
      </c>
      <c r="B745" s="14" t="str">
        <f>"01765"</f>
        <v>01765</v>
      </c>
      <c r="C745" s="14" t="str">
        <f>"1100"</f>
        <v>1100</v>
      </c>
      <c r="D745" s="14" t="str">
        <f>"01765"</f>
        <v>01765</v>
      </c>
      <c r="E745" s="14" t="s">
        <v>20</v>
      </c>
      <c r="F745" s="14" t="s">
        <v>170</v>
      </c>
      <c r="G745" s="14" t="str">
        <f>""</f>
        <v/>
      </c>
      <c r="H745" s="14" t="str">
        <f>" 10"</f>
        <v xml:space="preserve"> 10</v>
      </c>
      <c r="I745" s="14">
        <v>0.01</v>
      </c>
      <c r="J745" s="14">
        <v>500</v>
      </c>
      <c r="K745" s="14" t="s">
        <v>146</v>
      </c>
      <c r="L745" s="14" t="s">
        <v>147</v>
      </c>
      <c r="P745" s="14" t="s">
        <v>39</v>
      </c>
      <c r="Q745" s="14" t="s">
        <v>25</v>
      </c>
      <c r="R745" s="14" t="s">
        <v>146</v>
      </c>
    </row>
    <row r="746" spans="1:18" s="14" customFormat="1" x14ac:dyDescent="0.25">
      <c r="A746" s="14" t="str">
        <f>"10001"</f>
        <v>10001</v>
      </c>
      <c r="B746" s="14" t="str">
        <f>"01765"</f>
        <v>01765</v>
      </c>
      <c r="C746" s="14" t="str">
        <f>"1100"</f>
        <v>1100</v>
      </c>
      <c r="D746" s="14" t="str">
        <f>"01765"</f>
        <v>01765</v>
      </c>
      <c r="E746" s="14" t="s">
        <v>20</v>
      </c>
      <c r="F746" s="14" t="s">
        <v>170</v>
      </c>
      <c r="G746" s="14" t="str">
        <f>""</f>
        <v/>
      </c>
      <c r="H746" s="14" t="str">
        <f>" 20"</f>
        <v xml:space="preserve"> 20</v>
      </c>
      <c r="I746" s="14">
        <v>500.01</v>
      </c>
      <c r="J746" s="14">
        <v>9999999.9900000002</v>
      </c>
      <c r="K746" s="14" t="s">
        <v>171</v>
      </c>
      <c r="L746" s="14" t="s">
        <v>147</v>
      </c>
      <c r="M746" s="14" t="s">
        <v>154</v>
      </c>
      <c r="P746" s="14" t="s">
        <v>39</v>
      </c>
      <c r="Q746" s="14" t="s">
        <v>25</v>
      </c>
      <c r="R746" s="14" t="s">
        <v>146</v>
      </c>
    </row>
    <row r="747" spans="1:18" s="14" customFormat="1" x14ac:dyDescent="0.25">
      <c r="A747" s="14" t="str">
        <f>"10001"</f>
        <v>10001</v>
      </c>
      <c r="B747" s="14" t="str">
        <f>"01770"</f>
        <v>01770</v>
      </c>
      <c r="C747" s="14" t="str">
        <f>"1100"</f>
        <v>1100</v>
      </c>
      <c r="D747" s="14" t="str">
        <f>"01770"</f>
        <v>01770</v>
      </c>
      <c r="E747" s="14" t="s">
        <v>20</v>
      </c>
      <c r="F747" s="14" t="s">
        <v>172</v>
      </c>
      <c r="G747" s="14" t="str">
        <f>""</f>
        <v/>
      </c>
      <c r="H747" s="14" t="str">
        <f>" 10"</f>
        <v xml:space="preserve"> 10</v>
      </c>
      <c r="I747" s="14">
        <v>0.01</v>
      </c>
      <c r="J747" s="14">
        <v>500</v>
      </c>
      <c r="K747" s="14" t="s">
        <v>146</v>
      </c>
      <c r="L747" s="14" t="s">
        <v>147</v>
      </c>
      <c r="P747" s="14" t="s">
        <v>39</v>
      </c>
      <c r="Q747" s="14" t="s">
        <v>25</v>
      </c>
      <c r="R747" s="14" t="s">
        <v>146</v>
      </c>
    </row>
    <row r="748" spans="1:18" s="14" customFormat="1" x14ac:dyDescent="0.25">
      <c r="A748" s="14" t="str">
        <f>"10001"</f>
        <v>10001</v>
      </c>
      <c r="B748" s="14" t="str">
        <f>"01770"</f>
        <v>01770</v>
      </c>
      <c r="C748" s="14" t="str">
        <f>"1100"</f>
        <v>1100</v>
      </c>
      <c r="D748" s="14" t="str">
        <f>"01770"</f>
        <v>01770</v>
      </c>
      <c r="E748" s="14" t="s">
        <v>20</v>
      </c>
      <c r="F748" s="14" t="s">
        <v>172</v>
      </c>
      <c r="G748" s="14" t="str">
        <f>""</f>
        <v/>
      </c>
      <c r="H748" s="14" t="str">
        <f>" 20"</f>
        <v xml:space="preserve"> 20</v>
      </c>
      <c r="I748" s="14">
        <v>500.01</v>
      </c>
      <c r="J748" s="14">
        <v>9999999.9900000002</v>
      </c>
      <c r="K748" s="14" t="s">
        <v>173</v>
      </c>
      <c r="L748" s="14" t="s">
        <v>147</v>
      </c>
      <c r="M748" s="14" t="s">
        <v>154</v>
      </c>
      <c r="P748" s="14" t="s">
        <v>39</v>
      </c>
      <c r="Q748" s="14" t="s">
        <v>25</v>
      </c>
      <c r="R748" s="14" t="s">
        <v>146</v>
      </c>
    </row>
    <row r="749" spans="1:18" s="14" customFormat="1" x14ac:dyDescent="0.25">
      <c r="A749" s="14" t="str">
        <f>"10001"</f>
        <v>10001</v>
      </c>
      <c r="B749" s="14" t="str">
        <f>"01775"</f>
        <v>01775</v>
      </c>
      <c r="C749" s="14" t="str">
        <f>"1100"</f>
        <v>1100</v>
      </c>
      <c r="D749" s="14" t="str">
        <f>"01775"</f>
        <v>01775</v>
      </c>
      <c r="E749" s="14" t="s">
        <v>20</v>
      </c>
      <c r="F749" s="14" t="s">
        <v>174</v>
      </c>
      <c r="G749" s="14" t="str">
        <f>""</f>
        <v/>
      </c>
      <c r="H749" s="14" t="str">
        <f>" 10"</f>
        <v xml:space="preserve"> 10</v>
      </c>
      <c r="I749" s="14">
        <v>0.01</v>
      </c>
      <c r="J749" s="14">
        <v>500</v>
      </c>
      <c r="K749" s="14" t="s">
        <v>146</v>
      </c>
      <c r="L749" s="14" t="s">
        <v>147</v>
      </c>
      <c r="P749" s="14" t="s">
        <v>39</v>
      </c>
      <c r="Q749" s="14" t="s">
        <v>25</v>
      </c>
      <c r="R749" s="14" t="s">
        <v>146</v>
      </c>
    </row>
    <row r="750" spans="1:18" s="14" customFormat="1" x14ac:dyDescent="0.25">
      <c r="A750" s="14" t="str">
        <f>"10001"</f>
        <v>10001</v>
      </c>
      <c r="B750" s="14" t="str">
        <f>"01775"</f>
        <v>01775</v>
      </c>
      <c r="C750" s="14" t="str">
        <f>"1100"</f>
        <v>1100</v>
      </c>
      <c r="D750" s="14" t="str">
        <f>"01775"</f>
        <v>01775</v>
      </c>
      <c r="E750" s="14" t="s">
        <v>20</v>
      </c>
      <c r="F750" s="14" t="s">
        <v>174</v>
      </c>
      <c r="G750" s="14" t="str">
        <f>""</f>
        <v/>
      </c>
      <c r="H750" s="14" t="str">
        <f>" 20"</f>
        <v xml:space="preserve"> 20</v>
      </c>
      <c r="I750" s="14">
        <v>500.01</v>
      </c>
      <c r="J750" s="14">
        <v>9999999.9900000002</v>
      </c>
      <c r="K750" s="14" t="s">
        <v>147</v>
      </c>
      <c r="L750" s="14" t="s">
        <v>154</v>
      </c>
      <c r="P750" s="14" t="s">
        <v>39</v>
      </c>
      <c r="Q750" s="14" t="s">
        <v>25</v>
      </c>
      <c r="R750" s="14" t="s">
        <v>146</v>
      </c>
    </row>
    <row r="751" spans="1:18" s="14" customFormat="1" x14ac:dyDescent="0.25">
      <c r="A751" s="14" t="str">
        <f>"10001"</f>
        <v>10001</v>
      </c>
      <c r="B751" s="14" t="str">
        <f>"01780"</f>
        <v>01780</v>
      </c>
      <c r="C751" s="14" t="str">
        <f>"1300"</f>
        <v>1300</v>
      </c>
      <c r="D751" s="14" t="str">
        <f>"01780"</f>
        <v>01780</v>
      </c>
      <c r="E751" s="14" t="s">
        <v>20</v>
      </c>
      <c r="F751" s="14" t="s">
        <v>175</v>
      </c>
      <c r="G751" s="14" t="str">
        <f>""</f>
        <v/>
      </c>
      <c r="H751" s="14" t="str">
        <f>" 00"</f>
        <v xml:space="preserve"> 00</v>
      </c>
      <c r="I751" s="14">
        <v>0.01</v>
      </c>
      <c r="J751" s="14">
        <v>9999999.9900000002</v>
      </c>
      <c r="K751" s="14" t="s">
        <v>112</v>
      </c>
      <c r="L751" s="14" t="s">
        <v>113</v>
      </c>
      <c r="M751" s="14" t="s">
        <v>114</v>
      </c>
      <c r="P751" s="14" t="s">
        <v>31</v>
      </c>
      <c r="Q751" s="14" t="s">
        <v>25</v>
      </c>
      <c r="R751" s="14" t="s">
        <v>115</v>
      </c>
    </row>
    <row r="752" spans="1:18" s="14" customFormat="1" x14ac:dyDescent="0.25">
      <c r="A752" s="14" t="str">
        <f>"10001"</f>
        <v>10001</v>
      </c>
      <c r="B752" s="14" t="str">
        <f>"01785"</f>
        <v>01785</v>
      </c>
      <c r="C752" s="14" t="str">
        <f>"1300"</f>
        <v>1300</v>
      </c>
      <c r="D752" s="14" t="str">
        <f>"01785"</f>
        <v>01785</v>
      </c>
      <c r="E752" s="14" t="s">
        <v>20</v>
      </c>
      <c r="F752" s="14" t="s">
        <v>176</v>
      </c>
      <c r="G752" s="14" t="str">
        <f>""</f>
        <v/>
      </c>
      <c r="H752" s="14" t="str">
        <f>" 10"</f>
        <v xml:space="preserve"> 10</v>
      </c>
      <c r="I752" s="14">
        <v>0.01</v>
      </c>
      <c r="J752" s="14">
        <v>500</v>
      </c>
      <c r="K752" s="14" t="s">
        <v>177</v>
      </c>
      <c r="P752" s="14" t="s">
        <v>31</v>
      </c>
      <c r="Q752" s="14" t="s">
        <v>25</v>
      </c>
      <c r="R752" s="14" t="s">
        <v>90</v>
      </c>
    </row>
    <row r="753" spans="1:18" s="14" customFormat="1" x14ac:dyDescent="0.25">
      <c r="A753" s="14" t="str">
        <f>"10001"</f>
        <v>10001</v>
      </c>
      <c r="B753" s="14" t="str">
        <f>"01785"</f>
        <v>01785</v>
      </c>
      <c r="C753" s="14" t="str">
        <f>"1300"</f>
        <v>1300</v>
      </c>
      <c r="D753" s="14" t="str">
        <f>"01785"</f>
        <v>01785</v>
      </c>
      <c r="E753" s="14" t="s">
        <v>20</v>
      </c>
      <c r="F753" s="14" t="s">
        <v>176</v>
      </c>
      <c r="G753" s="14" t="str">
        <f>""</f>
        <v/>
      </c>
      <c r="H753" s="14" t="str">
        <f>" 20"</f>
        <v xml:space="preserve"> 20</v>
      </c>
      <c r="I753" s="14">
        <v>500.01</v>
      </c>
      <c r="J753" s="14">
        <v>9999999.9900000002</v>
      </c>
      <c r="K753" s="14" t="s">
        <v>90</v>
      </c>
      <c r="L753" s="14" t="s">
        <v>177</v>
      </c>
      <c r="P753" s="14" t="s">
        <v>31</v>
      </c>
      <c r="Q753" s="14" t="s">
        <v>25</v>
      </c>
      <c r="R753" s="14" t="s">
        <v>90</v>
      </c>
    </row>
    <row r="754" spans="1:18" s="14" customFormat="1" x14ac:dyDescent="0.25">
      <c r="A754" s="14" t="str">
        <f>"10001"</f>
        <v>10001</v>
      </c>
      <c r="B754" s="14" t="str">
        <f>"01790"</f>
        <v>01790</v>
      </c>
      <c r="C754" s="14" t="str">
        <f>"1100"</f>
        <v>1100</v>
      </c>
      <c r="D754" s="14" t="str">
        <f>"01790"</f>
        <v>01790</v>
      </c>
      <c r="E754" s="14" t="s">
        <v>20</v>
      </c>
      <c r="F754" s="14" t="s">
        <v>178</v>
      </c>
      <c r="G754" s="14" t="str">
        <f>""</f>
        <v/>
      </c>
      <c r="H754" s="14" t="str">
        <f>" 00"</f>
        <v xml:space="preserve"> 00</v>
      </c>
      <c r="I754" s="14">
        <v>0.01</v>
      </c>
      <c r="J754" s="14">
        <v>9999999.9900000002</v>
      </c>
      <c r="K754" s="14" t="s">
        <v>179</v>
      </c>
      <c r="L754" s="14" t="s">
        <v>112</v>
      </c>
      <c r="M754" s="14" t="s">
        <v>113</v>
      </c>
      <c r="N754" s="14" t="s">
        <v>114</v>
      </c>
      <c r="P754" s="14" t="s">
        <v>31</v>
      </c>
      <c r="Q754" s="14" t="s">
        <v>25</v>
      </c>
      <c r="R754" s="14" t="s">
        <v>115</v>
      </c>
    </row>
    <row r="755" spans="1:18" s="14" customFormat="1" x14ac:dyDescent="0.25">
      <c r="A755" s="14" t="str">
        <f>"10001"</f>
        <v>10001</v>
      </c>
      <c r="B755" s="14" t="str">
        <f>"01800"</f>
        <v>01800</v>
      </c>
      <c r="C755" s="14" t="str">
        <f>"1100"</f>
        <v>1100</v>
      </c>
      <c r="D755" s="14" t="str">
        <f>"01800"</f>
        <v>01800</v>
      </c>
      <c r="E755" s="14" t="s">
        <v>20</v>
      </c>
      <c r="F755" s="14" t="s">
        <v>180</v>
      </c>
      <c r="G755" s="14" t="str">
        <f>""</f>
        <v/>
      </c>
      <c r="H755" s="14" t="str">
        <f>" 00"</f>
        <v xml:space="preserve"> 00</v>
      </c>
      <c r="I755" s="14">
        <v>0.01</v>
      </c>
      <c r="J755" s="14">
        <v>9999999.9900000002</v>
      </c>
      <c r="K755" s="14" t="s">
        <v>181</v>
      </c>
      <c r="L755" s="14" t="s">
        <v>112</v>
      </c>
      <c r="M755" s="14" t="s">
        <v>113</v>
      </c>
      <c r="N755" s="14" t="s">
        <v>114</v>
      </c>
      <c r="P755" s="14" t="s">
        <v>31</v>
      </c>
      <c r="Q755" s="14" t="s">
        <v>25</v>
      </c>
      <c r="R755" s="14" t="s">
        <v>115</v>
      </c>
    </row>
    <row r="756" spans="1:18" s="14" customFormat="1" x14ac:dyDescent="0.25">
      <c r="A756" s="14" t="str">
        <f>"10001"</f>
        <v>10001</v>
      </c>
      <c r="B756" s="14" t="str">
        <f>"01805"</f>
        <v>01805</v>
      </c>
      <c r="C756" s="14" t="str">
        <f>"1100"</f>
        <v>1100</v>
      </c>
      <c r="D756" s="14" t="str">
        <f>"01805"</f>
        <v>01805</v>
      </c>
      <c r="E756" s="14" t="s">
        <v>20</v>
      </c>
      <c r="F756" s="14" t="s">
        <v>182</v>
      </c>
      <c r="G756" s="14" t="str">
        <f>""</f>
        <v/>
      </c>
      <c r="H756" s="14" t="str">
        <f>" 00"</f>
        <v xml:space="preserve"> 00</v>
      </c>
      <c r="I756" s="14">
        <v>0.01</v>
      </c>
      <c r="J756" s="14">
        <v>9999999.9900000002</v>
      </c>
      <c r="K756" s="14" t="s">
        <v>181</v>
      </c>
      <c r="L756" s="14" t="s">
        <v>112</v>
      </c>
      <c r="M756" s="14" t="s">
        <v>113</v>
      </c>
      <c r="N756" s="14" t="s">
        <v>114</v>
      </c>
      <c r="P756" s="14" t="s">
        <v>31</v>
      </c>
      <c r="Q756" s="14" t="s">
        <v>25</v>
      </c>
      <c r="R756" s="14" t="s">
        <v>115</v>
      </c>
    </row>
    <row r="757" spans="1:18" s="14" customFormat="1" x14ac:dyDescent="0.25">
      <c r="A757" s="14" t="str">
        <f>"10001"</f>
        <v>10001</v>
      </c>
      <c r="B757" s="14" t="str">
        <f>"01810"</f>
        <v>01810</v>
      </c>
      <c r="C757" s="14" t="str">
        <f>"1100"</f>
        <v>1100</v>
      </c>
      <c r="D757" s="14" t="str">
        <f>"01810"</f>
        <v>01810</v>
      </c>
      <c r="E757" s="14" t="s">
        <v>20</v>
      </c>
      <c r="F757" s="14" t="s">
        <v>183</v>
      </c>
      <c r="G757" s="14" t="str">
        <f>""</f>
        <v/>
      </c>
      <c r="H757" s="14" t="str">
        <f>" 00"</f>
        <v xml:space="preserve"> 00</v>
      </c>
      <c r="I757" s="14">
        <v>0.01</v>
      </c>
      <c r="J757" s="14">
        <v>9999999.9900000002</v>
      </c>
      <c r="K757" s="14" t="s">
        <v>184</v>
      </c>
      <c r="L757" s="14" t="s">
        <v>112</v>
      </c>
      <c r="M757" s="14" t="s">
        <v>113</v>
      </c>
      <c r="N757" s="14" t="s">
        <v>114</v>
      </c>
      <c r="P757" s="14" t="s">
        <v>31</v>
      </c>
      <c r="Q757" s="14" t="s">
        <v>25</v>
      </c>
      <c r="R757" s="14" t="s">
        <v>115</v>
      </c>
    </row>
    <row r="758" spans="1:18" s="14" customFormat="1" x14ac:dyDescent="0.25">
      <c r="A758" s="14" t="str">
        <f>"10001"</f>
        <v>10001</v>
      </c>
      <c r="B758" s="14" t="str">
        <f>"01820"</f>
        <v>01820</v>
      </c>
      <c r="C758" s="14" t="str">
        <f>"1100"</f>
        <v>1100</v>
      </c>
      <c r="D758" s="14" t="str">
        <f>"01820"</f>
        <v>01820</v>
      </c>
      <c r="E758" s="14" t="s">
        <v>20</v>
      </c>
      <c r="F758" s="14" t="s">
        <v>185</v>
      </c>
      <c r="G758" s="14" t="str">
        <f>""</f>
        <v/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186</v>
      </c>
      <c r="L758" s="14" t="s">
        <v>112</v>
      </c>
      <c r="M758" s="14" t="s">
        <v>113</v>
      </c>
      <c r="N758" s="14" t="s">
        <v>114</v>
      </c>
      <c r="P758" s="14" t="s">
        <v>31</v>
      </c>
      <c r="Q758" s="14" t="s">
        <v>25</v>
      </c>
      <c r="R758" s="14" t="s">
        <v>115</v>
      </c>
    </row>
    <row r="759" spans="1:18" s="14" customFormat="1" x14ac:dyDescent="0.25">
      <c r="A759" s="14" t="str">
        <f>"10001"</f>
        <v>10001</v>
      </c>
      <c r="B759" s="14" t="str">
        <f>"01830"</f>
        <v>01830</v>
      </c>
      <c r="C759" s="14" t="str">
        <f>"1100"</f>
        <v>1100</v>
      </c>
      <c r="D759" s="14" t="str">
        <f>"01830"</f>
        <v>01830</v>
      </c>
      <c r="E759" s="14" t="s">
        <v>20</v>
      </c>
      <c r="F759" s="14" t="s">
        <v>187</v>
      </c>
      <c r="G759" s="14" t="str">
        <f>""</f>
        <v/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188</v>
      </c>
      <c r="L759" s="14" t="s">
        <v>112</v>
      </c>
      <c r="M759" s="14" t="s">
        <v>113</v>
      </c>
      <c r="N759" s="14" t="s">
        <v>114</v>
      </c>
      <c r="P759" s="14" t="s">
        <v>31</v>
      </c>
      <c r="Q759" s="14" t="s">
        <v>25</v>
      </c>
      <c r="R759" s="14" t="s">
        <v>115</v>
      </c>
    </row>
    <row r="760" spans="1:18" s="14" customFormat="1" x14ac:dyDescent="0.25">
      <c r="A760" s="14" t="str">
        <f>"10001"</f>
        <v>10001</v>
      </c>
      <c r="B760" s="14" t="str">
        <f>"02000"</f>
        <v>02000</v>
      </c>
      <c r="C760" s="14" t="str">
        <f>"1400"</f>
        <v>1400</v>
      </c>
      <c r="D760" s="14" t="str">
        <f>"02000"</f>
        <v>02000</v>
      </c>
      <c r="E760" s="14" t="s">
        <v>20</v>
      </c>
      <c r="F760" s="14" t="s">
        <v>189</v>
      </c>
      <c r="G760" s="14" t="str">
        <f>""</f>
        <v/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28</v>
      </c>
      <c r="L760" s="14" t="s">
        <v>190</v>
      </c>
      <c r="P760" s="14" t="s">
        <v>31</v>
      </c>
      <c r="Q760" s="14" t="s">
        <v>25</v>
      </c>
      <c r="R760" s="14" t="s">
        <v>32</v>
      </c>
    </row>
    <row r="761" spans="1:18" s="14" customFormat="1" x14ac:dyDescent="0.25">
      <c r="A761" s="14" t="str">
        <f>"10001"</f>
        <v>10001</v>
      </c>
      <c r="B761" s="14" t="str">
        <f>"02010"</f>
        <v>02010</v>
      </c>
      <c r="C761" s="14" t="str">
        <f>"1400"</f>
        <v>1400</v>
      </c>
      <c r="D761" s="14" t="str">
        <f>"02010"</f>
        <v>02010</v>
      </c>
      <c r="E761" s="14" t="s">
        <v>20</v>
      </c>
      <c r="F761" s="14" t="s">
        <v>191</v>
      </c>
      <c r="G761" s="14" t="str">
        <f>""</f>
        <v/>
      </c>
      <c r="H761" s="14" t="str">
        <f>" 00"</f>
        <v xml:space="preserve"> 00</v>
      </c>
      <c r="I761" s="14">
        <v>0.01</v>
      </c>
      <c r="J761" s="14">
        <v>9999999.9900000002</v>
      </c>
      <c r="K761" s="14" t="s">
        <v>192</v>
      </c>
      <c r="L761" s="14" t="s">
        <v>193</v>
      </c>
      <c r="M761" s="14" t="s">
        <v>194</v>
      </c>
      <c r="P761" s="14" t="s">
        <v>31</v>
      </c>
      <c r="Q761" s="14" t="s">
        <v>25</v>
      </c>
      <c r="R761" s="14" t="s">
        <v>192</v>
      </c>
    </row>
    <row r="762" spans="1:18" s="14" customFormat="1" x14ac:dyDescent="0.25">
      <c r="A762" s="14" t="str">
        <f>"10001"</f>
        <v>10001</v>
      </c>
      <c r="B762" s="14" t="str">
        <f>"02040"</f>
        <v>02040</v>
      </c>
      <c r="C762" s="14" t="str">
        <f>"1400"</f>
        <v>1400</v>
      </c>
      <c r="D762" s="14" t="str">
        <f>"02040"</f>
        <v>02040</v>
      </c>
      <c r="E762" s="14" t="s">
        <v>20</v>
      </c>
      <c r="F762" s="14" t="s">
        <v>195</v>
      </c>
      <c r="G762" s="14" t="str">
        <f>""</f>
        <v/>
      </c>
      <c r="H762" s="14" t="str">
        <f>" 00"</f>
        <v xml:space="preserve"> 00</v>
      </c>
      <c r="I762" s="14">
        <v>0.01</v>
      </c>
      <c r="J762" s="14">
        <v>9999999.9900000002</v>
      </c>
      <c r="K762" s="14" t="s">
        <v>193</v>
      </c>
      <c r="L762" s="14" t="s">
        <v>196</v>
      </c>
      <c r="M762" s="14" t="s">
        <v>192</v>
      </c>
      <c r="P762" s="14" t="s">
        <v>31</v>
      </c>
      <c r="Q762" s="14" t="s">
        <v>25</v>
      </c>
      <c r="R762" s="14" t="s">
        <v>193</v>
      </c>
    </row>
    <row r="763" spans="1:18" s="14" customFormat="1" x14ac:dyDescent="0.25">
      <c r="A763" s="14" t="str">
        <f>"10001"</f>
        <v>10001</v>
      </c>
      <c r="B763" s="14" t="str">
        <f>"02050"</f>
        <v>02050</v>
      </c>
      <c r="C763" s="14" t="str">
        <f>"1400"</f>
        <v>1400</v>
      </c>
      <c r="D763" s="14" t="str">
        <f>"02050"</f>
        <v>02050</v>
      </c>
      <c r="E763" s="14" t="s">
        <v>20</v>
      </c>
      <c r="F763" s="14" t="s">
        <v>197</v>
      </c>
      <c r="G763" s="14" t="str">
        <f>""</f>
        <v/>
      </c>
      <c r="H763" s="14" t="str">
        <f>" 10"</f>
        <v xml:space="preserve"> 10</v>
      </c>
      <c r="I763" s="14">
        <v>0.01</v>
      </c>
      <c r="J763" s="14">
        <v>500</v>
      </c>
      <c r="K763" s="14" t="s">
        <v>198</v>
      </c>
      <c r="L763" s="14" t="s">
        <v>199</v>
      </c>
      <c r="P763" s="14" t="s">
        <v>31</v>
      </c>
      <c r="Q763" s="14" t="s">
        <v>25</v>
      </c>
      <c r="R763" s="14" t="s">
        <v>32</v>
      </c>
    </row>
    <row r="764" spans="1:18" s="14" customFormat="1" x14ac:dyDescent="0.25">
      <c r="A764" s="14" t="str">
        <f>"10001"</f>
        <v>10001</v>
      </c>
      <c r="B764" s="14" t="str">
        <f>"02050"</f>
        <v>02050</v>
      </c>
      <c r="C764" s="14" t="str">
        <f>"1400"</f>
        <v>1400</v>
      </c>
      <c r="D764" s="14" t="str">
        <f>"02050"</f>
        <v>02050</v>
      </c>
      <c r="E764" s="14" t="s">
        <v>20</v>
      </c>
      <c r="F764" s="14" t="s">
        <v>197</v>
      </c>
      <c r="G764" s="14" t="str">
        <f>""</f>
        <v/>
      </c>
      <c r="H764" s="14" t="str">
        <f>" 20"</f>
        <v xml:space="preserve"> 20</v>
      </c>
      <c r="I764" s="14">
        <v>500.01</v>
      </c>
      <c r="J764" s="14">
        <v>9999999.9900000002</v>
      </c>
      <c r="K764" s="14" t="s">
        <v>198</v>
      </c>
      <c r="L764" s="14" t="s">
        <v>200</v>
      </c>
      <c r="P764" s="14" t="s">
        <v>31</v>
      </c>
      <c r="Q764" s="14" t="s">
        <v>25</v>
      </c>
      <c r="R764" s="14" t="s">
        <v>32</v>
      </c>
    </row>
    <row r="765" spans="1:18" s="14" customFormat="1" x14ac:dyDescent="0.25">
      <c r="A765" s="14" t="str">
        <f>"10001"</f>
        <v>10001</v>
      </c>
      <c r="B765" s="14" t="str">
        <f>"02070"</f>
        <v>02070</v>
      </c>
      <c r="C765" s="14" t="str">
        <f>"1400"</f>
        <v>1400</v>
      </c>
      <c r="D765" s="14" t="str">
        <f>"02070"</f>
        <v>02070</v>
      </c>
      <c r="E765" s="14" t="s">
        <v>20</v>
      </c>
      <c r="F765" s="14" t="s">
        <v>201</v>
      </c>
      <c r="G765" s="14" t="str">
        <f>""</f>
        <v/>
      </c>
      <c r="H765" s="14" t="str">
        <f>" 00"</f>
        <v xml:space="preserve"> 00</v>
      </c>
      <c r="I765" s="14">
        <v>0.01</v>
      </c>
      <c r="J765" s="14">
        <v>9999999.9900000002</v>
      </c>
      <c r="K765" s="14" t="s">
        <v>199</v>
      </c>
      <c r="L765" s="14" t="s">
        <v>198</v>
      </c>
      <c r="P765" s="14" t="s">
        <v>31</v>
      </c>
      <c r="Q765" s="14" t="s">
        <v>25</v>
      </c>
      <c r="R765" s="14" t="s">
        <v>202</v>
      </c>
    </row>
    <row r="766" spans="1:18" s="14" customFormat="1" x14ac:dyDescent="0.25">
      <c r="A766" s="14" t="str">
        <f>"10001"</f>
        <v>10001</v>
      </c>
      <c r="B766" s="14" t="str">
        <f>"02080"</f>
        <v>02080</v>
      </c>
      <c r="C766" s="14" t="str">
        <f>"1400"</f>
        <v>1400</v>
      </c>
      <c r="D766" s="14" t="str">
        <f>"02080"</f>
        <v>02080</v>
      </c>
      <c r="E766" s="14" t="s">
        <v>20</v>
      </c>
      <c r="F766" s="14" t="s">
        <v>203</v>
      </c>
      <c r="G766" s="14" t="str">
        <f>""</f>
        <v/>
      </c>
      <c r="H766" s="14" t="str">
        <f>" 00"</f>
        <v xml:space="preserve"> 00</v>
      </c>
      <c r="I766" s="14">
        <v>0.01</v>
      </c>
      <c r="J766" s="14">
        <v>9999999.9900000002</v>
      </c>
      <c r="K766" s="14" t="s">
        <v>204</v>
      </c>
      <c r="L766" s="14" t="s">
        <v>205</v>
      </c>
      <c r="P766" s="14" t="s">
        <v>31</v>
      </c>
      <c r="Q766" s="14" t="s">
        <v>25</v>
      </c>
      <c r="R766" s="14" t="s">
        <v>206</v>
      </c>
    </row>
    <row r="767" spans="1:18" s="14" customFormat="1" x14ac:dyDescent="0.25">
      <c r="A767" s="14" t="str">
        <f>"10001"</f>
        <v>10001</v>
      </c>
      <c r="B767" s="14" t="str">
        <f>"02085"</f>
        <v>02085</v>
      </c>
      <c r="C767" s="14" t="str">
        <f>"1400"</f>
        <v>1400</v>
      </c>
      <c r="D767" s="14" t="str">
        <f>"02085"</f>
        <v>02085</v>
      </c>
      <c r="E767" s="14" t="s">
        <v>20</v>
      </c>
      <c r="F767" s="14" t="s">
        <v>207</v>
      </c>
      <c r="G767" s="14" t="str">
        <f>""</f>
        <v/>
      </c>
      <c r="H767" s="14" t="str">
        <f>" 00"</f>
        <v xml:space="preserve"> 00</v>
      </c>
      <c r="I767" s="14">
        <v>0.01</v>
      </c>
      <c r="J767" s="14">
        <v>9999999.9900000002</v>
      </c>
      <c r="K767" s="14" t="s">
        <v>204</v>
      </c>
      <c r="L767" s="14" t="s">
        <v>208</v>
      </c>
      <c r="P767" s="14" t="s">
        <v>31</v>
      </c>
      <c r="Q767" s="14" t="s">
        <v>25</v>
      </c>
      <c r="R767" s="14" t="s">
        <v>208</v>
      </c>
    </row>
    <row r="768" spans="1:18" s="14" customFormat="1" x14ac:dyDescent="0.25">
      <c r="A768" s="14" t="str">
        <f>"10001"</f>
        <v>10001</v>
      </c>
      <c r="B768" s="14" t="str">
        <f>"02120"</f>
        <v>02120</v>
      </c>
      <c r="C768" s="14" t="str">
        <f>"1400"</f>
        <v>1400</v>
      </c>
      <c r="D768" s="14" t="str">
        <f>"02120A"</f>
        <v>02120A</v>
      </c>
      <c r="E768" s="14" t="s">
        <v>20</v>
      </c>
      <c r="F768" s="14" t="s">
        <v>209</v>
      </c>
      <c r="G768" s="14" t="str">
        <f>""</f>
        <v/>
      </c>
      <c r="H768" s="14" t="str">
        <f>" 00"</f>
        <v xml:space="preserve"> 00</v>
      </c>
      <c r="I768" s="14">
        <v>0.01</v>
      </c>
      <c r="J768" s="14">
        <v>9999999.9900000002</v>
      </c>
      <c r="K768" s="14" t="s">
        <v>29</v>
      </c>
      <c r="L768" s="14" t="s">
        <v>210</v>
      </c>
      <c r="P768" s="14" t="s">
        <v>31</v>
      </c>
      <c r="Q768" s="14" t="s">
        <v>25</v>
      </c>
      <c r="R768" s="14" t="s">
        <v>210</v>
      </c>
    </row>
    <row r="769" spans="1:18" s="14" customFormat="1" x14ac:dyDescent="0.25">
      <c r="A769" s="14" t="str">
        <f>"10001"</f>
        <v>10001</v>
      </c>
      <c r="B769" s="14" t="str">
        <f>"02121"</f>
        <v>02121</v>
      </c>
      <c r="C769" s="14" t="str">
        <f>"1400"</f>
        <v>1400</v>
      </c>
      <c r="D769" s="14" t="str">
        <f>"02121"</f>
        <v>02121</v>
      </c>
      <c r="E769" s="14" t="s">
        <v>20</v>
      </c>
      <c r="F769" s="14" t="s">
        <v>211</v>
      </c>
      <c r="G769" s="14" t="str">
        <f>""</f>
        <v/>
      </c>
      <c r="H769" s="14" t="str">
        <f>" 00"</f>
        <v xml:space="preserve"> 00</v>
      </c>
      <c r="I769" s="14">
        <v>0.01</v>
      </c>
      <c r="J769" s="14">
        <v>9999999.9900000002</v>
      </c>
      <c r="K769" s="14" t="s">
        <v>29</v>
      </c>
      <c r="L769" s="14" t="s">
        <v>210</v>
      </c>
      <c r="P769" s="14" t="s">
        <v>31</v>
      </c>
      <c r="Q769" s="14" t="s">
        <v>25</v>
      </c>
      <c r="R769" s="14" t="s">
        <v>210</v>
      </c>
    </row>
    <row r="770" spans="1:18" s="14" customFormat="1" x14ac:dyDescent="0.25">
      <c r="A770" s="14" t="str">
        <f>"10001"</f>
        <v>10001</v>
      </c>
      <c r="B770" s="14" t="str">
        <f>"02130"</f>
        <v>02130</v>
      </c>
      <c r="C770" s="14" t="str">
        <f>"1400"</f>
        <v>1400</v>
      </c>
      <c r="D770" s="14" t="str">
        <f>"02130"</f>
        <v>02130</v>
      </c>
      <c r="E770" s="14" t="s">
        <v>20</v>
      </c>
      <c r="F770" s="14" t="s">
        <v>212</v>
      </c>
      <c r="G770" s="14" t="str">
        <f>""</f>
        <v/>
      </c>
      <c r="H770" s="14" t="str">
        <f>" 00"</f>
        <v xml:space="preserve"> 00</v>
      </c>
      <c r="I770" s="14">
        <v>0.01</v>
      </c>
      <c r="J770" s="14">
        <v>9999999.9900000002</v>
      </c>
      <c r="K770" s="14" t="s">
        <v>193</v>
      </c>
      <c r="L770" s="14" t="s">
        <v>196</v>
      </c>
      <c r="M770" s="14" t="s">
        <v>213</v>
      </c>
      <c r="P770" s="14" t="s">
        <v>31</v>
      </c>
      <c r="Q770" s="14" t="s">
        <v>25</v>
      </c>
      <c r="R770" s="14" t="s">
        <v>214</v>
      </c>
    </row>
    <row r="771" spans="1:18" s="14" customFormat="1" x14ac:dyDescent="0.25">
      <c r="A771" s="14" t="str">
        <f>"10001"</f>
        <v>10001</v>
      </c>
      <c r="B771" s="14" t="str">
        <f>"02150"</f>
        <v>02150</v>
      </c>
      <c r="C771" s="14" t="str">
        <f>"1400"</f>
        <v>1400</v>
      </c>
      <c r="D771" s="14" t="str">
        <f>"02150"</f>
        <v>02150</v>
      </c>
      <c r="E771" s="14" t="s">
        <v>20</v>
      </c>
      <c r="F771" s="14" t="s">
        <v>215</v>
      </c>
      <c r="G771" s="14" t="str">
        <f>""</f>
        <v/>
      </c>
      <c r="H771" s="14" t="str">
        <f>" 00"</f>
        <v xml:space="preserve"> 00</v>
      </c>
      <c r="I771" s="14">
        <v>0.01</v>
      </c>
      <c r="J771" s="14">
        <v>9999999.9900000002</v>
      </c>
      <c r="K771" s="14" t="s">
        <v>28</v>
      </c>
      <c r="L771" s="14" t="s">
        <v>190</v>
      </c>
      <c r="M771" s="14" t="s">
        <v>216</v>
      </c>
      <c r="P771" s="14" t="s">
        <v>31</v>
      </c>
      <c r="Q771" s="14" t="s">
        <v>25</v>
      </c>
      <c r="R771" s="14" t="s">
        <v>190</v>
      </c>
    </row>
    <row r="772" spans="1:18" s="14" customFormat="1" x14ac:dyDescent="0.25">
      <c r="A772" s="14" t="str">
        <f>"10001"</f>
        <v>10001</v>
      </c>
      <c r="B772" s="14" t="str">
        <f>"03000"</f>
        <v>03000</v>
      </c>
      <c r="C772" s="14" t="str">
        <f>"1400"</f>
        <v>1400</v>
      </c>
      <c r="D772" s="14" t="str">
        <f>"03000A"</f>
        <v>03000A</v>
      </c>
      <c r="E772" s="14" t="s">
        <v>20</v>
      </c>
      <c r="F772" s="14" t="s">
        <v>217</v>
      </c>
      <c r="G772" s="14" t="str">
        <f>""</f>
        <v/>
      </c>
      <c r="H772" s="14" t="str">
        <f>" 00"</f>
        <v xml:space="preserve"> 00</v>
      </c>
      <c r="I772" s="14">
        <v>0.01</v>
      </c>
      <c r="J772" s="14">
        <v>9999999.9900000002</v>
      </c>
      <c r="K772" s="14" t="s">
        <v>34</v>
      </c>
      <c r="L772" s="14" t="s">
        <v>25</v>
      </c>
      <c r="P772" s="14" t="s">
        <v>31</v>
      </c>
      <c r="Q772" s="14" t="s">
        <v>25</v>
      </c>
      <c r="R772" s="14" t="s">
        <v>35</v>
      </c>
    </row>
    <row r="773" spans="1:18" s="14" customFormat="1" x14ac:dyDescent="0.25">
      <c r="A773" s="14" t="str">
        <f>"10001"</f>
        <v>10001</v>
      </c>
      <c r="B773" s="14" t="str">
        <f>"03010"</f>
        <v>03010</v>
      </c>
      <c r="C773" s="14" t="str">
        <f>"1400"</f>
        <v>1400</v>
      </c>
      <c r="D773" s="14" t="str">
        <f>"03010"</f>
        <v>03010</v>
      </c>
      <c r="E773" s="14" t="s">
        <v>20</v>
      </c>
      <c r="F773" s="14" t="s">
        <v>218</v>
      </c>
      <c r="G773" s="14" t="str">
        <f>""</f>
        <v/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34</v>
      </c>
      <c r="L773" s="14" t="s">
        <v>25</v>
      </c>
      <c r="P773" s="14" t="s">
        <v>31</v>
      </c>
      <c r="Q773" s="14" t="s">
        <v>25</v>
      </c>
      <c r="R773" s="14" t="s">
        <v>190</v>
      </c>
    </row>
    <row r="774" spans="1:18" s="14" customFormat="1" x14ac:dyDescent="0.25">
      <c r="A774" s="14" t="str">
        <f>"10001"</f>
        <v>10001</v>
      </c>
      <c r="B774" s="14" t="str">
        <f>"03018"</f>
        <v>03018</v>
      </c>
      <c r="C774" s="14" t="str">
        <f>"1100"</f>
        <v>1100</v>
      </c>
      <c r="D774" s="14" t="str">
        <f>"03018"</f>
        <v>03018</v>
      </c>
      <c r="E774" s="14" t="s">
        <v>20</v>
      </c>
      <c r="F774" s="14" t="s">
        <v>219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34</v>
      </c>
      <c r="L774" s="14" t="s">
        <v>25</v>
      </c>
      <c r="P774" s="14" t="s">
        <v>31</v>
      </c>
      <c r="Q774" s="14" t="s">
        <v>25</v>
      </c>
      <c r="R774" s="14" t="s">
        <v>35</v>
      </c>
    </row>
    <row r="775" spans="1:18" s="14" customFormat="1" x14ac:dyDescent="0.25">
      <c r="A775" s="14" t="str">
        <f>"10001"</f>
        <v>10001</v>
      </c>
      <c r="B775" s="14" t="str">
        <f>"03020"</f>
        <v>03020</v>
      </c>
      <c r="C775" s="14" t="str">
        <f>"1400"</f>
        <v>1400</v>
      </c>
      <c r="D775" s="14" t="str">
        <f>"03020"</f>
        <v>03020</v>
      </c>
      <c r="E775" s="14" t="s">
        <v>20</v>
      </c>
      <c r="F775" s="14" t="s">
        <v>220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34</v>
      </c>
      <c r="L775" s="14" t="s">
        <v>25</v>
      </c>
      <c r="P775" s="14" t="s">
        <v>31</v>
      </c>
      <c r="Q775" s="14" t="s">
        <v>25</v>
      </c>
      <c r="R775" s="14" t="s">
        <v>35</v>
      </c>
    </row>
    <row r="776" spans="1:18" s="14" customFormat="1" x14ac:dyDescent="0.25">
      <c r="A776" s="14" t="str">
        <f>"10001"</f>
        <v>10001</v>
      </c>
      <c r="B776" s="14" t="str">
        <f>"03022"</f>
        <v>03022</v>
      </c>
      <c r="C776" s="14" t="str">
        <f>"1300"</f>
        <v>1300</v>
      </c>
      <c r="D776" s="14" t="str">
        <f>"03022"</f>
        <v>03022</v>
      </c>
      <c r="E776" s="14" t="s">
        <v>20</v>
      </c>
      <c r="F776" s="14" t="s">
        <v>221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34</v>
      </c>
      <c r="L776" s="14" t="s">
        <v>25</v>
      </c>
      <c r="P776" s="14" t="s">
        <v>31</v>
      </c>
      <c r="Q776" s="14" t="s">
        <v>25</v>
      </c>
      <c r="R776" s="14" t="s">
        <v>35</v>
      </c>
    </row>
    <row r="777" spans="1:18" s="14" customFormat="1" x14ac:dyDescent="0.25">
      <c r="A777" s="14" t="str">
        <f>"10001"</f>
        <v>10001</v>
      </c>
      <c r="B777" s="14" t="str">
        <f>"03024"</f>
        <v>03024</v>
      </c>
      <c r="C777" s="14" t="str">
        <f>"1700"</f>
        <v>1700</v>
      </c>
      <c r="D777" s="14" t="str">
        <f>"03024"</f>
        <v>03024</v>
      </c>
      <c r="E777" s="14" t="s">
        <v>20</v>
      </c>
      <c r="F777" s="14" t="s">
        <v>222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34</v>
      </c>
      <c r="L777" s="14" t="s">
        <v>25</v>
      </c>
      <c r="P777" s="14" t="s">
        <v>31</v>
      </c>
      <c r="Q777" s="14" t="s">
        <v>25</v>
      </c>
      <c r="R777" s="14" t="s">
        <v>35</v>
      </c>
    </row>
    <row r="778" spans="1:18" s="14" customFormat="1" x14ac:dyDescent="0.25">
      <c r="A778" s="14" t="str">
        <f>"10001"</f>
        <v>10001</v>
      </c>
      <c r="B778" s="14" t="str">
        <f>"03026"</f>
        <v>03026</v>
      </c>
      <c r="C778" s="14" t="str">
        <f>"1400"</f>
        <v>1400</v>
      </c>
      <c r="D778" s="14" t="str">
        <f>"03026"</f>
        <v>03026</v>
      </c>
      <c r="E778" s="14" t="s">
        <v>20</v>
      </c>
      <c r="F778" s="14" t="s">
        <v>223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34</v>
      </c>
      <c r="L778" s="14" t="s">
        <v>25</v>
      </c>
      <c r="P778" s="14" t="s">
        <v>31</v>
      </c>
      <c r="Q778" s="14" t="s">
        <v>25</v>
      </c>
      <c r="R778" s="14" t="s">
        <v>35</v>
      </c>
    </row>
    <row r="779" spans="1:18" s="14" customFormat="1" x14ac:dyDescent="0.25">
      <c r="A779" s="14" t="str">
        <f>"10001"</f>
        <v>10001</v>
      </c>
      <c r="B779" s="14" t="str">
        <f>"03030"</f>
        <v>03030</v>
      </c>
      <c r="C779" s="14" t="str">
        <f>"1500"</f>
        <v>1500</v>
      </c>
      <c r="D779" s="14" t="str">
        <f>"03030"</f>
        <v>03030</v>
      </c>
      <c r="E779" s="14" t="s">
        <v>20</v>
      </c>
      <c r="F779" s="14" t="s">
        <v>224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34</v>
      </c>
      <c r="L779" s="14" t="s">
        <v>25</v>
      </c>
      <c r="P779" s="14" t="s">
        <v>31</v>
      </c>
      <c r="Q779" s="14" t="s">
        <v>25</v>
      </c>
      <c r="R779" s="14" t="s">
        <v>35</v>
      </c>
    </row>
    <row r="780" spans="1:18" s="14" customFormat="1" x14ac:dyDescent="0.25">
      <c r="A780" s="14" t="str">
        <f>"10001"</f>
        <v>10001</v>
      </c>
      <c r="B780" s="14" t="str">
        <f>"03050"</f>
        <v>03050</v>
      </c>
      <c r="C780" s="14" t="str">
        <f>"1400"</f>
        <v>1400</v>
      </c>
      <c r="D780" s="14" t="str">
        <f>"03050"</f>
        <v>03050</v>
      </c>
      <c r="E780" s="14" t="s">
        <v>20</v>
      </c>
      <c r="F780" s="14" t="s">
        <v>225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226</v>
      </c>
      <c r="L780" s="14" t="s">
        <v>227</v>
      </c>
      <c r="M780" s="14" t="s">
        <v>228</v>
      </c>
      <c r="P780" s="14" t="s">
        <v>31</v>
      </c>
      <c r="Q780" s="14" t="s">
        <v>25</v>
      </c>
      <c r="R780" s="14" t="s">
        <v>229</v>
      </c>
    </row>
    <row r="781" spans="1:18" s="14" customFormat="1" x14ac:dyDescent="0.25">
      <c r="A781" s="14" t="str">
        <f>"10001"</f>
        <v>10001</v>
      </c>
      <c r="B781" s="14" t="str">
        <f>"03090"</f>
        <v>03090</v>
      </c>
      <c r="C781" s="14" t="str">
        <f>"1400"</f>
        <v>1400</v>
      </c>
      <c r="D781" s="14" t="str">
        <f>"03090"</f>
        <v>03090</v>
      </c>
      <c r="E781" s="14" t="s">
        <v>20</v>
      </c>
      <c r="F781" s="14" t="s">
        <v>230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231</v>
      </c>
      <c r="L781" s="14" t="s">
        <v>232</v>
      </c>
      <c r="M781" s="14" t="s">
        <v>233</v>
      </c>
      <c r="P781" s="14" t="s">
        <v>31</v>
      </c>
      <c r="Q781" s="14" t="s">
        <v>25</v>
      </c>
      <c r="R781" s="14" t="s">
        <v>234</v>
      </c>
    </row>
    <row r="782" spans="1:18" s="14" customFormat="1" x14ac:dyDescent="0.25">
      <c r="A782" s="14" t="str">
        <f>"10001"</f>
        <v>10001</v>
      </c>
      <c r="B782" s="14" t="str">
        <f>"03092"</f>
        <v>03092</v>
      </c>
      <c r="C782" s="14" t="str">
        <f>"1500"</f>
        <v>1500</v>
      </c>
      <c r="D782" s="14" t="str">
        <f>"03092"</f>
        <v>03092</v>
      </c>
      <c r="E782" s="14" t="s">
        <v>20</v>
      </c>
      <c r="F782" s="14" t="s">
        <v>235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236</v>
      </c>
      <c r="L782" s="14" t="s">
        <v>237</v>
      </c>
      <c r="M782" s="14" t="s">
        <v>238</v>
      </c>
      <c r="P782" s="14" t="s">
        <v>239</v>
      </c>
      <c r="Q782" s="14" t="s">
        <v>25</v>
      </c>
      <c r="R782" s="14" t="s">
        <v>1930</v>
      </c>
    </row>
    <row r="783" spans="1:18" s="14" customFormat="1" x14ac:dyDescent="0.25">
      <c r="A783" s="14" t="str">
        <f>"10001"</f>
        <v>10001</v>
      </c>
      <c r="B783" s="14" t="str">
        <f>"03094"</f>
        <v>03094</v>
      </c>
      <c r="C783" s="14" t="str">
        <f>"1400"</f>
        <v>1400</v>
      </c>
      <c r="D783" s="14" t="str">
        <f>"03094"</f>
        <v>03094</v>
      </c>
      <c r="E783" s="14" t="s">
        <v>20</v>
      </c>
      <c r="F783" s="14" t="s">
        <v>240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241</v>
      </c>
      <c r="L783" s="14" t="s">
        <v>231</v>
      </c>
      <c r="P783" s="14" t="s">
        <v>31</v>
      </c>
      <c r="Q783" s="14" t="s">
        <v>25</v>
      </c>
      <c r="R783" s="14" t="s">
        <v>242</v>
      </c>
    </row>
    <row r="784" spans="1:18" s="14" customFormat="1" x14ac:dyDescent="0.25">
      <c r="A784" s="14" t="str">
        <f>"10001"</f>
        <v>10001</v>
      </c>
      <c r="B784" s="14" t="str">
        <f>"03120"</f>
        <v>03120</v>
      </c>
      <c r="C784" s="14" t="str">
        <f>"1500"</f>
        <v>1500</v>
      </c>
      <c r="D784" s="14" t="str">
        <f>"03120"</f>
        <v>03120</v>
      </c>
      <c r="E784" s="14" t="s">
        <v>20</v>
      </c>
      <c r="F784" s="14" t="s">
        <v>243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244</v>
      </c>
      <c r="P784" s="14" t="s">
        <v>31</v>
      </c>
      <c r="Q784" s="14" t="s">
        <v>25</v>
      </c>
      <c r="R784" s="14" t="s">
        <v>245</v>
      </c>
    </row>
    <row r="785" spans="1:18" s="14" customFormat="1" x14ac:dyDescent="0.25">
      <c r="A785" s="14" t="str">
        <f>"10001"</f>
        <v>10001</v>
      </c>
      <c r="B785" s="14" t="str">
        <f>"03130"</f>
        <v>03130</v>
      </c>
      <c r="C785" s="14" t="str">
        <f>"1500"</f>
        <v>1500</v>
      </c>
      <c r="D785" s="14" t="str">
        <f>"03130"</f>
        <v>03130</v>
      </c>
      <c r="E785" s="14" t="s">
        <v>20</v>
      </c>
      <c r="F785" s="14" t="s">
        <v>246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244</v>
      </c>
      <c r="P785" s="14" t="s">
        <v>31</v>
      </c>
      <c r="Q785" s="14" t="s">
        <v>25</v>
      </c>
      <c r="R785" s="14" t="s">
        <v>245</v>
      </c>
    </row>
    <row r="786" spans="1:18" s="14" customFormat="1" x14ac:dyDescent="0.25">
      <c r="A786" s="14" t="str">
        <f>"10001"</f>
        <v>10001</v>
      </c>
      <c r="B786" s="14" t="str">
        <f>"03140"</f>
        <v>03140</v>
      </c>
      <c r="C786" s="14" t="str">
        <f>"1500"</f>
        <v>1500</v>
      </c>
      <c r="D786" s="14" t="str">
        <f>"03140A"</f>
        <v>03140A</v>
      </c>
      <c r="E786" s="14" t="s">
        <v>20</v>
      </c>
      <c r="F786" s="14" t="s">
        <v>247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236</v>
      </c>
      <c r="L786" s="14" t="s">
        <v>237</v>
      </c>
      <c r="M786" s="14" t="s">
        <v>238</v>
      </c>
      <c r="P786" s="14" t="s">
        <v>239</v>
      </c>
      <c r="Q786" s="14" t="s">
        <v>25</v>
      </c>
      <c r="R786" s="14" t="s">
        <v>1930</v>
      </c>
    </row>
    <row r="787" spans="1:18" s="14" customFormat="1" x14ac:dyDescent="0.25">
      <c r="A787" s="14" t="str">
        <f>"10001"</f>
        <v>10001</v>
      </c>
      <c r="B787" s="14" t="str">
        <f>"03145"</f>
        <v>03145</v>
      </c>
      <c r="C787" s="14" t="str">
        <f>"1500"</f>
        <v>1500</v>
      </c>
      <c r="D787" s="14" t="str">
        <f>"03145"</f>
        <v>03145</v>
      </c>
      <c r="E787" s="14" t="s">
        <v>20</v>
      </c>
      <c r="F787" s="14" t="s">
        <v>248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236</v>
      </c>
      <c r="L787" s="14" t="s">
        <v>237</v>
      </c>
      <c r="M787" s="14" t="s">
        <v>238</v>
      </c>
      <c r="P787" s="14" t="s">
        <v>239</v>
      </c>
      <c r="Q787" s="14" t="s">
        <v>25</v>
      </c>
      <c r="R787" s="14" t="s">
        <v>1930</v>
      </c>
    </row>
    <row r="788" spans="1:18" s="14" customFormat="1" x14ac:dyDescent="0.25">
      <c r="A788" s="14" t="str">
        <f>"10001"</f>
        <v>10001</v>
      </c>
      <c r="B788" s="14" t="str">
        <f>"03150"</f>
        <v>03150</v>
      </c>
      <c r="C788" s="14" t="str">
        <f>"1500"</f>
        <v>1500</v>
      </c>
      <c r="D788" s="14" t="str">
        <f>"03150"</f>
        <v>03150</v>
      </c>
      <c r="E788" s="14" t="s">
        <v>20</v>
      </c>
      <c r="F788" s="14" t="s">
        <v>249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236</v>
      </c>
      <c r="L788" s="14" t="s">
        <v>237</v>
      </c>
      <c r="M788" s="14" t="s">
        <v>238</v>
      </c>
      <c r="P788" s="14" t="s">
        <v>239</v>
      </c>
      <c r="Q788" s="14" t="s">
        <v>25</v>
      </c>
      <c r="R788" s="14" t="s">
        <v>250</v>
      </c>
    </row>
    <row r="789" spans="1:18" s="14" customFormat="1" x14ac:dyDescent="0.25">
      <c r="A789" s="14" t="str">
        <f>"10001"</f>
        <v>10001</v>
      </c>
      <c r="B789" s="14" t="str">
        <f>"03170"</f>
        <v>03170</v>
      </c>
      <c r="C789" s="14" t="str">
        <f>"1400"</f>
        <v>1400</v>
      </c>
      <c r="D789" s="14" t="str">
        <f>"03170"</f>
        <v>03170</v>
      </c>
      <c r="E789" s="14" t="s">
        <v>20</v>
      </c>
      <c r="F789" s="14" t="s">
        <v>251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252</v>
      </c>
      <c r="L789" s="14" t="s">
        <v>253</v>
      </c>
      <c r="P789" s="14" t="s">
        <v>31</v>
      </c>
      <c r="Q789" s="14" t="s">
        <v>25</v>
      </c>
      <c r="R789" s="14" t="s">
        <v>254</v>
      </c>
    </row>
    <row r="790" spans="1:18" s="14" customFormat="1" x14ac:dyDescent="0.25">
      <c r="A790" s="14" t="str">
        <f>"10001"</f>
        <v>10001</v>
      </c>
      <c r="B790" s="14" t="str">
        <f>"03180"</f>
        <v>03180</v>
      </c>
      <c r="C790" s="14" t="str">
        <f>"1300"</f>
        <v>1300</v>
      </c>
      <c r="D790" s="14" t="str">
        <f>"03180"</f>
        <v>03180</v>
      </c>
      <c r="E790" s="14" t="s">
        <v>20</v>
      </c>
      <c r="F790" s="14" t="s">
        <v>255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252</v>
      </c>
      <c r="L790" s="14" t="s">
        <v>253</v>
      </c>
      <c r="M790" s="14" t="s">
        <v>256</v>
      </c>
      <c r="P790" s="14" t="s">
        <v>31</v>
      </c>
      <c r="Q790" s="14" t="s">
        <v>25</v>
      </c>
      <c r="R790" s="14" t="s">
        <v>254</v>
      </c>
    </row>
    <row r="791" spans="1:18" s="14" customFormat="1" x14ac:dyDescent="0.25">
      <c r="A791" s="14" t="str">
        <f>"10001"</f>
        <v>10001</v>
      </c>
      <c r="B791" s="14" t="str">
        <f>"03210"</f>
        <v>03210</v>
      </c>
      <c r="C791" s="14" t="str">
        <f>"1400"</f>
        <v>1400</v>
      </c>
      <c r="D791" s="14" t="str">
        <f>"03210"</f>
        <v>03210</v>
      </c>
      <c r="E791" s="14" t="s">
        <v>20</v>
      </c>
      <c r="F791" s="14" t="s">
        <v>257</v>
      </c>
      <c r="G791" s="14" t="str">
        <f>""</f>
        <v/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258</v>
      </c>
      <c r="L791" s="14" t="s">
        <v>28</v>
      </c>
      <c r="P791" s="14" t="s">
        <v>31</v>
      </c>
      <c r="Q791" s="14" t="s">
        <v>25</v>
      </c>
      <c r="R791" s="14" t="s">
        <v>32</v>
      </c>
    </row>
    <row r="792" spans="1:18" s="14" customFormat="1" x14ac:dyDescent="0.25">
      <c r="A792" s="14" t="str">
        <f>"10001"</f>
        <v>10001</v>
      </c>
      <c r="B792" s="14" t="str">
        <f>"03510"</f>
        <v>03510</v>
      </c>
      <c r="C792" s="14" t="str">
        <f>"1000"</f>
        <v>1000</v>
      </c>
      <c r="D792" s="14" t="str">
        <f>""</f>
        <v/>
      </c>
      <c r="E792" s="14" t="s">
        <v>20</v>
      </c>
      <c r="F792" s="14" t="s">
        <v>259</v>
      </c>
      <c r="G792" s="14" t="str">
        <f>""</f>
        <v/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34</v>
      </c>
      <c r="P792" s="14" t="s">
        <v>260</v>
      </c>
      <c r="Q792" s="14" t="s">
        <v>25</v>
      </c>
      <c r="R792" s="14" t="s">
        <v>35</v>
      </c>
    </row>
    <row r="793" spans="1:18" s="14" customFormat="1" x14ac:dyDescent="0.25">
      <c r="A793" s="14" t="str">
        <f>"10001"</f>
        <v>10001</v>
      </c>
      <c r="B793" s="14" t="str">
        <f>"03520"</f>
        <v>03520</v>
      </c>
      <c r="C793" s="14" t="str">
        <f>"1000"</f>
        <v>1000</v>
      </c>
      <c r="D793" s="14" t="str">
        <f>""</f>
        <v/>
      </c>
      <c r="E793" s="14" t="s">
        <v>20</v>
      </c>
      <c r="F793" s="14" t="s">
        <v>261</v>
      </c>
      <c r="G793" s="14" t="str">
        <f>""</f>
        <v/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34</v>
      </c>
      <c r="P793" s="14" t="s">
        <v>260</v>
      </c>
      <c r="Q793" s="14" t="s">
        <v>25</v>
      </c>
      <c r="R793" s="14" t="s">
        <v>35</v>
      </c>
    </row>
    <row r="794" spans="1:18" s="14" customFormat="1" x14ac:dyDescent="0.25">
      <c r="A794" s="14" t="str">
        <f>"10001"</f>
        <v>10001</v>
      </c>
      <c r="B794" s="14" t="str">
        <f>"03530"</f>
        <v>03530</v>
      </c>
      <c r="C794" s="14" t="str">
        <f>"1000"</f>
        <v>1000</v>
      </c>
      <c r="D794" s="14" t="str">
        <f>""</f>
        <v/>
      </c>
      <c r="E794" s="14" t="s">
        <v>20</v>
      </c>
      <c r="F794" s="14" t="s">
        <v>262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34</v>
      </c>
      <c r="P794" s="14" t="s">
        <v>260</v>
      </c>
      <c r="Q794" s="14" t="s">
        <v>25</v>
      </c>
      <c r="R794" s="14" t="s">
        <v>35</v>
      </c>
    </row>
    <row r="795" spans="1:18" s="14" customFormat="1" x14ac:dyDescent="0.25">
      <c r="A795" s="14" t="str">
        <f>"10001"</f>
        <v>10001</v>
      </c>
      <c r="B795" s="14" t="str">
        <f>"03531"</f>
        <v>03531</v>
      </c>
      <c r="C795" s="14" t="str">
        <f>"1400"</f>
        <v>1400</v>
      </c>
      <c r="D795" s="14" t="str">
        <f>"03531"</f>
        <v>03531</v>
      </c>
      <c r="E795" s="14" t="s">
        <v>20</v>
      </c>
      <c r="F795" s="14" t="s">
        <v>263</v>
      </c>
      <c r="G795" s="14" t="str">
        <f>""</f>
        <v/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34</v>
      </c>
      <c r="L795" s="14" t="s">
        <v>25</v>
      </c>
      <c r="P795" s="14" t="s">
        <v>260</v>
      </c>
      <c r="Q795" s="14" t="s">
        <v>25</v>
      </c>
      <c r="R795" s="14" t="s">
        <v>35</v>
      </c>
    </row>
    <row r="796" spans="1:18" s="14" customFormat="1" x14ac:dyDescent="0.25">
      <c r="A796" s="14" t="str">
        <f>"10001"</f>
        <v>10001</v>
      </c>
      <c r="B796" s="14" t="str">
        <f>"03532"</f>
        <v>03532</v>
      </c>
      <c r="C796" s="14" t="str">
        <f>"1000"</f>
        <v>1000</v>
      </c>
      <c r="D796" s="14" t="str">
        <f>""</f>
        <v/>
      </c>
      <c r="E796" s="14" t="s">
        <v>20</v>
      </c>
      <c r="F796" s="14" t="s">
        <v>264</v>
      </c>
      <c r="G796" s="14" t="str">
        <f>""</f>
        <v/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226</v>
      </c>
      <c r="P796" s="14" t="s">
        <v>260</v>
      </c>
      <c r="Q796" s="14" t="s">
        <v>25</v>
      </c>
      <c r="R796" s="14" t="s">
        <v>229</v>
      </c>
    </row>
    <row r="797" spans="1:18" s="14" customFormat="1" x14ac:dyDescent="0.25">
      <c r="A797" s="14" t="str">
        <f>"10001"</f>
        <v>10001</v>
      </c>
      <c r="B797" s="14" t="str">
        <f>"03533"</f>
        <v>03533</v>
      </c>
      <c r="C797" s="14" t="str">
        <f>"1000"</f>
        <v>1000</v>
      </c>
      <c r="D797" s="14" t="str">
        <f>""</f>
        <v/>
      </c>
      <c r="E797" s="14" t="s">
        <v>20</v>
      </c>
      <c r="F797" s="14" t="s">
        <v>265</v>
      </c>
      <c r="G797" s="14" t="str">
        <f>""</f>
        <v/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226</v>
      </c>
      <c r="P797" s="14" t="s">
        <v>260</v>
      </c>
      <c r="Q797" s="14" t="s">
        <v>25</v>
      </c>
      <c r="R797" s="14" t="s">
        <v>229</v>
      </c>
    </row>
    <row r="798" spans="1:18" s="14" customFormat="1" x14ac:dyDescent="0.25">
      <c r="A798" s="14" t="str">
        <f>"10001"</f>
        <v>10001</v>
      </c>
      <c r="B798" s="14" t="str">
        <f>"03534"</f>
        <v>03534</v>
      </c>
      <c r="C798" s="14" t="str">
        <f>"1000"</f>
        <v>1000</v>
      </c>
      <c r="D798" s="14" t="str">
        <f>""</f>
        <v/>
      </c>
      <c r="E798" s="14" t="s">
        <v>20</v>
      </c>
      <c r="F798" s="14" t="s">
        <v>266</v>
      </c>
      <c r="G798" s="14" t="str">
        <f>""</f>
        <v/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226</v>
      </c>
      <c r="P798" s="14" t="s">
        <v>260</v>
      </c>
      <c r="Q798" s="14" t="s">
        <v>25</v>
      </c>
      <c r="R798" s="14" t="s">
        <v>229</v>
      </c>
    </row>
    <row r="799" spans="1:18" s="14" customFormat="1" x14ac:dyDescent="0.25">
      <c r="A799" s="14" t="str">
        <f>"10001"</f>
        <v>10001</v>
      </c>
      <c r="B799" s="14" t="str">
        <f>"03540"</f>
        <v>03540</v>
      </c>
      <c r="C799" s="14" t="str">
        <f>"1000"</f>
        <v>1000</v>
      </c>
      <c r="D799" s="14" t="str">
        <f>""</f>
        <v/>
      </c>
      <c r="E799" s="14" t="s">
        <v>20</v>
      </c>
      <c r="F799" s="14" t="s">
        <v>267</v>
      </c>
      <c r="G799" s="14" t="str">
        <f>""</f>
        <v/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34</v>
      </c>
      <c r="P799" s="14" t="s">
        <v>260</v>
      </c>
      <c r="Q799" s="14" t="s">
        <v>25</v>
      </c>
      <c r="R799" s="14" t="s">
        <v>35</v>
      </c>
    </row>
    <row r="800" spans="1:18" s="14" customFormat="1" x14ac:dyDescent="0.25">
      <c r="A800" s="14" t="str">
        <f>"10001"</f>
        <v>10001</v>
      </c>
      <c r="B800" s="14" t="str">
        <f>"03541"</f>
        <v>03541</v>
      </c>
      <c r="C800" s="14" t="str">
        <f>"1400"</f>
        <v>1400</v>
      </c>
      <c r="D800" s="14" t="str">
        <f>"03541"</f>
        <v>03541</v>
      </c>
      <c r="E800" s="14" t="s">
        <v>20</v>
      </c>
      <c r="F800" s="14" t="s">
        <v>268</v>
      </c>
      <c r="G800" s="14" t="str">
        <f>""</f>
        <v/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34</v>
      </c>
      <c r="L800" s="14" t="s">
        <v>25</v>
      </c>
      <c r="P800" s="14" t="s">
        <v>260</v>
      </c>
      <c r="Q800" s="14" t="s">
        <v>25</v>
      </c>
      <c r="R800" s="14" t="s">
        <v>35</v>
      </c>
    </row>
    <row r="801" spans="1:18" s="14" customFormat="1" x14ac:dyDescent="0.25">
      <c r="A801" s="14" t="str">
        <f>"10001"</f>
        <v>10001</v>
      </c>
      <c r="B801" s="14" t="str">
        <f>"03543"</f>
        <v>03543</v>
      </c>
      <c r="C801" s="14" t="str">
        <f>"1000"</f>
        <v>1000</v>
      </c>
      <c r="D801" s="14" t="str">
        <f>""</f>
        <v/>
      </c>
      <c r="E801" s="14" t="s">
        <v>20</v>
      </c>
      <c r="F801" s="14" t="s">
        <v>269</v>
      </c>
      <c r="G801" s="14" t="str">
        <f>""</f>
        <v/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226</v>
      </c>
      <c r="P801" s="14" t="s">
        <v>260</v>
      </c>
      <c r="Q801" s="14" t="s">
        <v>25</v>
      </c>
      <c r="R801" s="14" t="s">
        <v>229</v>
      </c>
    </row>
    <row r="802" spans="1:18" s="14" customFormat="1" x14ac:dyDescent="0.25">
      <c r="A802" s="14" t="str">
        <f>"10001"</f>
        <v>10001</v>
      </c>
      <c r="B802" s="14" t="str">
        <f>"03544"</f>
        <v>03544</v>
      </c>
      <c r="C802" s="14" t="str">
        <f>"1400"</f>
        <v>1400</v>
      </c>
      <c r="D802" s="14" t="str">
        <f>""</f>
        <v/>
      </c>
      <c r="E802" s="14" t="s">
        <v>20</v>
      </c>
      <c r="F802" s="14" t="s">
        <v>270</v>
      </c>
      <c r="G802" s="14" t="str">
        <f>""</f>
        <v/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34</v>
      </c>
      <c r="L802" s="14" t="s">
        <v>25</v>
      </c>
      <c r="P802" s="14" t="s">
        <v>260</v>
      </c>
      <c r="Q802" s="14" t="s">
        <v>25</v>
      </c>
      <c r="R802" s="14" t="s">
        <v>35</v>
      </c>
    </row>
    <row r="803" spans="1:18" s="14" customFormat="1" x14ac:dyDescent="0.25">
      <c r="A803" s="14" t="str">
        <f>"10001"</f>
        <v>10001</v>
      </c>
      <c r="B803" s="14" t="str">
        <f>"03545"</f>
        <v>03545</v>
      </c>
      <c r="C803" s="14" t="str">
        <f>"1400"</f>
        <v>1400</v>
      </c>
      <c r="D803" s="14" t="str">
        <f>""</f>
        <v/>
      </c>
      <c r="E803" s="14" t="s">
        <v>20</v>
      </c>
      <c r="F803" s="14" t="s">
        <v>271</v>
      </c>
      <c r="G803" s="14" t="str">
        <f>""</f>
        <v/>
      </c>
      <c r="H803" s="14" t="str">
        <f>" 00"</f>
        <v xml:space="preserve"> 00</v>
      </c>
      <c r="I803" s="14">
        <v>0.01</v>
      </c>
      <c r="J803" s="14">
        <v>9999999.9900000002</v>
      </c>
      <c r="K803" s="14" t="s">
        <v>34</v>
      </c>
      <c r="L803" s="14" t="s">
        <v>25</v>
      </c>
      <c r="P803" s="14" t="s">
        <v>260</v>
      </c>
      <c r="Q803" s="14" t="s">
        <v>25</v>
      </c>
      <c r="R803" s="14" t="s">
        <v>35</v>
      </c>
    </row>
    <row r="804" spans="1:18" s="14" customFormat="1" x14ac:dyDescent="0.25">
      <c r="A804" s="14" t="str">
        <f>"10001"</f>
        <v>10001</v>
      </c>
      <c r="B804" s="14" t="str">
        <f>"03546"</f>
        <v>03546</v>
      </c>
      <c r="C804" s="14" t="str">
        <f>"1400"</f>
        <v>1400</v>
      </c>
      <c r="D804" s="14" t="str">
        <f>""</f>
        <v/>
      </c>
      <c r="E804" s="14" t="s">
        <v>20</v>
      </c>
      <c r="F804" s="14" t="s">
        <v>272</v>
      </c>
      <c r="G804" s="14" t="str">
        <f>""</f>
        <v/>
      </c>
      <c r="H804" s="14" t="str">
        <f>" 00"</f>
        <v xml:space="preserve"> 00</v>
      </c>
      <c r="I804" s="14">
        <v>0.01</v>
      </c>
      <c r="J804" s="14">
        <v>9999999.9900000002</v>
      </c>
      <c r="K804" s="14" t="s">
        <v>34</v>
      </c>
      <c r="L804" s="14" t="s">
        <v>25</v>
      </c>
      <c r="P804" s="14" t="s">
        <v>260</v>
      </c>
      <c r="Q804" s="14" t="s">
        <v>25</v>
      </c>
      <c r="R804" s="14" t="s">
        <v>35</v>
      </c>
    </row>
    <row r="805" spans="1:18" s="14" customFormat="1" x14ac:dyDescent="0.25">
      <c r="A805" s="14" t="str">
        <f>"10001"</f>
        <v>10001</v>
      </c>
      <c r="B805" s="14" t="str">
        <f>"03560"</f>
        <v>03560</v>
      </c>
      <c r="C805" s="14" t="str">
        <f>"1000"</f>
        <v>1000</v>
      </c>
      <c r="D805" s="14" t="str">
        <f>""</f>
        <v/>
      </c>
      <c r="E805" s="14" t="s">
        <v>20</v>
      </c>
      <c r="F805" s="14" t="s">
        <v>273</v>
      </c>
      <c r="G805" s="14" t="str">
        <f>""</f>
        <v/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34</v>
      </c>
      <c r="P805" s="14" t="s">
        <v>260</v>
      </c>
      <c r="Q805" s="14" t="s">
        <v>25</v>
      </c>
      <c r="R805" s="14" t="s">
        <v>35</v>
      </c>
    </row>
    <row r="806" spans="1:18" s="14" customFormat="1" x14ac:dyDescent="0.25">
      <c r="A806" s="14" t="str">
        <f>"10001"</f>
        <v>10001</v>
      </c>
      <c r="B806" s="14" t="str">
        <f>"03570"</f>
        <v>03570</v>
      </c>
      <c r="C806" s="14" t="str">
        <f>"1000"</f>
        <v>1000</v>
      </c>
      <c r="D806" s="14" t="str">
        <f>""</f>
        <v/>
      </c>
      <c r="E806" s="14" t="s">
        <v>20</v>
      </c>
      <c r="F806" s="14" t="s">
        <v>274</v>
      </c>
      <c r="G806" s="14" t="str">
        <f>""</f>
        <v/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34</v>
      </c>
      <c r="P806" s="14" t="s">
        <v>260</v>
      </c>
      <c r="Q806" s="14" t="s">
        <v>25</v>
      </c>
      <c r="R806" s="14" t="s">
        <v>35</v>
      </c>
    </row>
    <row r="807" spans="1:18" s="14" customFormat="1" x14ac:dyDescent="0.25">
      <c r="A807" s="14" t="str">
        <f>"10001"</f>
        <v>10001</v>
      </c>
      <c r="B807" s="14" t="str">
        <f>"03575"</f>
        <v>03575</v>
      </c>
      <c r="C807" s="14" t="str">
        <f>"1000"</f>
        <v>1000</v>
      </c>
      <c r="D807" s="14" t="str">
        <f>""</f>
        <v/>
      </c>
      <c r="E807" s="14" t="s">
        <v>20</v>
      </c>
      <c r="F807" s="14" t="s">
        <v>275</v>
      </c>
      <c r="G807" s="14" t="str">
        <f>""</f>
        <v/>
      </c>
      <c r="H807" s="14" t="str">
        <f>" 00"</f>
        <v xml:space="preserve"> 00</v>
      </c>
      <c r="I807" s="14">
        <v>0.01</v>
      </c>
      <c r="J807" s="14">
        <v>9999999.9900000002</v>
      </c>
      <c r="K807" s="14" t="s">
        <v>34</v>
      </c>
      <c r="P807" s="14" t="s">
        <v>260</v>
      </c>
      <c r="Q807" s="14" t="s">
        <v>25</v>
      </c>
      <c r="R807" s="14" t="s">
        <v>35</v>
      </c>
    </row>
    <row r="808" spans="1:18" s="14" customFormat="1" x14ac:dyDescent="0.25">
      <c r="A808" s="14" t="str">
        <f>"10001"</f>
        <v>10001</v>
      </c>
      <c r="B808" s="14" t="str">
        <f>"03581"</f>
        <v>03581</v>
      </c>
      <c r="C808" s="14" t="str">
        <f>"1000"</f>
        <v>1000</v>
      </c>
      <c r="D808" s="14" t="str">
        <f>""</f>
        <v/>
      </c>
      <c r="E808" s="14" t="s">
        <v>20</v>
      </c>
      <c r="F808" s="14" t="s">
        <v>276</v>
      </c>
      <c r="G808" s="14" t="str">
        <f>""</f>
        <v/>
      </c>
      <c r="H808" s="14" t="str">
        <f>" 00"</f>
        <v xml:space="preserve"> 00</v>
      </c>
      <c r="I808" s="14">
        <v>0.01</v>
      </c>
      <c r="J808" s="14">
        <v>9999999.9900000002</v>
      </c>
      <c r="K808" s="14" t="s">
        <v>34</v>
      </c>
      <c r="P808" s="14" t="s">
        <v>260</v>
      </c>
      <c r="Q808" s="14" t="s">
        <v>25</v>
      </c>
      <c r="R808" s="14" t="s">
        <v>35</v>
      </c>
    </row>
    <row r="809" spans="1:18" s="14" customFormat="1" x14ac:dyDescent="0.25">
      <c r="A809" s="14" t="str">
        <f>"10001"</f>
        <v>10001</v>
      </c>
      <c r="B809" s="14" t="str">
        <f>"03585"</f>
        <v>03585</v>
      </c>
      <c r="C809" s="14" t="str">
        <f>"1000"</f>
        <v>1000</v>
      </c>
      <c r="D809" s="14" t="str">
        <f>""</f>
        <v/>
      </c>
      <c r="E809" s="14" t="s">
        <v>20</v>
      </c>
      <c r="F809" s="14" t="s">
        <v>277</v>
      </c>
      <c r="G809" s="14" t="str">
        <f>""</f>
        <v/>
      </c>
      <c r="H809" s="14" t="str">
        <f>" 00"</f>
        <v xml:space="preserve"> 00</v>
      </c>
      <c r="I809" s="14">
        <v>0.01</v>
      </c>
      <c r="J809" s="14">
        <v>9999999.9900000002</v>
      </c>
      <c r="K809" s="14" t="s">
        <v>34</v>
      </c>
      <c r="P809" s="14" t="s">
        <v>260</v>
      </c>
      <c r="Q809" s="14" t="s">
        <v>25</v>
      </c>
      <c r="R809" s="14" t="s">
        <v>35</v>
      </c>
    </row>
    <row r="810" spans="1:18" s="14" customFormat="1" x14ac:dyDescent="0.25">
      <c r="A810" s="14" t="str">
        <f>"10001"</f>
        <v>10001</v>
      </c>
      <c r="B810" s="14" t="str">
        <f>"03591"</f>
        <v>03591</v>
      </c>
      <c r="C810" s="14" t="str">
        <f>"1000"</f>
        <v>1000</v>
      </c>
      <c r="D810" s="14" t="str">
        <f>""</f>
        <v/>
      </c>
      <c r="E810" s="14" t="s">
        <v>20</v>
      </c>
      <c r="F810" s="14" t="s">
        <v>278</v>
      </c>
      <c r="G810" s="14" t="str">
        <f>""</f>
        <v/>
      </c>
      <c r="H810" s="14" t="str">
        <f>" 00"</f>
        <v xml:space="preserve"> 00</v>
      </c>
      <c r="I810" s="14">
        <v>0.01</v>
      </c>
      <c r="J810" s="14">
        <v>9999999.9900000002</v>
      </c>
      <c r="K810" s="14" t="s">
        <v>34</v>
      </c>
      <c r="P810" s="14" t="s">
        <v>260</v>
      </c>
      <c r="Q810" s="14" t="s">
        <v>25</v>
      </c>
      <c r="R810" s="14" t="s">
        <v>35</v>
      </c>
    </row>
    <row r="811" spans="1:18" s="14" customFormat="1" x14ac:dyDescent="0.25">
      <c r="A811" s="14" t="str">
        <f>"10001"</f>
        <v>10001</v>
      </c>
      <c r="B811" s="14" t="str">
        <f>"03600"</f>
        <v>03600</v>
      </c>
      <c r="C811" s="14" t="str">
        <f>"1000"</f>
        <v>1000</v>
      </c>
      <c r="D811" s="14" t="str">
        <f>""</f>
        <v/>
      </c>
      <c r="E811" s="14" t="s">
        <v>20</v>
      </c>
      <c r="F811" s="14" t="s">
        <v>279</v>
      </c>
      <c r="G811" s="14" t="str">
        <f>""</f>
        <v/>
      </c>
      <c r="H811" s="14" t="str">
        <f>" 00"</f>
        <v xml:space="preserve"> 00</v>
      </c>
      <c r="I811" s="14">
        <v>0.01</v>
      </c>
      <c r="J811" s="14">
        <v>9999999.9900000002</v>
      </c>
      <c r="K811" s="14" t="s">
        <v>34</v>
      </c>
      <c r="P811" s="14" t="s">
        <v>260</v>
      </c>
      <c r="Q811" s="14" t="s">
        <v>25</v>
      </c>
      <c r="R811" s="14" t="s">
        <v>35</v>
      </c>
    </row>
    <row r="812" spans="1:18" s="14" customFormat="1" x14ac:dyDescent="0.25">
      <c r="A812" s="14" t="str">
        <f>"10001"</f>
        <v>10001</v>
      </c>
      <c r="B812" s="14" t="str">
        <f>"03611"</f>
        <v>03611</v>
      </c>
      <c r="C812" s="14" t="str">
        <f>"1000"</f>
        <v>1000</v>
      </c>
      <c r="D812" s="14" t="str">
        <f>""</f>
        <v/>
      </c>
      <c r="E812" s="14" t="s">
        <v>20</v>
      </c>
      <c r="F812" s="14" t="s">
        <v>280</v>
      </c>
      <c r="G812" s="14" t="str">
        <f>""</f>
        <v/>
      </c>
      <c r="H812" s="14" t="str">
        <f>" 00"</f>
        <v xml:space="preserve"> 00</v>
      </c>
      <c r="I812" s="14">
        <v>0.01</v>
      </c>
      <c r="J812" s="14">
        <v>9999999.9900000002</v>
      </c>
      <c r="K812" s="14" t="s">
        <v>34</v>
      </c>
      <c r="P812" s="14" t="s">
        <v>260</v>
      </c>
      <c r="Q812" s="14" t="s">
        <v>25</v>
      </c>
      <c r="R812" s="14" t="s">
        <v>35</v>
      </c>
    </row>
    <row r="813" spans="1:18" s="14" customFormat="1" x14ac:dyDescent="0.25">
      <c r="A813" s="14" t="str">
        <f>"10001"</f>
        <v>10001</v>
      </c>
      <c r="B813" s="14" t="str">
        <f>"03612"</f>
        <v>03612</v>
      </c>
      <c r="C813" s="14" t="str">
        <f>"1000"</f>
        <v>1000</v>
      </c>
      <c r="D813" s="14" t="str">
        <f>""</f>
        <v/>
      </c>
      <c r="E813" s="14" t="s">
        <v>20</v>
      </c>
      <c r="F813" s="14" t="s">
        <v>281</v>
      </c>
      <c r="G813" s="14" t="str">
        <f>""</f>
        <v/>
      </c>
      <c r="H813" s="14" t="str">
        <f>" 00"</f>
        <v xml:space="preserve"> 00</v>
      </c>
      <c r="I813" s="14">
        <v>0.01</v>
      </c>
      <c r="J813" s="14">
        <v>9999999.9900000002</v>
      </c>
      <c r="K813" s="14" t="s">
        <v>34</v>
      </c>
      <c r="P813" s="14" t="s">
        <v>260</v>
      </c>
      <c r="Q813" s="14" t="s">
        <v>25</v>
      </c>
      <c r="R813" s="14" t="s">
        <v>35</v>
      </c>
    </row>
    <row r="814" spans="1:18" s="14" customFormat="1" x14ac:dyDescent="0.25">
      <c r="A814" s="14" t="str">
        <f>"10001"</f>
        <v>10001</v>
      </c>
      <c r="B814" s="14" t="str">
        <f>"03613"</f>
        <v>03613</v>
      </c>
      <c r="C814" s="14" t="str">
        <f>"1000"</f>
        <v>1000</v>
      </c>
      <c r="D814" s="14" t="str">
        <f>""</f>
        <v/>
      </c>
      <c r="E814" s="14" t="s">
        <v>20</v>
      </c>
      <c r="F814" s="14" t="s">
        <v>282</v>
      </c>
      <c r="G814" s="14" t="str">
        <f>""</f>
        <v/>
      </c>
      <c r="H814" s="14" t="str">
        <f>" 00"</f>
        <v xml:space="preserve"> 00</v>
      </c>
      <c r="I814" s="14">
        <v>0.01</v>
      </c>
      <c r="J814" s="14">
        <v>9999999.9900000002</v>
      </c>
      <c r="K814" s="14" t="s">
        <v>34</v>
      </c>
      <c r="P814" s="14" t="s">
        <v>260</v>
      </c>
      <c r="Q814" s="14" t="s">
        <v>25</v>
      </c>
      <c r="R814" s="14" t="s">
        <v>35</v>
      </c>
    </row>
    <row r="815" spans="1:18" s="14" customFormat="1" x14ac:dyDescent="0.25">
      <c r="A815" s="14" t="str">
        <f>"10001"</f>
        <v>10001</v>
      </c>
      <c r="B815" s="14" t="str">
        <f>"03614"</f>
        <v>03614</v>
      </c>
      <c r="C815" s="14" t="str">
        <f>"1000"</f>
        <v>1000</v>
      </c>
      <c r="D815" s="14" t="str">
        <f>""</f>
        <v/>
      </c>
      <c r="E815" s="14" t="s">
        <v>20</v>
      </c>
      <c r="F815" s="14" t="s">
        <v>283</v>
      </c>
      <c r="G815" s="14" t="str">
        <f>""</f>
        <v/>
      </c>
      <c r="H815" s="14" t="str">
        <f>" 00"</f>
        <v xml:space="preserve"> 00</v>
      </c>
      <c r="I815" s="14">
        <v>0.01</v>
      </c>
      <c r="J815" s="14">
        <v>9999999.9900000002</v>
      </c>
      <c r="K815" s="14" t="s">
        <v>34</v>
      </c>
      <c r="P815" s="14" t="s">
        <v>260</v>
      </c>
      <c r="Q815" s="14" t="s">
        <v>25</v>
      </c>
      <c r="R815" s="14" t="s">
        <v>35</v>
      </c>
    </row>
    <row r="816" spans="1:18" s="14" customFormat="1" x14ac:dyDescent="0.25">
      <c r="A816" s="14" t="str">
        <f>"10001"</f>
        <v>10001</v>
      </c>
      <c r="B816" s="14" t="str">
        <f>"03615"</f>
        <v>03615</v>
      </c>
      <c r="C816" s="14" t="str">
        <f>"1000"</f>
        <v>1000</v>
      </c>
      <c r="D816" s="14" t="str">
        <f>""</f>
        <v/>
      </c>
      <c r="E816" s="14" t="s">
        <v>20</v>
      </c>
      <c r="F816" s="14" t="s">
        <v>284</v>
      </c>
      <c r="G816" s="14" t="str">
        <f>""</f>
        <v/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34</v>
      </c>
      <c r="P816" s="14" t="s">
        <v>260</v>
      </c>
      <c r="Q816" s="14" t="s">
        <v>25</v>
      </c>
      <c r="R816" s="14" t="s">
        <v>35</v>
      </c>
    </row>
    <row r="817" spans="1:18" s="14" customFormat="1" x14ac:dyDescent="0.25">
      <c r="A817" s="14" t="str">
        <f>"10001"</f>
        <v>10001</v>
      </c>
      <c r="B817" s="14" t="str">
        <f>"03616"</f>
        <v>03616</v>
      </c>
      <c r="C817" s="14" t="str">
        <f>"1000"</f>
        <v>1000</v>
      </c>
      <c r="D817" s="14" t="str">
        <f>""</f>
        <v/>
      </c>
      <c r="E817" s="14" t="s">
        <v>20</v>
      </c>
      <c r="F817" s="14" t="s">
        <v>285</v>
      </c>
      <c r="G817" s="14" t="str">
        <f>""</f>
        <v/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34</v>
      </c>
      <c r="P817" s="14" t="s">
        <v>260</v>
      </c>
      <c r="Q817" s="14" t="s">
        <v>25</v>
      </c>
      <c r="R817" s="14" t="s">
        <v>35</v>
      </c>
    </row>
    <row r="818" spans="1:18" s="14" customFormat="1" x14ac:dyDescent="0.25">
      <c r="A818" s="14" t="str">
        <f>"10001"</f>
        <v>10001</v>
      </c>
      <c r="B818" s="14" t="str">
        <f>"03620"</f>
        <v>03620</v>
      </c>
      <c r="C818" s="14" t="str">
        <f>"1000"</f>
        <v>1000</v>
      </c>
      <c r="D818" s="14" t="str">
        <f>""</f>
        <v/>
      </c>
      <c r="E818" s="14" t="s">
        <v>20</v>
      </c>
      <c r="F818" s="14" t="s">
        <v>286</v>
      </c>
      <c r="G818" s="14" t="str">
        <f>""</f>
        <v/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34</v>
      </c>
      <c r="P818" s="14" t="s">
        <v>260</v>
      </c>
      <c r="Q818" s="14" t="s">
        <v>25</v>
      </c>
      <c r="R818" s="14" t="s">
        <v>35</v>
      </c>
    </row>
    <row r="819" spans="1:18" s="14" customFormat="1" x14ac:dyDescent="0.25">
      <c r="A819" s="14" t="str">
        <f>"10001"</f>
        <v>10001</v>
      </c>
      <c r="B819" s="14" t="str">
        <f>"03630"</f>
        <v>03630</v>
      </c>
      <c r="C819" s="14" t="str">
        <f>"1000"</f>
        <v>1000</v>
      </c>
      <c r="D819" s="14" t="str">
        <f>""</f>
        <v/>
      </c>
      <c r="E819" s="14" t="s">
        <v>20</v>
      </c>
      <c r="F819" s="14" t="s">
        <v>287</v>
      </c>
      <c r="G819" s="14" t="str">
        <f>""</f>
        <v/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34</v>
      </c>
      <c r="P819" s="14" t="s">
        <v>260</v>
      </c>
      <c r="Q819" s="14" t="s">
        <v>25</v>
      </c>
      <c r="R819" s="14" t="s">
        <v>35</v>
      </c>
    </row>
    <row r="820" spans="1:18" s="14" customFormat="1" x14ac:dyDescent="0.25">
      <c r="A820" s="14" t="str">
        <f>"10001"</f>
        <v>10001</v>
      </c>
      <c r="B820" s="14" t="str">
        <f>"03640"</f>
        <v>03640</v>
      </c>
      <c r="C820" s="14" t="str">
        <f>"1000"</f>
        <v>1000</v>
      </c>
      <c r="D820" s="14" t="str">
        <f>""</f>
        <v/>
      </c>
      <c r="E820" s="14" t="s">
        <v>20</v>
      </c>
      <c r="F820" s="14" t="s">
        <v>288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34</v>
      </c>
      <c r="P820" s="14" t="s">
        <v>260</v>
      </c>
      <c r="Q820" s="14" t="s">
        <v>25</v>
      </c>
      <c r="R820" s="14" t="s">
        <v>35</v>
      </c>
    </row>
    <row r="821" spans="1:18" s="14" customFormat="1" x14ac:dyDescent="0.25">
      <c r="A821" s="14" t="str">
        <f>"10001"</f>
        <v>10001</v>
      </c>
      <c r="B821" s="14" t="str">
        <f>"03650"</f>
        <v>03650</v>
      </c>
      <c r="C821" s="14" t="str">
        <f>"1000"</f>
        <v>1000</v>
      </c>
      <c r="D821" s="14" t="str">
        <f>""</f>
        <v/>
      </c>
      <c r="E821" s="14" t="s">
        <v>20</v>
      </c>
      <c r="F821" s="14" t="s">
        <v>289</v>
      </c>
      <c r="G821" s="14" t="str">
        <f>""</f>
        <v/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34</v>
      </c>
      <c r="P821" s="14" t="s">
        <v>260</v>
      </c>
      <c r="Q821" s="14" t="s">
        <v>25</v>
      </c>
      <c r="R821" s="14" t="s">
        <v>35</v>
      </c>
    </row>
    <row r="822" spans="1:18" s="14" customFormat="1" x14ac:dyDescent="0.25">
      <c r="A822" s="14" t="str">
        <f>"10001"</f>
        <v>10001</v>
      </c>
      <c r="B822" s="14" t="str">
        <f>"03660"</f>
        <v>03660</v>
      </c>
      <c r="C822" s="14" t="str">
        <f>"1000"</f>
        <v>1000</v>
      </c>
      <c r="D822" s="14" t="str">
        <f>""</f>
        <v/>
      </c>
      <c r="E822" s="14" t="s">
        <v>20</v>
      </c>
      <c r="F822" s="14" t="s">
        <v>290</v>
      </c>
      <c r="G822" s="14" t="str">
        <f>""</f>
        <v/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34</v>
      </c>
      <c r="P822" s="14" t="s">
        <v>260</v>
      </c>
      <c r="Q822" s="14" t="s">
        <v>25</v>
      </c>
      <c r="R822" s="14" t="s">
        <v>35</v>
      </c>
    </row>
    <row r="823" spans="1:18" s="14" customFormat="1" x14ac:dyDescent="0.25">
      <c r="A823" s="14" t="str">
        <f>"10001"</f>
        <v>10001</v>
      </c>
      <c r="B823" s="14" t="str">
        <f>"03680"</f>
        <v>03680</v>
      </c>
      <c r="C823" s="14" t="str">
        <f>"1000"</f>
        <v>1000</v>
      </c>
      <c r="D823" s="14" t="str">
        <f>""</f>
        <v/>
      </c>
      <c r="E823" s="14" t="s">
        <v>20</v>
      </c>
      <c r="F823" s="14" t="s">
        <v>291</v>
      </c>
      <c r="G823" s="14" t="str">
        <f>""</f>
        <v/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34</v>
      </c>
      <c r="P823" s="14" t="s">
        <v>260</v>
      </c>
      <c r="Q823" s="14" t="s">
        <v>25</v>
      </c>
      <c r="R823" s="14" t="s">
        <v>35</v>
      </c>
    </row>
    <row r="824" spans="1:18" s="14" customFormat="1" x14ac:dyDescent="0.25">
      <c r="A824" s="14" t="str">
        <f>"10001"</f>
        <v>10001</v>
      </c>
      <c r="B824" s="14" t="str">
        <f>"03681"</f>
        <v>03681</v>
      </c>
      <c r="C824" s="14" t="str">
        <f>"1000"</f>
        <v>1000</v>
      </c>
      <c r="D824" s="14" t="str">
        <f>""</f>
        <v/>
      </c>
      <c r="E824" s="14" t="s">
        <v>20</v>
      </c>
      <c r="F824" s="14" t="s">
        <v>292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34</v>
      </c>
      <c r="P824" s="14" t="s">
        <v>260</v>
      </c>
      <c r="Q824" s="14" t="s">
        <v>25</v>
      </c>
      <c r="R824" s="14" t="s">
        <v>35</v>
      </c>
    </row>
    <row r="825" spans="1:18" s="14" customFormat="1" x14ac:dyDescent="0.25">
      <c r="A825" s="14" t="str">
        <f>"10001"</f>
        <v>10001</v>
      </c>
      <c r="B825" s="14" t="str">
        <f>"03682"</f>
        <v>03682</v>
      </c>
      <c r="C825" s="14" t="str">
        <f>"1000"</f>
        <v>1000</v>
      </c>
      <c r="D825" s="14" t="str">
        <f>""</f>
        <v/>
      </c>
      <c r="E825" s="14" t="s">
        <v>20</v>
      </c>
      <c r="F825" s="14" t="s">
        <v>293</v>
      </c>
      <c r="G825" s="14" t="str">
        <f>""</f>
        <v/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34</v>
      </c>
      <c r="P825" s="14" t="s">
        <v>260</v>
      </c>
      <c r="Q825" s="14" t="s">
        <v>25</v>
      </c>
      <c r="R825" s="14" t="s">
        <v>35</v>
      </c>
    </row>
    <row r="826" spans="1:18" s="14" customFormat="1" x14ac:dyDescent="0.25">
      <c r="A826" s="14" t="str">
        <f>"10001"</f>
        <v>10001</v>
      </c>
      <c r="B826" s="14" t="str">
        <f>"03683"</f>
        <v>03683</v>
      </c>
      <c r="C826" s="14" t="str">
        <f>"1000"</f>
        <v>1000</v>
      </c>
      <c r="D826" s="14" t="str">
        <f>""</f>
        <v/>
      </c>
      <c r="E826" s="14" t="s">
        <v>20</v>
      </c>
      <c r="F826" s="14" t="s">
        <v>294</v>
      </c>
      <c r="G826" s="14" t="str">
        <f>""</f>
        <v/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34</v>
      </c>
      <c r="P826" s="14" t="s">
        <v>260</v>
      </c>
      <c r="Q826" s="14" t="s">
        <v>25</v>
      </c>
      <c r="R826" s="14" t="s">
        <v>35</v>
      </c>
    </row>
    <row r="827" spans="1:18" s="14" customFormat="1" x14ac:dyDescent="0.25">
      <c r="A827" s="14" t="str">
        <f>"10001"</f>
        <v>10001</v>
      </c>
      <c r="B827" s="14" t="str">
        <f>"03684"</f>
        <v>03684</v>
      </c>
      <c r="C827" s="14" t="str">
        <f>"1000"</f>
        <v>1000</v>
      </c>
      <c r="D827" s="14" t="str">
        <f>""</f>
        <v/>
      </c>
      <c r="E827" s="14" t="s">
        <v>20</v>
      </c>
      <c r="F827" s="14" t="s">
        <v>295</v>
      </c>
      <c r="G827" s="14" t="str">
        <f>""</f>
        <v/>
      </c>
      <c r="H827" s="14" t="str">
        <f>" 00"</f>
        <v xml:space="preserve"> 00</v>
      </c>
      <c r="I827" s="14">
        <v>0.01</v>
      </c>
      <c r="J827" s="14">
        <v>9999999.9900000002</v>
      </c>
      <c r="K827" s="14" t="s">
        <v>34</v>
      </c>
      <c r="P827" s="14" t="s">
        <v>260</v>
      </c>
      <c r="Q827" s="14" t="s">
        <v>25</v>
      </c>
      <c r="R827" s="14" t="s">
        <v>35</v>
      </c>
    </row>
    <row r="828" spans="1:18" s="14" customFormat="1" x14ac:dyDescent="0.25">
      <c r="A828" s="14" t="str">
        <f>"10001"</f>
        <v>10001</v>
      </c>
      <c r="B828" s="14" t="str">
        <f>"03685"</f>
        <v>03685</v>
      </c>
      <c r="C828" s="14" t="str">
        <f>"1000"</f>
        <v>1000</v>
      </c>
      <c r="D828" s="14" t="str">
        <f>""</f>
        <v/>
      </c>
      <c r="E828" s="14" t="s">
        <v>20</v>
      </c>
      <c r="F828" s="14" t="s">
        <v>296</v>
      </c>
      <c r="G828" s="14" t="str">
        <f>""</f>
        <v/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34</v>
      </c>
      <c r="P828" s="14" t="s">
        <v>260</v>
      </c>
      <c r="Q828" s="14" t="s">
        <v>25</v>
      </c>
      <c r="R828" s="14" t="s">
        <v>35</v>
      </c>
    </row>
    <row r="829" spans="1:18" s="14" customFormat="1" x14ac:dyDescent="0.25">
      <c r="A829" s="14" t="str">
        <f>"10001"</f>
        <v>10001</v>
      </c>
      <c r="B829" s="14" t="str">
        <f>"03686"</f>
        <v>03686</v>
      </c>
      <c r="C829" s="14" t="str">
        <f>"1000"</f>
        <v>1000</v>
      </c>
      <c r="D829" s="14" t="str">
        <f>""</f>
        <v/>
      </c>
      <c r="E829" s="14" t="s">
        <v>20</v>
      </c>
      <c r="F829" s="14" t="s">
        <v>297</v>
      </c>
      <c r="G829" s="14" t="str">
        <f>""</f>
        <v/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34</v>
      </c>
      <c r="P829" s="14" t="s">
        <v>260</v>
      </c>
      <c r="Q829" s="14" t="s">
        <v>25</v>
      </c>
      <c r="R829" s="14" t="s">
        <v>35</v>
      </c>
    </row>
    <row r="830" spans="1:18" s="14" customFormat="1" x14ac:dyDescent="0.25">
      <c r="A830" s="14" t="str">
        <f>"10001"</f>
        <v>10001</v>
      </c>
      <c r="B830" s="14" t="str">
        <f>"03687"</f>
        <v>03687</v>
      </c>
      <c r="C830" s="14" t="str">
        <f>"1000"</f>
        <v>1000</v>
      </c>
      <c r="D830" s="14" t="str">
        <f>""</f>
        <v/>
      </c>
      <c r="E830" s="14" t="s">
        <v>20</v>
      </c>
      <c r="F830" s="14" t="s">
        <v>298</v>
      </c>
      <c r="G830" s="14" t="str">
        <f>""</f>
        <v/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34</v>
      </c>
      <c r="P830" s="14" t="s">
        <v>260</v>
      </c>
      <c r="Q830" s="14" t="s">
        <v>25</v>
      </c>
      <c r="R830" s="14" t="s">
        <v>35</v>
      </c>
    </row>
    <row r="831" spans="1:18" s="14" customFormat="1" x14ac:dyDescent="0.25">
      <c r="A831" s="14" t="str">
        <f>"10001"</f>
        <v>10001</v>
      </c>
      <c r="B831" s="14" t="str">
        <f>"03688"</f>
        <v>03688</v>
      </c>
      <c r="C831" s="14" t="str">
        <f>"1000"</f>
        <v>1000</v>
      </c>
      <c r="D831" s="14" t="str">
        <f>""</f>
        <v/>
      </c>
      <c r="E831" s="14" t="s">
        <v>20</v>
      </c>
      <c r="F831" s="14" t="s">
        <v>299</v>
      </c>
      <c r="G831" s="14" t="str">
        <f>""</f>
        <v/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34</v>
      </c>
      <c r="P831" s="14" t="s">
        <v>260</v>
      </c>
      <c r="Q831" s="14" t="s">
        <v>25</v>
      </c>
      <c r="R831" s="14" t="s">
        <v>35</v>
      </c>
    </row>
    <row r="832" spans="1:18" s="14" customFormat="1" x14ac:dyDescent="0.25">
      <c r="A832" s="14" t="str">
        <f>"10001"</f>
        <v>10001</v>
      </c>
      <c r="B832" s="14" t="str">
        <f>"03689"</f>
        <v>03689</v>
      </c>
      <c r="C832" s="14" t="str">
        <f>"1000"</f>
        <v>1000</v>
      </c>
      <c r="D832" s="14" t="str">
        <f>""</f>
        <v/>
      </c>
      <c r="E832" s="14" t="s">
        <v>20</v>
      </c>
      <c r="F832" s="14" t="s">
        <v>300</v>
      </c>
      <c r="G832" s="14" t="str">
        <f>""</f>
        <v/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34</v>
      </c>
      <c r="P832" s="14" t="s">
        <v>260</v>
      </c>
      <c r="Q832" s="14" t="s">
        <v>25</v>
      </c>
      <c r="R832" s="14" t="s">
        <v>35</v>
      </c>
    </row>
    <row r="833" spans="1:18" s="14" customFormat="1" x14ac:dyDescent="0.25">
      <c r="A833" s="14" t="str">
        <f>"10001"</f>
        <v>10001</v>
      </c>
      <c r="B833" s="14" t="str">
        <f>"03691"</f>
        <v>03691</v>
      </c>
      <c r="C833" s="14" t="str">
        <f>"1000"</f>
        <v>1000</v>
      </c>
      <c r="D833" s="14" t="str">
        <f>""</f>
        <v/>
      </c>
      <c r="E833" s="14" t="s">
        <v>20</v>
      </c>
      <c r="F833" s="14" t="s">
        <v>301</v>
      </c>
      <c r="G833" s="14" t="str">
        <f>""</f>
        <v/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34</v>
      </c>
      <c r="P833" s="14" t="s">
        <v>260</v>
      </c>
      <c r="Q833" s="14" t="s">
        <v>25</v>
      </c>
      <c r="R833" s="14" t="s">
        <v>35</v>
      </c>
    </row>
    <row r="834" spans="1:18" s="14" customFormat="1" x14ac:dyDescent="0.25">
      <c r="A834" s="14" t="str">
        <f>"10001"</f>
        <v>10001</v>
      </c>
      <c r="B834" s="14" t="str">
        <f>"03700"</f>
        <v>03700</v>
      </c>
      <c r="C834" s="14" t="str">
        <f>"1000"</f>
        <v>1000</v>
      </c>
      <c r="D834" s="14" t="str">
        <f>""</f>
        <v/>
      </c>
      <c r="E834" s="14" t="s">
        <v>20</v>
      </c>
      <c r="F834" s="14" t="s">
        <v>302</v>
      </c>
      <c r="G834" s="14" t="str">
        <f>""</f>
        <v/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34</v>
      </c>
      <c r="P834" s="14" t="s">
        <v>260</v>
      </c>
      <c r="Q834" s="14" t="s">
        <v>25</v>
      </c>
      <c r="R834" s="14" t="s">
        <v>35</v>
      </c>
    </row>
    <row r="835" spans="1:18" s="14" customFormat="1" x14ac:dyDescent="0.25">
      <c r="A835" s="14" t="str">
        <f>"10001"</f>
        <v>10001</v>
      </c>
      <c r="B835" s="14" t="str">
        <f>"03710"</f>
        <v>03710</v>
      </c>
      <c r="C835" s="14" t="str">
        <f>"1000"</f>
        <v>1000</v>
      </c>
      <c r="D835" s="14" t="str">
        <f>""</f>
        <v/>
      </c>
      <c r="E835" s="14" t="s">
        <v>20</v>
      </c>
      <c r="F835" s="14" t="s">
        <v>303</v>
      </c>
      <c r="G835" s="14" t="str">
        <f>""</f>
        <v/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34</v>
      </c>
      <c r="P835" s="14" t="s">
        <v>260</v>
      </c>
      <c r="Q835" s="14" t="s">
        <v>25</v>
      </c>
      <c r="R835" s="14" t="s">
        <v>35</v>
      </c>
    </row>
    <row r="836" spans="1:18" s="14" customFormat="1" x14ac:dyDescent="0.25">
      <c r="A836" s="14" t="str">
        <f>"10001"</f>
        <v>10001</v>
      </c>
      <c r="B836" s="14" t="str">
        <f>"03720"</f>
        <v>03720</v>
      </c>
      <c r="C836" s="14" t="str">
        <f>"1000"</f>
        <v>1000</v>
      </c>
      <c r="D836" s="14" t="str">
        <f>""</f>
        <v/>
      </c>
      <c r="E836" s="14" t="s">
        <v>20</v>
      </c>
      <c r="F836" s="14" t="s">
        <v>304</v>
      </c>
      <c r="G836" s="14" t="str">
        <f>""</f>
        <v/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34</v>
      </c>
      <c r="P836" s="14" t="s">
        <v>260</v>
      </c>
      <c r="Q836" s="14" t="s">
        <v>25</v>
      </c>
      <c r="R836" s="14" t="s">
        <v>35</v>
      </c>
    </row>
    <row r="837" spans="1:18" s="14" customFormat="1" x14ac:dyDescent="0.25">
      <c r="A837" s="14" t="str">
        <f>"10001"</f>
        <v>10001</v>
      </c>
      <c r="B837" s="14" t="str">
        <f>"03730"</f>
        <v>03730</v>
      </c>
      <c r="C837" s="14" t="str">
        <f>"1000"</f>
        <v>1000</v>
      </c>
      <c r="D837" s="14" t="str">
        <f>""</f>
        <v/>
      </c>
      <c r="E837" s="14" t="s">
        <v>20</v>
      </c>
      <c r="F837" s="14" t="s">
        <v>305</v>
      </c>
      <c r="G837" s="14" t="str">
        <f>""</f>
        <v/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34</v>
      </c>
      <c r="P837" s="14" t="s">
        <v>260</v>
      </c>
      <c r="Q837" s="14" t="s">
        <v>25</v>
      </c>
      <c r="R837" s="14" t="s">
        <v>35</v>
      </c>
    </row>
    <row r="838" spans="1:18" s="14" customFormat="1" x14ac:dyDescent="0.25">
      <c r="A838" s="14" t="str">
        <f>"10001"</f>
        <v>10001</v>
      </c>
      <c r="B838" s="14" t="str">
        <f>"03770"</f>
        <v>03770</v>
      </c>
      <c r="C838" s="14" t="str">
        <f>"1000"</f>
        <v>1000</v>
      </c>
      <c r="D838" s="14" t="str">
        <f>""</f>
        <v/>
      </c>
      <c r="E838" s="14" t="s">
        <v>20</v>
      </c>
      <c r="F838" s="14" t="s">
        <v>306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34</v>
      </c>
      <c r="P838" s="14" t="s">
        <v>260</v>
      </c>
      <c r="Q838" s="14" t="s">
        <v>25</v>
      </c>
      <c r="R838" s="14" t="s">
        <v>35</v>
      </c>
    </row>
    <row r="839" spans="1:18" s="14" customFormat="1" x14ac:dyDescent="0.25">
      <c r="A839" s="14" t="str">
        <f>"10001"</f>
        <v>10001</v>
      </c>
      <c r="B839" s="14" t="str">
        <f>"03775"</f>
        <v>03775</v>
      </c>
      <c r="C839" s="14" t="str">
        <f>"1300"</f>
        <v>1300</v>
      </c>
      <c r="D839" s="14" t="str">
        <f>"03775"</f>
        <v>03775</v>
      </c>
      <c r="E839" s="14" t="s">
        <v>20</v>
      </c>
      <c r="F839" s="14" t="s">
        <v>307</v>
      </c>
      <c r="G839" s="14" t="str">
        <f>""</f>
        <v/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252</v>
      </c>
      <c r="L839" s="14" t="s">
        <v>253</v>
      </c>
      <c r="M839" s="14" t="s">
        <v>256</v>
      </c>
      <c r="P839" s="14" t="s">
        <v>260</v>
      </c>
      <c r="Q839" s="14" t="s">
        <v>25</v>
      </c>
      <c r="R839" s="14" t="s">
        <v>253</v>
      </c>
    </row>
    <row r="840" spans="1:18" s="14" customFormat="1" x14ac:dyDescent="0.25">
      <c r="A840" s="14" t="str">
        <f>"10001"</f>
        <v>10001</v>
      </c>
      <c r="B840" s="14" t="str">
        <f>"03780"</f>
        <v>03780</v>
      </c>
      <c r="C840" s="14" t="str">
        <f>"1000"</f>
        <v>1000</v>
      </c>
      <c r="D840" s="14" t="str">
        <f>""</f>
        <v/>
      </c>
      <c r="E840" s="14" t="s">
        <v>20</v>
      </c>
      <c r="F840" s="14" t="s">
        <v>308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34</v>
      </c>
      <c r="P840" s="14" t="s">
        <v>260</v>
      </c>
      <c r="Q840" s="14" t="s">
        <v>25</v>
      </c>
      <c r="R840" s="14" t="s">
        <v>35</v>
      </c>
    </row>
    <row r="841" spans="1:18" s="14" customFormat="1" x14ac:dyDescent="0.25">
      <c r="A841" s="14" t="str">
        <f>"10001"</f>
        <v>10001</v>
      </c>
      <c r="B841" s="14" t="str">
        <f>"03785"</f>
        <v>03785</v>
      </c>
      <c r="C841" s="14" t="str">
        <f>"1000"</f>
        <v>1000</v>
      </c>
      <c r="D841" s="14" t="str">
        <f>""</f>
        <v/>
      </c>
      <c r="E841" s="14" t="s">
        <v>20</v>
      </c>
      <c r="F841" s="14" t="s">
        <v>309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34</v>
      </c>
      <c r="P841" s="14" t="s">
        <v>260</v>
      </c>
      <c r="Q841" s="14" t="s">
        <v>25</v>
      </c>
      <c r="R841" s="14" t="s">
        <v>35</v>
      </c>
    </row>
    <row r="842" spans="1:18" s="14" customFormat="1" x14ac:dyDescent="0.25">
      <c r="A842" s="14" t="str">
        <f>"10001"</f>
        <v>10001</v>
      </c>
      <c r="B842" s="14" t="str">
        <f>"03785"</f>
        <v>03785</v>
      </c>
      <c r="C842" s="14" t="str">
        <f>"1500"</f>
        <v>1500</v>
      </c>
      <c r="D842" s="14" t="str">
        <f>""</f>
        <v/>
      </c>
      <c r="E842" s="14" t="s">
        <v>20</v>
      </c>
      <c r="F842" s="14" t="s">
        <v>309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34</v>
      </c>
      <c r="P842" s="14" t="s">
        <v>31</v>
      </c>
      <c r="Q842" s="14" t="s">
        <v>25</v>
      </c>
      <c r="R842" s="14" t="s">
        <v>35</v>
      </c>
    </row>
    <row r="843" spans="1:18" s="14" customFormat="1" x14ac:dyDescent="0.25">
      <c r="A843" s="14" t="str">
        <f>"10001"</f>
        <v>10001</v>
      </c>
      <c r="B843" s="14" t="str">
        <f>"03800"</f>
        <v>03800</v>
      </c>
      <c r="C843" s="14" t="str">
        <f>"1000"</f>
        <v>1000</v>
      </c>
      <c r="D843" s="14" t="str">
        <f>""</f>
        <v/>
      </c>
      <c r="E843" s="14" t="s">
        <v>20</v>
      </c>
      <c r="F843" s="14" t="s">
        <v>310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34</v>
      </c>
      <c r="P843" s="14" t="s">
        <v>239</v>
      </c>
      <c r="Q843" s="14" t="s">
        <v>25</v>
      </c>
      <c r="R843" s="14" t="s">
        <v>35</v>
      </c>
    </row>
    <row r="844" spans="1:18" s="14" customFormat="1" x14ac:dyDescent="0.25">
      <c r="A844" s="14" t="str">
        <f>"10001"</f>
        <v>10001</v>
      </c>
      <c r="B844" s="14" t="str">
        <f>"03810"</f>
        <v>03810</v>
      </c>
      <c r="C844" s="14" t="str">
        <f>"1000"</f>
        <v>1000</v>
      </c>
      <c r="D844" s="14" t="str">
        <f>""</f>
        <v/>
      </c>
      <c r="E844" s="14" t="s">
        <v>20</v>
      </c>
      <c r="F844" s="14" t="s">
        <v>311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34</v>
      </c>
      <c r="P844" s="14" t="s">
        <v>39</v>
      </c>
      <c r="Q844" s="14" t="s">
        <v>25</v>
      </c>
      <c r="R844" s="14" t="s">
        <v>35</v>
      </c>
    </row>
    <row r="845" spans="1:18" s="14" customFormat="1" x14ac:dyDescent="0.25">
      <c r="A845" s="14" t="str">
        <f>"10001"</f>
        <v>10001</v>
      </c>
      <c r="B845" s="14" t="str">
        <f>"03810"</f>
        <v>03810</v>
      </c>
      <c r="C845" s="14" t="str">
        <f>"1400"</f>
        <v>1400</v>
      </c>
      <c r="D845" s="14" t="str">
        <f>"03810"</f>
        <v>03810</v>
      </c>
      <c r="E845" s="14" t="s">
        <v>20</v>
      </c>
      <c r="F845" s="14" t="s">
        <v>311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34</v>
      </c>
      <c r="L845" s="14" t="s">
        <v>226</v>
      </c>
      <c r="P845" s="14" t="s">
        <v>39</v>
      </c>
      <c r="Q845" s="14" t="s">
        <v>25</v>
      </c>
      <c r="R845" s="14" t="s">
        <v>35</v>
      </c>
    </row>
    <row r="846" spans="1:18" s="14" customFormat="1" x14ac:dyDescent="0.25">
      <c r="A846" s="14" t="str">
        <f>"10001"</f>
        <v>10001</v>
      </c>
      <c r="B846" s="14" t="str">
        <f>"03820"</f>
        <v>03820</v>
      </c>
      <c r="C846" s="14" t="str">
        <f>"1000"</f>
        <v>1000</v>
      </c>
      <c r="D846" s="14" t="str">
        <f>""</f>
        <v/>
      </c>
      <c r="E846" s="14" t="s">
        <v>20</v>
      </c>
      <c r="F846" s="14" t="s">
        <v>312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34</v>
      </c>
      <c r="P846" s="14" t="s">
        <v>260</v>
      </c>
      <c r="Q846" s="14" t="s">
        <v>25</v>
      </c>
      <c r="R846" s="14" t="s">
        <v>35</v>
      </c>
    </row>
    <row r="847" spans="1:18" s="14" customFormat="1" x14ac:dyDescent="0.25">
      <c r="A847" s="14" t="str">
        <f>"10001"</f>
        <v>10001</v>
      </c>
      <c r="B847" s="14" t="str">
        <f>"03820"</f>
        <v>03820</v>
      </c>
      <c r="C847" s="14" t="str">
        <f>"1500"</f>
        <v>1500</v>
      </c>
      <c r="D847" s="14" t="str">
        <f>""</f>
        <v/>
      </c>
      <c r="E847" s="14" t="s">
        <v>20</v>
      </c>
      <c r="F847" s="14" t="s">
        <v>312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34</v>
      </c>
      <c r="P847" s="14" t="s">
        <v>260</v>
      </c>
      <c r="Q847" s="14" t="s">
        <v>25</v>
      </c>
      <c r="R847" s="14" t="s">
        <v>35</v>
      </c>
    </row>
    <row r="848" spans="1:18" s="14" customFormat="1" x14ac:dyDescent="0.25">
      <c r="A848" s="14" t="str">
        <f>"10001"</f>
        <v>10001</v>
      </c>
      <c r="B848" s="14" t="str">
        <f>"03830"</f>
        <v>03830</v>
      </c>
      <c r="C848" s="14" t="str">
        <f>"1000"</f>
        <v>1000</v>
      </c>
      <c r="D848" s="14" t="str">
        <f>""</f>
        <v/>
      </c>
      <c r="E848" s="14" t="s">
        <v>20</v>
      </c>
      <c r="F848" s="14" t="s">
        <v>313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34</v>
      </c>
      <c r="P848" s="14" t="s">
        <v>260</v>
      </c>
      <c r="Q848" s="14" t="s">
        <v>25</v>
      </c>
      <c r="R848" s="14" t="s">
        <v>35</v>
      </c>
    </row>
    <row r="849" spans="1:18" s="14" customFormat="1" x14ac:dyDescent="0.25">
      <c r="A849" s="14" t="str">
        <f>"10001"</f>
        <v>10001</v>
      </c>
      <c r="B849" s="14" t="str">
        <f>"03830"</f>
        <v>03830</v>
      </c>
      <c r="C849" s="14" t="str">
        <f>"1500"</f>
        <v>1500</v>
      </c>
      <c r="D849" s="14" t="str">
        <f>""</f>
        <v/>
      </c>
      <c r="E849" s="14" t="s">
        <v>20</v>
      </c>
      <c r="F849" s="14" t="s">
        <v>313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34</v>
      </c>
      <c r="P849" s="14" t="s">
        <v>260</v>
      </c>
      <c r="Q849" s="14" t="s">
        <v>25</v>
      </c>
      <c r="R849" s="14" t="s">
        <v>35</v>
      </c>
    </row>
    <row r="850" spans="1:18" s="14" customFormat="1" x14ac:dyDescent="0.25">
      <c r="A850" s="14" t="str">
        <f>"10001"</f>
        <v>10001</v>
      </c>
      <c r="B850" s="14" t="str">
        <f>"03850"</f>
        <v>03850</v>
      </c>
      <c r="C850" s="14" t="str">
        <f>"1000"</f>
        <v>1000</v>
      </c>
      <c r="D850" s="14" t="str">
        <f>""</f>
        <v/>
      </c>
      <c r="E850" s="14" t="s">
        <v>20</v>
      </c>
      <c r="F850" s="14" t="s">
        <v>314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34</v>
      </c>
      <c r="P850" s="14" t="s">
        <v>260</v>
      </c>
      <c r="Q850" s="14" t="s">
        <v>25</v>
      </c>
      <c r="R850" s="14" t="s">
        <v>35</v>
      </c>
    </row>
    <row r="851" spans="1:18" s="14" customFormat="1" x14ac:dyDescent="0.25">
      <c r="A851" s="14" t="str">
        <f>"10001"</f>
        <v>10001</v>
      </c>
      <c r="B851" s="14" t="str">
        <f>"03870"</f>
        <v>03870</v>
      </c>
      <c r="C851" s="14" t="str">
        <f>"1000"</f>
        <v>1000</v>
      </c>
      <c r="D851" s="14" t="str">
        <f>""</f>
        <v/>
      </c>
      <c r="E851" s="14" t="s">
        <v>20</v>
      </c>
      <c r="F851" s="14" t="s">
        <v>315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34</v>
      </c>
      <c r="P851" s="14" t="s">
        <v>260</v>
      </c>
      <c r="Q851" s="14" t="s">
        <v>25</v>
      </c>
      <c r="R851" s="14" t="s">
        <v>35</v>
      </c>
    </row>
    <row r="852" spans="1:18" s="14" customFormat="1" x14ac:dyDescent="0.25">
      <c r="A852" s="14" t="str">
        <f>"10001"</f>
        <v>10001</v>
      </c>
      <c r="B852" s="14" t="str">
        <f>"03885"</f>
        <v>03885</v>
      </c>
      <c r="C852" s="14" t="str">
        <f>"1700"</f>
        <v>1700</v>
      </c>
      <c r="D852" s="14" t="str">
        <f>""</f>
        <v/>
      </c>
      <c r="E852" s="14" t="s">
        <v>20</v>
      </c>
      <c r="F852" s="14" t="s">
        <v>1920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34</v>
      </c>
      <c r="L852" s="14" t="s">
        <v>25</v>
      </c>
      <c r="P852" s="14" t="s">
        <v>39</v>
      </c>
      <c r="Q852" s="14" t="s">
        <v>25</v>
      </c>
      <c r="R852" s="14" t="s">
        <v>25</v>
      </c>
    </row>
    <row r="853" spans="1:18" s="14" customFormat="1" x14ac:dyDescent="0.25">
      <c r="A853" s="14" t="str">
        <f>"10001"</f>
        <v>10001</v>
      </c>
      <c r="B853" s="14" t="str">
        <f>"03901"</f>
        <v>03901</v>
      </c>
      <c r="C853" s="14" t="str">
        <f>"1800"</f>
        <v>1800</v>
      </c>
      <c r="D853" s="14" t="str">
        <f>""</f>
        <v/>
      </c>
      <c r="E853" s="14" t="s">
        <v>20</v>
      </c>
      <c r="F853" s="14" t="s">
        <v>317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318</v>
      </c>
      <c r="L853" s="14" t="s">
        <v>319</v>
      </c>
      <c r="P853" s="14" t="s">
        <v>260</v>
      </c>
      <c r="Q853" s="14" t="s">
        <v>25</v>
      </c>
      <c r="R853" s="14" t="s">
        <v>318</v>
      </c>
    </row>
    <row r="854" spans="1:18" s="14" customFormat="1" x14ac:dyDescent="0.25">
      <c r="A854" s="14" t="str">
        <f>"10001"</f>
        <v>10001</v>
      </c>
      <c r="B854" s="14" t="str">
        <f>"03902"</f>
        <v>03902</v>
      </c>
      <c r="C854" s="14" t="str">
        <f>"1400"</f>
        <v>1400</v>
      </c>
      <c r="D854" s="14" t="str">
        <f>""</f>
        <v/>
      </c>
      <c r="E854" s="14" t="s">
        <v>20</v>
      </c>
      <c r="F854" s="14" t="s">
        <v>320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318</v>
      </c>
      <c r="L854" s="14" t="s">
        <v>319</v>
      </c>
      <c r="P854" s="14" t="s">
        <v>260</v>
      </c>
      <c r="Q854" s="14" t="s">
        <v>25</v>
      </c>
      <c r="R854" s="14" t="s">
        <v>318</v>
      </c>
    </row>
    <row r="855" spans="1:18" s="14" customFormat="1" x14ac:dyDescent="0.25">
      <c r="A855" s="14" t="str">
        <f>"10001"</f>
        <v>10001</v>
      </c>
      <c r="B855" s="14" t="str">
        <f>"03903"</f>
        <v>03903</v>
      </c>
      <c r="C855" s="14" t="str">
        <f>"1400"</f>
        <v>1400</v>
      </c>
      <c r="D855" s="14" t="str">
        <f>""</f>
        <v/>
      </c>
      <c r="E855" s="14" t="s">
        <v>20</v>
      </c>
      <c r="F855" s="14" t="s">
        <v>321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318</v>
      </c>
      <c r="L855" s="14" t="s">
        <v>319</v>
      </c>
      <c r="P855" s="14" t="s">
        <v>260</v>
      </c>
      <c r="Q855" s="14" t="s">
        <v>25</v>
      </c>
      <c r="R855" s="14" t="s">
        <v>318</v>
      </c>
    </row>
    <row r="856" spans="1:18" s="14" customFormat="1" x14ac:dyDescent="0.25">
      <c r="A856" s="14" t="str">
        <f>"10001"</f>
        <v>10001</v>
      </c>
      <c r="B856" s="14" t="str">
        <f>"03904"</f>
        <v>03904</v>
      </c>
      <c r="C856" s="14" t="str">
        <f>"1800"</f>
        <v>1800</v>
      </c>
      <c r="D856" s="14" t="str">
        <f>""</f>
        <v/>
      </c>
      <c r="E856" s="14" t="s">
        <v>20</v>
      </c>
      <c r="F856" s="14" t="s">
        <v>322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318</v>
      </c>
      <c r="L856" s="14" t="s">
        <v>319</v>
      </c>
      <c r="P856" s="14" t="s">
        <v>260</v>
      </c>
      <c r="Q856" s="14" t="s">
        <v>25</v>
      </c>
      <c r="R856" s="14" t="s">
        <v>318</v>
      </c>
    </row>
    <row r="857" spans="1:18" s="14" customFormat="1" x14ac:dyDescent="0.25">
      <c r="A857" s="14" t="str">
        <f>"10001"</f>
        <v>10001</v>
      </c>
      <c r="B857" s="14" t="str">
        <f>"03906"</f>
        <v>03906</v>
      </c>
      <c r="C857" s="14" t="str">
        <f>"1400"</f>
        <v>1400</v>
      </c>
      <c r="D857" s="14" t="str">
        <f>""</f>
        <v/>
      </c>
      <c r="E857" s="14" t="s">
        <v>20</v>
      </c>
      <c r="F857" s="14" t="s">
        <v>323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318</v>
      </c>
      <c r="L857" s="14" t="s">
        <v>319</v>
      </c>
      <c r="P857" s="14" t="s">
        <v>260</v>
      </c>
      <c r="Q857" s="14" t="s">
        <v>25</v>
      </c>
      <c r="R857" s="14" t="s">
        <v>318</v>
      </c>
    </row>
    <row r="858" spans="1:18" s="14" customFormat="1" x14ac:dyDescent="0.25">
      <c r="A858" s="14" t="str">
        <f>"10001"</f>
        <v>10001</v>
      </c>
      <c r="B858" s="14" t="str">
        <f>"03908"</f>
        <v>03908</v>
      </c>
      <c r="C858" s="14" t="str">
        <f>"1800"</f>
        <v>1800</v>
      </c>
      <c r="D858" s="14" t="str">
        <f>""</f>
        <v/>
      </c>
      <c r="E858" s="14" t="s">
        <v>20</v>
      </c>
      <c r="F858" s="14" t="s">
        <v>324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226</v>
      </c>
      <c r="P858" s="14" t="s">
        <v>260</v>
      </c>
      <c r="Q858" s="14" t="s">
        <v>25</v>
      </c>
      <c r="R858" s="14" t="s">
        <v>229</v>
      </c>
    </row>
    <row r="859" spans="1:18" s="14" customFormat="1" x14ac:dyDescent="0.25">
      <c r="A859" s="14" t="str">
        <f>"10001"</f>
        <v>10001</v>
      </c>
      <c r="B859" s="14" t="str">
        <f>"03912"</f>
        <v>03912</v>
      </c>
      <c r="C859" s="14" t="str">
        <f>"1800"</f>
        <v>1800</v>
      </c>
      <c r="D859" s="14" t="str">
        <f>""</f>
        <v/>
      </c>
      <c r="E859" s="14" t="s">
        <v>20</v>
      </c>
      <c r="F859" s="14" t="s">
        <v>325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318</v>
      </c>
      <c r="L859" s="14" t="s">
        <v>319</v>
      </c>
      <c r="P859" s="14" t="s">
        <v>260</v>
      </c>
      <c r="Q859" s="14" t="s">
        <v>25</v>
      </c>
      <c r="R859" s="14" t="s">
        <v>318</v>
      </c>
    </row>
    <row r="860" spans="1:18" s="14" customFormat="1" x14ac:dyDescent="0.25">
      <c r="A860" s="14" t="str">
        <f>"10001"</f>
        <v>10001</v>
      </c>
      <c r="B860" s="14" t="str">
        <f>"03916"</f>
        <v>03916</v>
      </c>
      <c r="C860" s="14" t="str">
        <f>"1800"</f>
        <v>1800</v>
      </c>
      <c r="D860" s="14" t="str">
        <f>""</f>
        <v/>
      </c>
      <c r="E860" s="14" t="s">
        <v>20</v>
      </c>
      <c r="F860" s="14" t="s">
        <v>326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318</v>
      </c>
      <c r="L860" s="14" t="s">
        <v>319</v>
      </c>
      <c r="P860" s="14" t="s">
        <v>260</v>
      </c>
      <c r="Q860" s="14" t="s">
        <v>25</v>
      </c>
      <c r="R860" s="14" t="s">
        <v>318</v>
      </c>
    </row>
    <row r="861" spans="1:18" s="14" customFormat="1" x14ac:dyDescent="0.25">
      <c r="A861" s="14" t="str">
        <f>"10001"</f>
        <v>10001</v>
      </c>
      <c r="B861" s="14" t="str">
        <f>"03918"</f>
        <v>03918</v>
      </c>
      <c r="C861" s="14" t="str">
        <f>"1800"</f>
        <v>1800</v>
      </c>
      <c r="D861" s="14" t="str">
        <f>""</f>
        <v/>
      </c>
      <c r="E861" s="14" t="s">
        <v>20</v>
      </c>
      <c r="F861" s="14" t="s">
        <v>327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318</v>
      </c>
      <c r="L861" s="14" t="s">
        <v>319</v>
      </c>
      <c r="P861" s="14" t="s">
        <v>260</v>
      </c>
      <c r="Q861" s="14" t="s">
        <v>25</v>
      </c>
      <c r="R861" s="14" t="s">
        <v>318</v>
      </c>
    </row>
    <row r="862" spans="1:18" s="14" customFormat="1" x14ac:dyDescent="0.25">
      <c r="A862" s="14" t="str">
        <f>"10001"</f>
        <v>10001</v>
      </c>
      <c r="B862" s="14" t="str">
        <f>"03933"</f>
        <v>03933</v>
      </c>
      <c r="C862" s="14" t="str">
        <f>"1400"</f>
        <v>1400</v>
      </c>
      <c r="D862" s="14" t="str">
        <f>""</f>
        <v/>
      </c>
      <c r="E862" s="14" t="s">
        <v>20</v>
      </c>
      <c r="F862" s="14" t="s">
        <v>328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318</v>
      </c>
      <c r="L862" s="14" t="s">
        <v>319</v>
      </c>
      <c r="P862" s="14" t="s">
        <v>260</v>
      </c>
      <c r="Q862" s="14" t="s">
        <v>25</v>
      </c>
      <c r="R862" s="14" t="s">
        <v>318</v>
      </c>
    </row>
    <row r="863" spans="1:18" s="14" customFormat="1" x14ac:dyDescent="0.25">
      <c r="A863" s="14" t="str">
        <f>"10001"</f>
        <v>10001</v>
      </c>
      <c r="B863" s="14" t="str">
        <f>"03934"</f>
        <v>03934</v>
      </c>
      <c r="C863" s="14" t="str">
        <f>"1400"</f>
        <v>1400</v>
      </c>
      <c r="D863" s="14" t="str">
        <f>""</f>
        <v/>
      </c>
      <c r="E863" s="14" t="s">
        <v>20</v>
      </c>
      <c r="F863" s="14" t="s">
        <v>329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318</v>
      </c>
      <c r="L863" s="14" t="s">
        <v>319</v>
      </c>
      <c r="P863" s="14" t="s">
        <v>260</v>
      </c>
      <c r="Q863" s="14" t="s">
        <v>25</v>
      </c>
      <c r="R863" s="14" t="s">
        <v>318</v>
      </c>
    </row>
    <row r="864" spans="1:18" s="14" customFormat="1" x14ac:dyDescent="0.25">
      <c r="A864" s="14" t="str">
        <f>"10001"</f>
        <v>10001</v>
      </c>
      <c r="B864" s="14" t="str">
        <f>"03935"</f>
        <v>03935</v>
      </c>
      <c r="C864" s="14" t="str">
        <f>"1400"</f>
        <v>1400</v>
      </c>
      <c r="D864" s="14" t="str">
        <f>""</f>
        <v/>
      </c>
      <c r="E864" s="14" t="s">
        <v>20</v>
      </c>
      <c r="F864" s="14" t="s">
        <v>330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318</v>
      </c>
      <c r="L864" s="14" t="s">
        <v>319</v>
      </c>
      <c r="P864" s="14" t="s">
        <v>260</v>
      </c>
      <c r="Q864" s="14" t="s">
        <v>25</v>
      </c>
      <c r="R864" s="14" t="s">
        <v>318</v>
      </c>
    </row>
    <row r="865" spans="1:18" s="14" customFormat="1" x14ac:dyDescent="0.25">
      <c r="A865" s="14" t="str">
        <f>"10001"</f>
        <v>10001</v>
      </c>
      <c r="B865" s="14" t="str">
        <f>"03936"</f>
        <v>03936</v>
      </c>
      <c r="C865" s="14" t="str">
        <f>"1400"</f>
        <v>1400</v>
      </c>
      <c r="D865" s="14" t="str">
        <f>""</f>
        <v/>
      </c>
      <c r="E865" s="14" t="s">
        <v>20</v>
      </c>
      <c r="F865" s="14" t="s">
        <v>331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318</v>
      </c>
      <c r="L865" s="14" t="s">
        <v>319</v>
      </c>
      <c r="P865" s="14" t="s">
        <v>260</v>
      </c>
      <c r="Q865" s="14" t="s">
        <v>25</v>
      </c>
      <c r="R865" s="14" t="s">
        <v>318</v>
      </c>
    </row>
    <row r="866" spans="1:18" s="14" customFormat="1" x14ac:dyDescent="0.25">
      <c r="A866" s="14" t="str">
        <f>"10001"</f>
        <v>10001</v>
      </c>
      <c r="B866" s="14" t="str">
        <f>"03937"</f>
        <v>03937</v>
      </c>
      <c r="C866" s="14" t="str">
        <f>"1400"</f>
        <v>1400</v>
      </c>
      <c r="D866" s="14" t="str">
        <f>""</f>
        <v/>
      </c>
      <c r="E866" s="14" t="s">
        <v>20</v>
      </c>
      <c r="F866" s="14" t="s">
        <v>332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318</v>
      </c>
      <c r="L866" s="14" t="s">
        <v>319</v>
      </c>
      <c r="P866" s="14" t="s">
        <v>260</v>
      </c>
      <c r="Q866" s="14" t="s">
        <v>25</v>
      </c>
      <c r="R866" s="14" t="s">
        <v>318</v>
      </c>
    </row>
    <row r="867" spans="1:18" s="14" customFormat="1" x14ac:dyDescent="0.25">
      <c r="A867" s="14" t="str">
        <f>"10001"</f>
        <v>10001</v>
      </c>
      <c r="B867" s="14" t="str">
        <f>"03938"</f>
        <v>03938</v>
      </c>
      <c r="C867" s="14" t="str">
        <f>"1400"</f>
        <v>1400</v>
      </c>
      <c r="D867" s="14" t="str">
        <f>""</f>
        <v/>
      </c>
      <c r="E867" s="14" t="s">
        <v>20</v>
      </c>
      <c r="F867" s="14" t="s">
        <v>333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318</v>
      </c>
      <c r="L867" s="14" t="s">
        <v>319</v>
      </c>
      <c r="P867" s="14" t="s">
        <v>260</v>
      </c>
      <c r="Q867" s="14" t="s">
        <v>25</v>
      </c>
      <c r="R867" s="14" t="s">
        <v>318</v>
      </c>
    </row>
    <row r="868" spans="1:18" s="14" customFormat="1" x14ac:dyDescent="0.25">
      <c r="A868" s="14" t="str">
        <f>"10001"</f>
        <v>10001</v>
      </c>
      <c r="B868" s="14" t="str">
        <f>"03939"</f>
        <v>03939</v>
      </c>
      <c r="C868" s="14" t="str">
        <f>"1400"</f>
        <v>1400</v>
      </c>
      <c r="D868" s="14" t="str">
        <f>""</f>
        <v/>
      </c>
      <c r="E868" s="14" t="s">
        <v>20</v>
      </c>
      <c r="F868" s="14" t="s">
        <v>334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318</v>
      </c>
      <c r="L868" s="14" t="s">
        <v>319</v>
      </c>
      <c r="P868" s="14" t="s">
        <v>260</v>
      </c>
      <c r="Q868" s="14" t="s">
        <v>25</v>
      </c>
      <c r="R868" s="14" t="s">
        <v>318</v>
      </c>
    </row>
    <row r="869" spans="1:18" s="14" customFormat="1" x14ac:dyDescent="0.25">
      <c r="A869" s="14" t="str">
        <f>"10001"</f>
        <v>10001</v>
      </c>
      <c r="B869" s="14" t="str">
        <f>"03940"</f>
        <v>03940</v>
      </c>
      <c r="C869" s="14" t="str">
        <f>"1400"</f>
        <v>1400</v>
      </c>
      <c r="D869" s="14" t="str">
        <f>""</f>
        <v/>
      </c>
      <c r="E869" s="14" t="s">
        <v>20</v>
      </c>
      <c r="F869" s="14" t="s">
        <v>335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318</v>
      </c>
      <c r="L869" s="14" t="s">
        <v>319</v>
      </c>
      <c r="P869" s="14" t="s">
        <v>260</v>
      </c>
      <c r="Q869" s="14" t="s">
        <v>25</v>
      </c>
      <c r="R869" s="14" t="s">
        <v>318</v>
      </c>
    </row>
    <row r="870" spans="1:18" s="14" customFormat="1" x14ac:dyDescent="0.25">
      <c r="A870" s="14" t="str">
        <f>"10001"</f>
        <v>10001</v>
      </c>
      <c r="B870" s="14" t="str">
        <f>"03941"</f>
        <v>03941</v>
      </c>
      <c r="C870" s="14" t="str">
        <f>"1400"</f>
        <v>1400</v>
      </c>
      <c r="D870" s="14" t="str">
        <f>""</f>
        <v/>
      </c>
      <c r="E870" s="14" t="s">
        <v>20</v>
      </c>
      <c r="F870" s="14" t="s">
        <v>336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318</v>
      </c>
      <c r="L870" s="14" t="s">
        <v>319</v>
      </c>
      <c r="P870" s="14" t="s">
        <v>260</v>
      </c>
      <c r="Q870" s="14" t="s">
        <v>25</v>
      </c>
      <c r="R870" s="14" t="s">
        <v>318</v>
      </c>
    </row>
    <row r="871" spans="1:18" s="14" customFormat="1" x14ac:dyDescent="0.25">
      <c r="A871" s="14" t="str">
        <f>"10001"</f>
        <v>10001</v>
      </c>
      <c r="B871" s="14" t="str">
        <f>"03943"</f>
        <v>03943</v>
      </c>
      <c r="C871" s="14" t="str">
        <f>"1800"</f>
        <v>1800</v>
      </c>
      <c r="D871" s="14" t="str">
        <f>""</f>
        <v/>
      </c>
      <c r="E871" s="14" t="s">
        <v>20</v>
      </c>
      <c r="F871" s="14" t="s">
        <v>337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318</v>
      </c>
      <c r="L871" s="14" t="s">
        <v>319</v>
      </c>
      <c r="P871" s="14" t="s">
        <v>260</v>
      </c>
      <c r="Q871" s="14" t="s">
        <v>25</v>
      </c>
      <c r="R871" s="14" t="s">
        <v>318</v>
      </c>
    </row>
    <row r="872" spans="1:18" s="14" customFormat="1" x14ac:dyDescent="0.25">
      <c r="A872" s="14" t="str">
        <f>"10001"</f>
        <v>10001</v>
      </c>
      <c r="B872" s="14" t="str">
        <f>"03946"</f>
        <v>03946</v>
      </c>
      <c r="C872" s="14" t="str">
        <f>"1800"</f>
        <v>1800</v>
      </c>
      <c r="D872" s="14" t="str">
        <f>""</f>
        <v/>
      </c>
      <c r="E872" s="14" t="s">
        <v>20</v>
      </c>
      <c r="F872" s="14" t="s">
        <v>338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318</v>
      </c>
      <c r="L872" s="14" t="s">
        <v>319</v>
      </c>
      <c r="P872" s="14" t="s">
        <v>260</v>
      </c>
      <c r="Q872" s="14" t="s">
        <v>25</v>
      </c>
      <c r="R872" s="14" t="s">
        <v>318</v>
      </c>
    </row>
    <row r="873" spans="1:18" s="14" customFormat="1" x14ac:dyDescent="0.25">
      <c r="A873" s="14" t="str">
        <f>"10001"</f>
        <v>10001</v>
      </c>
      <c r="B873" s="14" t="str">
        <f>"03952"</f>
        <v>03952</v>
      </c>
      <c r="C873" s="14" t="str">
        <f>"1800"</f>
        <v>1800</v>
      </c>
      <c r="D873" s="14" t="str">
        <f>""</f>
        <v/>
      </c>
      <c r="E873" s="14" t="s">
        <v>20</v>
      </c>
      <c r="F873" s="14" t="s">
        <v>339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318</v>
      </c>
      <c r="L873" s="14" t="s">
        <v>319</v>
      </c>
      <c r="P873" s="14" t="s">
        <v>260</v>
      </c>
      <c r="Q873" s="14" t="s">
        <v>25</v>
      </c>
      <c r="R873" s="14" t="s">
        <v>318</v>
      </c>
    </row>
    <row r="874" spans="1:18" s="14" customFormat="1" x14ac:dyDescent="0.25">
      <c r="A874" s="14" t="str">
        <f>"10001"</f>
        <v>10001</v>
      </c>
      <c r="B874" s="14" t="str">
        <f>"03953"</f>
        <v>03953</v>
      </c>
      <c r="C874" s="14" t="str">
        <f>"1800"</f>
        <v>1800</v>
      </c>
      <c r="D874" s="14" t="str">
        <f>""</f>
        <v/>
      </c>
      <c r="E874" s="14" t="s">
        <v>20</v>
      </c>
      <c r="F874" s="14" t="s">
        <v>340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318</v>
      </c>
      <c r="L874" s="14" t="s">
        <v>319</v>
      </c>
      <c r="P874" s="14" t="s">
        <v>260</v>
      </c>
      <c r="Q874" s="14" t="s">
        <v>25</v>
      </c>
      <c r="R874" s="14" t="s">
        <v>318</v>
      </c>
    </row>
    <row r="875" spans="1:18" s="14" customFormat="1" x14ac:dyDescent="0.25">
      <c r="A875" s="14" t="str">
        <f>"10001"</f>
        <v>10001</v>
      </c>
      <c r="B875" s="14" t="str">
        <f>"03955"</f>
        <v>03955</v>
      </c>
      <c r="C875" s="14" t="str">
        <f>"1800"</f>
        <v>1800</v>
      </c>
      <c r="D875" s="14" t="str">
        <f>""</f>
        <v/>
      </c>
      <c r="E875" s="14" t="s">
        <v>20</v>
      </c>
      <c r="F875" s="14" t="s">
        <v>341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318</v>
      </c>
      <c r="L875" s="14" t="s">
        <v>319</v>
      </c>
      <c r="P875" s="14" t="s">
        <v>260</v>
      </c>
      <c r="Q875" s="14" t="s">
        <v>25</v>
      </c>
      <c r="R875" s="14" t="s">
        <v>318</v>
      </c>
    </row>
    <row r="876" spans="1:18" s="14" customFormat="1" x14ac:dyDescent="0.25">
      <c r="A876" s="14" t="str">
        <f>"10001"</f>
        <v>10001</v>
      </c>
      <c r="B876" s="14" t="str">
        <f>"03956"</f>
        <v>03956</v>
      </c>
      <c r="C876" s="14" t="str">
        <f>"1800"</f>
        <v>1800</v>
      </c>
      <c r="D876" s="14" t="str">
        <f>""</f>
        <v/>
      </c>
      <c r="E876" s="14" t="s">
        <v>20</v>
      </c>
      <c r="F876" s="14" t="s">
        <v>342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318</v>
      </c>
      <c r="L876" s="14" t="s">
        <v>319</v>
      </c>
      <c r="P876" s="14" t="s">
        <v>260</v>
      </c>
      <c r="Q876" s="14" t="s">
        <v>25</v>
      </c>
      <c r="R876" s="14" t="s">
        <v>318</v>
      </c>
    </row>
    <row r="877" spans="1:18" s="14" customFormat="1" x14ac:dyDescent="0.25">
      <c r="A877" s="14" t="str">
        <f>"10001"</f>
        <v>10001</v>
      </c>
      <c r="B877" s="14" t="str">
        <f>"03957"</f>
        <v>03957</v>
      </c>
      <c r="C877" s="14" t="str">
        <f>"1400"</f>
        <v>1400</v>
      </c>
      <c r="D877" s="14" t="str">
        <f>""</f>
        <v/>
      </c>
      <c r="E877" s="14" t="s">
        <v>20</v>
      </c>
      <c r="F877" s="14" t="s">
        <v>343</v>
      </c>
      <c r="G877" s="14" t="str">
        <f>""</f>
        <v/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318</v>
      </c>
      <c r="L877" s="14" t="s">
        <v>319</v>
      </c>
      <c r="P877" s="14" t="s">
        <v>260</v>
      </c>
      <c r="Q877" s="14" t="s">
        <v>25</v>
      </c>
      <c r="R877" s="14" t="s">
        <v>318</v>
      </c>
    </row>
    <row r="878" spans="1:18" s="14" customFormat="1" x14ac:dyDescent="0.25">
      <c r="A878" s="14" t="str">
        <f>"10001"</f>
        <v>10001</v>
      </c>
      <c r="B878" s="14" t="str">
        <f>"03958"</f>
        <v>03958</v>
      </c>
      <c r="C878" s="14" t="str">
        <f>"1800"</f>
        <v>1800</v>
      </c>
      <c r="D878" s="14" t="str">
        <f>""</f>
        <v/>
      </c>
      <c r="E878" s="14" t="s">
        <v>20</v>
      </c>
      <c r="F878" s="14" t="s">
        <v>344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318</v>
      </c>
      <c r="L878" s="14" t="s">
        <v>319</v>
      </c>
      <c r="P878" s="14" t="s">
        <v>260</v>
      </c>
      <c r="Q878" s="14" t="s">
        <v>25</v>
      </c>
      <c r="R878" s="14" t="s">
        <v>318</v>
      </c>
    </row>
    <row r="879" spans="1:18" s="14" customFormat="1" x14ac:dyDescent="0.25">
      <c r="A879" s="14" t="str">
        <f>"10001"</f>
        <v>10001</v>
      </c>
      <c r="B879" s="14" t="str">
        <f>"03959"</f>
        <v>03959</v>
      </c>
      <c r="C879" s="14" t="str">
        <f>"1800"</f>
        <v>1800</v>
      </c>
      <c r="D879" s="14" t="str">
        <f>""</f>
        <v/>
      </c>
      <c r="E879" s="14" t="s">
        <v>20</v>
      </c>
      <c r="F879" s="14" t="s">
        <v>345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318</v>
      </c>
      <c r="L879" s="14" t="s">
        <v>319</v>
      </c>
      <c r="P879" s="14" t="s">
        <v>260</v>
      </c>
      <c r="Q879" s="14" t="s">
        <v>25</v>
      </c>
      <c r="R879" s="14" t="s">
        <v>318</v>
      </c>
    </row>
    <row r="880" spans="1:18" s="14" customFormat="1" x14ac:dyDescent="0.25">
      <c r="A880" s="14" t="str">
        <f>"10001"</f>
        <v>10001</v>
      </c>
      <c r="B880" s="14" t="str">
        <f>"03960"</f>
        <v>03960</v>
      </c>
      <c r="C880" s="14" t="str">
        <f>"1800"</f>
        <v>1800</v>
      </c>
      <c r="D880" s="14" t="str">
        <f>""</f>
        <v/>
      </c>
      <c r="E880" s="14" t="s">
        <v>20</v>
      </c>
      <c r="F880" s="14" t="s">
        <v>346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318</v>
      </c>
      <c r="L880" s="14" t="s">
        <v>319</v>
      </c>
      <c r="P880" s="14" t="s">
        <v>260</v>
      </c>
      <c r="Q880" s="14" t="s">
        <v>25</v>
      </c>
      <c r="R880" s="14" t="s">
        <v>318</v>
      </c>
    </row>
    <row r="881" spans="1:18" s="14" customFormat="1" x14ac:dyDescent="0.25">
      <c r="A881" s="14" t="str">
        <f>"10001"</f>
        <v>10001</v>
      </c>
      <c r="B881" s="14" t="str">
        <f>"03961"</f>
        <v>03961</v>
      </c>
      <c r="C881" s="14" t="str">
        <f>"1800"</f>
        <v>1800</v>
      </c>
      <c r="D881" s="14" t="str">
        <f>""</f>
        <v/>
      </c>
      <c r="E881" s="14" t="s">
        <v>20</v>
      </c>
      <c r="F881" s="14" t="s">
        <v>347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318</v>
      </c>
      <c r="L881" s="14" t="s">
        <v>319</v>
      </c>
      <c r="P881" s="14" t="s">
        <v>260</v>
      </c>
      <c r="Q881" s="14" t="s">
        <v>25</v>
      </c>
      <c r="R881" s="14" t="s">
        <v>318</v>
      </c>
    </row>
    <row r="882" spans="1:18" s="14" customFormat="1" x14ac:dyDescent="0.25">
      <c r="A882" s="14" t="str">
        <f>"10001"</f>
        <v>10001</v>
      </c>
      <c r="B882" s="14" t="str">
        <f>"03962"</f>
        <v>03962</v>
      </c>
      <c r="C882" s="14" t="str">
        <f>"1800"</f>
        <v>1800</v>
      </c>
      <c r="D882" s="14" t="str">
        <f>""</f>
        <v/>
      </c>
      <c r="E882" s="14" t="s">
        <v>20</v>
      </c>
      <c r="F882" s="14" t="s">
        <v>348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318</v>
      </c>
      <c r="L882" s="14" t="s">
        <v>319</v>
      </c>
      <c r="P882" s="14" t="s">
        <v>260</v>
      </c>
      <c r="Q882" s="14" t="s">
        <v>25</v>
      </c>
      <c r="R882" s="14" t="s">
        <v>318</v>
      </c>
    </row>
    <row r="883" spans="1:18" s="14" customFormat="1" x14ac:dyDescent="0.25">
      <c r="A883" s="14" t="str">
        <f>"10001"</f>
        <v>10001</v>
      </c>
      <c r="B883" s="14" t="str">
        <f>"03963"</f>
        <v>03963</v>
      </c>
      <c r="C883" s="14" t="str">
        <f>"1800"</f>
        <v>1800</v>
      </c>
      <c r="D883" s="14" t="str">
        <f>""</f>
        <v/>
      </c>
      <c r="E883" s="14" t="s">
        <v>20</v>
      </c>
      <c r="F883" s="14" t="s">
        <v>349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318</v>
      </c>
      <c r="L883" s="14" t="s">
        <v>319</v>
      </c>
      <c r="P883" s="14" t="s">
        <v>260</v>
      </c>
      <c r="Q883" s="14" t="s">
        <v>25</v>
      </c>
      <c r="R883" s="14" t="s">
        <v>318</v>
      </c>
    </row>
    <row r="884" spans="1:18" s="14" customFormat="1" x14ac:dyDescent="0.25">
      <c r="A884" s="14" t="str">
        <f>"10001"</f>
        <v>10001</v>
      </c>
      <c r="B884" s="14" t="str">
        <f>"03964"</f>
        <v>03964</v>
      </c>
      <c r="C884" s="14" t="str">
        <f>"1800"</f>
        <v>1800</v>
      </c>
      <c r="D884" s="14" t="str">
        <f>""</f>
        <v/>
      </c>
      <c r="E884" s="14" t="s">
        <v>20</v>
      </c>
      <c r="F884" s="14" t="s">
        <v>350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318</v>
      </c>
      <c r="L884" s="14" t="s">
        <v>319</v>
      </c>
      <c r="P884" s="14" t="s">
        <v>260</v>
      </c>
      <c r="Q884" s="14" t="s">
        <v>25</v>
      </c>
      <c r="R884" s="14" t="s">
        <v>318</v>
      </c>
    </row>
    <row r="885" spans="1:18" s="14" customFormat="1" x14ac:dyDescent="0.25">
      <c r="A885" s="14" t="str">
        <f>"10001"</f>
        <v>10001</v>
      </c>
      <c r="B885" s="14" t="str">
        <f>"03965"</f>
        <v>03965</v>
      </c>
      <c r="C885" s="14" t="str">
        <f>"1800"</f>
        <v>1800</v>
      </c>
      <c r="D885" s="14" t="str">
        <f>""</f>
        <v/>
      </c>
      <c r="E885" s="14" t="s">
        <v>20</v>
      </c>
      <c r="F885" s="14" t="s">
        <v>351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318</v>
      </c>
      <c r="L885" s="14" t="s">
        <v>319</v>
      </c>
      <c r="P885" s="14" t="s">
        <v>260</v>
      </c>
      <c r="Q885" s="14" t="s">
        <v>25</v>
      </c>
      <c r="R885" s="14" t="s">
        <v>318</v>
      </c>
    </row>
    <row r="886" spans="1:18" s="14" customFormat="1" x14ac:dyDescent="0.25">
      <c r="A886" s="14" t="str">
        <f>"10001"</f>
        <v>10001</v>
      </c>
      <c r="B886" s="14" t="str">
        <f>"03966"</f>
        <v>03966</v>
      </c>
      <c r="C886" s="14" t="str">
        <f>"1800"</f>
        <v>1800</v>
      </c>
      <c r="D886" s="14" t="str">
        <f>""</f>
        <v/>
      </c>
      <c r="E886" s="14" t="s">
        <v>20</v>
      </c>
      <c r="F886" s="14" t="s">
        <v>352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318</v>
      </c>
      <c r="L886" s="14" t="s">
        <v>319</v>
      </c>
      <c r="P886" s="14" t="s">
        <v>260</v>
      </c>
      <c r="Q886" s="14" t="s">
        <v>25</v>
      </c>
      <c r="R886" s="14" t="s">
        <v>318</v>
      </c>
    </row>
    <row r="887" spans="1:18" s="14" customFormat="1" x14ac:dyDescent="0.25">
      <c r="A887" s="14" t="str">
        <f>"10001"</f>
        <v>10001</v>
      </c>
      <c r="B887" s="14" t="str">
        <f>"03967"</f>
        <v>03967</v>
      </c>
      <c r="C887" s="14" t="str">
        <f>"1800"</f>
        <v>1800</v>
      </c>
      <c r="D887" s="14" t="str">
        <f>""</f>
        <v/>
      </c>
      <c r="E887" s="14" t="s">
        <v>20</v>
      </c>
      <c r="F887" s="14" t="s">
        <v>353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318</v>
      </c>
      <c r="L887" s="14" t="s">
        <v>319</v>
      </c>
      <c r="P887" s="14" t="s">
        <v>260</v>
      </c>
      <c r="Q887" s="14" t="s">
        <v>25</v>
      </c>
      <c r="R887" s="14" t="s">
        <v>318</v>
      </c>
    </row>
    <row r="888" spans="1:18" s="14" customFormat="1" x14ac:dyDescent="0.25">
      <c r="A888" s="14" t="str">
        <f>"10001"</f>
        <v>10001</v>
      </c>
      <c r="B888" s="14" t="str">
        <f>"03968"</f>
        <v>03968</v>
      </c>
      <c r="C888" s="14" t="str">
        <f>"1800"</f>
        <v>1800</v>
      </c>
      <c r="D888" s="14" t="str">
        <f>""</f>
        <v/>
      </c>
      <c r="E888" s="14" t="s">
        <v>20</v>
      </c>
      <c r="F888" s="14" t="s">
        <v>354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318</v>
      </c>
      <c r="L888" s="14" t="s">
        <v>319</v>
      </c>
      <c r="P888" s="14" t="s">
        <v>260</v>
      </c>
      <c r="Q888" s="14" t="s">
        <v>25</v>
      </c>
      <c r="R888" s="14" t="s">
        <v>318</v>
      </c>
    </row>
    <row r="889" spans="1:18" s="14" customFormat="1" x14ac:dyDescent="0.25">
      <c r="A889" s="14" t="str">
        <f>"10001"</f>
        <v>10001</v>
      </c>
      <c r="B889" s="14" t="str">
        <f>"03969"</f>
        <v>03969</v>
      </c>
      <c r="C889" s="14" t="str">
        <f>"1800"</f>
        <v>1800</v>
      </c>
      <c r="D889" s="14" t="str">
        <f>""</f>
        <v/>
      </c>
      <c r="E889" s="14" t="s">
        <v>20</v>
      </c>
      <c r="F889" s="14" t="s">
        <v>355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318</v>
      </c>
      <c r="L889" s="14" t="s">
        <v>319</v>
      </c>
      <c r="P889" s="14" t="s">
        <v>260</v>
      </c>
      <c r="Q889" s="14" t="s">
        <v>25</v>
      </c>
      <c r="R889" s="14" t="s">
        <v>318</v>
      </c>
    </row>
    <row r="890" spans="1:18" s="14" customFormat="1" x14ac:dyDescent="0.25">
      <c r="A890" s="14" t="str">
        <f>"10001"</f>
        <v>10001</v>
      </c>
      <c r="B890" s="14" t="str">
        <f>"03970"</f>
        <v>03970</v>
      </c>
      <c r="C890" s="14" t="str">
        <f>"1800"</f>
        <v>1800</v>
      </c>
      <c r="D890" s="14" t="str">
        <f>""</f>
        <v/>
      </c>
      <c r="E890" s="14" t="s">
        <v>20</v>
      </c>
      <c r="F890" s="14" t="s">
        <v>356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318</v>
      </c>
      <c r="L890" s="14" t="s">
        <v>319</v>
      </c>
      <c r="P890" s="14" t="s">
        <v>260</v>
      </c>
      <c r="Q890" s="14" t="s">
        <v>25</v>
      </c>
      <c r="R890" s="14" t="s">
        <v>318</v>
      </c>
    </row>
    <row r="891" spans="1:18" s="14" customFormat="1" x14ac:dyDescent="0.25">
      <c r="A891" s="14" t="str">
        <f>"10001"</f>
        <v>10001</v>
      </c>
      <c r="B891" s="14" t="str">
        <f>"03971"</f>
        <v>03971</v>
      </c>
      <c r="C891" s="14" t="str">
        <f>"1800"</f>
        <v>1800</v>
      </c>
      <c r="D891" s="14" t="str">
        <f>""</f>
        <v/>
      </c>
      <c r="E891" s="14" t="s">
        <v>20</v>
      </c>
      <c r="F891" s="14" t="s">
        <v>357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318</v>
      </c>
      <c r="L891" s="14" t="s">
        <v>319</v>
      </c>
      <c r="P891" s="14" t="s">
        <v>260</v>
      </c>
      <c r="Q891" s="14" t="s">
        <v>25</v>
      </c>
      <c r="R891" s="14" t="s">
        <v>318</v>
      </c>
    </row>
    <row r="892" spans="1:18" s="14" customFormat="1" x14ac:dyDescent="0.25">
      <c r="A892" s="14" t="str">
        <f>"10001"</f>
        <v>10001</v>
      </c>
      <c r="B892" s="14" t="str">
        <f>"03972"</f>
        <v>03972</v>
      </c>
      <c r="C892" s="14" t="str">
        <f>"1800"</f>
        <v>1800</v>
      </c>
      <c r="D892" s="14" t="str">
        <f>""</f>
        <v/>
      </c>
      <c r="E892" s="14" t="s">
        <v>20</v>
      </c>
      <c r="F892" s="14" t="s">
        <v>358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318</v>
      </c>
      <c r="L892" s="14" t="s">
        <v>319</v>
      </c>
      <c r="P892" s="14" t="s">
        <v>260</v>
      </c>
      <c r="Q892" s="14" t="s">
        <v>25</v>
      </c>
      <c r="R892" s="14" t="s">
        <v>318</v>
      </c>
    </row>
    <row r="893" spans="1:18" s="14" customFormat="1" x14ac:dyDescent="0.25">
      <c r="A893" s="14" t="str">
        <f>"10001"</f>
        <v>10001</v>
      </c>
      <c r="B893" s="14" t="str">
        <f>"04000"</f>
        <v>04000</v>
      </c>
      <c r="C893" s="14" t="str">
        <f>"1400"</f>
        <v>1400</v>
      </c>
      <c r="D893" s="14" t="str">
        <f>"04000"</f>
        <v>04000</v>
      </c>
      <c r="E893" s="14" t="s">
        <v>20</v>
      </c>
      <c r="F893" s="14" t="s">
        <v>359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360</v>
      </c>
      <c r="L893" s="14" t="s">
        <v>34</v>
      </c>
      <c r="P893" s="14" t="s">
        <v>31</v>
      </c>
      <c r="Q893" s="14" t="s">
        <v>25</v>
      </c>
      <c r="R893" s="14" t="s">
        <v>35</v>
      </c>
    </row>
    <row r="894" spans="1:18" s="14" customFormat="1" x14ac:dyDescent="0.25">
      <c r="A894" s="14" t="str">
        <f>"10001"</f>
        <v>10001</v>
      </c>
      <c r="B894" s="14" t="str">
        <f>"04010"</f>
        <v>04010</v>
      </c>
      <c r="C894" s="14" t="str">
        <f>"1400"</f>
        <v>1400</v>
      </c>
      <c r="D894" s="14" t="str">
        <f>"04010"</f>
        <v>04010</v>
      </c>
      <c r="E894" s="14" t="s">
        <v>20</v>
      </c>
      <c r="F894" s="14" t="s">
        <v>361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30</v>
      </c>
      <c r="L894" s="14" t="s">
        <v>42</v>
      </c>
      <c r="P894" s="14" t="s">
        <v>24</v>
      </c>
      <c r="Q894" s="14" t="s">
        <v>25</v>
      </c>
      <c r="R894" s="14" t="s">
        <v>43</v>
      </c>
    </row>
    <row r="895" spans="1:18" s="14" customFormat="1" x14ac:dyDescent="0.25">
      <c r="A895" s="14" t="str">
        <f>"10001"</f>
        <v>10001</v>
      </c>
      <c r="B895" s="14" t="str">
        <f>"04015"</f>
        <v>04015</v>
      </c>
      <c r="C895" s="14" t="str">
        <f>"1400"</f>
        <v>1400</v>
      </c>
      <c r="D895" s="14" t="str">
        <f>"04015"</f>
        <v>04015</v>
      </c>
      <c r="E895" s="14" t="s">
        <v>20</v>
      </c>
      <c r="F895" s="14" t="s">
        <v>362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363</v>
      </c>
      <c r="L895" s="14" t="s">
        <v>360</v>
      </c>
      <c r="P895" s="14" t="s">
        <v>31</v>
      </c>
      <c r="Q895" s="14" t="s">
        <v>25</v>
      </c>
      <c r="R895" s="14" t="s">
        <v>35</v>
      </c>
    </row>
    <row r="896" spans="1:18" s="14" customFormat="1" x14ac:dyDescent="0.25">
      <c r="A896" s="14" t="str">
        <f>"10001"</f>
        <v>10001</v>
      </c>
      <c r="B896" s="14" t="str">
        <f>"04020"</f>
        <v>04020</v>
      </c>
      <c r="C896" s="14" t="str">
        <f>"1400"</f>
        <v>1400</v>
      </c>
      <c r="D896" s="14" t="str">
        <f>"04020"</f>
        <v>04020</v>
      </c>
      <c r="E896" s="14" t="s">
        <v>20</v>
      </c>
      <c r="F896" s="14" t="s">
        <v>364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30</v>
      </c>
      <c r="L896" s="14" t="s">
        <v>42</v>
      </c>
      <c r="P896" s="14" t="s">
        <v>24</v>
      </c>
      <c r="Q896" s="14" t="s">
        <v>25</v>
      </c>
      <c r="R896" s="14" t="s">
        <v>43</v>
      </c>
    </row>
    <row r="897" spans="1:18" s="14" customFormat="1" x14ac:dyDescent="0.25">
      <c r="A897" s="14" t="str">
        <f>"10001"</f>
        <v>10001</v>
      </c>
      <c r="B897" s="14" t="str">
        <f>"04030"</f>
        <v>04030</v>
      </c>
      <c r="C897" s="14" t="str">
        <f>"1400"</f>
        <v>1400</v>
      </c>
      <c r="D897" s="14" t="str">
        <f>"04030"</f>
        <v>04030</v>
      </c>
      <c r="E897" s="14" t="s">
        <v>20</v>
      </c>
      <c r="F897" s="14" t="s">
        <v>365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30</v>
      </c>
      <c r="L897" s="14" t="s">
        <v>42</v>
      </c>
      <c r="P897" s="14" t="s">
        <v>24</v>
      </c>
      <c r="Q897" s="14" t="s">
        <v>25</v>
      </c>
      <c r="R897" s="14" t="s">
        <v>43</v>
      </c>
    </row>
    <row r="898" spans="1:18" s="14" customFormat="1" x14ac:dyDescent="0.25">
      <c r="A898" s="14" t="str">
        <f>"10001"</f>
        <v>10001</v>
      </c>
      <c r="B898" s="14" t="str">
        <f>"05000"</f>
        <v>05000</v>
      </c>
      <c r="C898" s="14" t="str">
        <f>"1700"</f>
        <v>1700</v>
      </c>
      <c r="D898" s="14" t="str">
        <f>"05000"</f>
        <v>05000</v>
      </c>
      <c r="E898" s="14" t="s">
        <v>20</v>
      </c>
      <c r="F898" s="14" t="s">
        <v>366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47</v>
      </c>
      <c r="L898" s="14" t="s">
        <v>37</v>
      </c>
      <c r="P898" s="14" t="s">
        <v>31</v>
      </c>
      <c r="Q898" s="14" t="s">
        <v>25</v>
      </c>
      <c r="R898" s="14" t="s">
        <v>367</v>
      </c>
    </row>
    <row r="899" spans="1:18" s="14" customFormat="1" x14ac:dyDescent="0.25">
      <c r="A899" s="14" t="str">
        <f>"10001"</f>
        <v>10001</v>
      </c>
      <c r="B899" s="14" t="str">
        <f>"05001"</f>
        <v>05001</v>
      </c>
      <c r="C899" s="14" t="str">
        <f>"1700"</f>
        <v>1700</v>
      </c>
      <c r="D899" s="14" t="str">
        <f>"05001"</f>
        <v>05001</v>
      </c>
      <c r="E899" s="14" t="s">
        <v>20</v>
      </c>
      <c r="F899" s="14" t="s">
        <v>368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47</v>
      </c>
      <c r="L899" s="14" t="s">
        <v>37</v>
      </c>
      <c r="P899" s="14" t="s">
        <v>31</v>
      </c>
      <c r="Q899" s="14" t="s">
        <v>25</v>
      </c>
      <c r="R899" s="14" t="s">
        <v>367</v>
      </c>
    </row>
    <row r="900" spans="1:18" s="14" customFormat="1" x14ac:dyDescent="0.25">
      <c r="A900" s="14" t="str">
        <f>"10001"</f>
        <v>10001</v>
      </c>
      <c r="B900" s="14" t="str">
        <f>"05005"</f>
        <v>05005</v>
      </c>
      <c r="C900" s="14" t="str">
        <f>"1700"</f>
        <v>1700</v>
      </c>
      <c r="D900" s="14" t="str">
        <f>"05005"</f>
        <v>05005</v>
      </c>
      <c r="E900" s="14" t="s">
        <v>20</v>
      </c>
      <c r="F900" s="14" t="s">
        <v>369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370</v>
      </c>
      <c r="L900" s="14" t="s">
        <v>47</v>
      </c>
      <c r="P900" s="14" t="s">
        <v>31</v>
      </c>
      <c r="Q900" s="14" t="s">
        <v>25</v>
      </c>
      <c r="R900" s="14" t="s">
        <v>370</v>
      </c>
    </row>
    <row r="901" spans="1:18" s="14" customFormat="1" x14ac:dyDescent="0.25">
      <c r="A901" s="14" t="str">
        <f>"10001"</f>
        <v>10001</v>
      </c>
      <c r="B901" s="14" t="str">
        <f>"05010"</f>
        <v>05010</v>
      </c>
      <c r="C901" s="14" t="str">
        <f>"1700"</f>
        <v>1700</v>
      </c>
      <c r="D901" s="14" t="str">
        <f>"05010"</f>
        <v>05010</v>
      </c>
      <c r="E901" s="14" t="s">
        <v>20</v>
      </c>
      <c r="F901" s="14" t="s">
        <v>371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372</v>
      </c>
      <c r="L901" s="14" t="s">
        <v>373</v>
      </c>
      <c r="P901" s="14" t="s">
        <v>31</v>
      </c>
      <c r="Q901" s="14" t="s">
        <v>25</v>
      </c>
      <c r="R901" s="14" t="s">
        <v>372</v>
      </c>
    </row>
    <row r="902" spans="1:18" s="14" customFormat="1" x14ac:dyDescent="0.25">
      <c r="A902" s="14" t="str">
        <f>"10001"</f>
        <v>10001</v>
      </c>
      <c r="B902" s="14" t="str">
        <f>"05020"</f>
        <v>05020</v>
      </c>
      <c r="C902" s="14" t="str">
        <f>"1700"</f>
        <v>1700</v>
      </c>
      <c r="D902" s="14" t="str">
        <f>"05020"</f>
        <v>05020</v>
      </c>
      <c r="E902" s="14" t="s">
        <v>20</v>
      </c>
      <c r="F902" s="14" t="s">
        <v>374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375</v>
      </c>
      <c r="L902" s="14" t="s">
        <v>376</v>
      </c>
      <c r="M902" s="14" t="s">
        <v>377</v>
      </c>
      <c r="N902" s="14" t="s">
        <v>47</v>
      </c>
      <c r="P902" s="14" t="s">
        <v>31</v>
      </c>
      <c r="Q902" s="14" t="s">
        <v>25</v>
      </c>
      <c r="R902" s="14" t="s">
        <v>377</v>
      </c>
    </row>
    <row r="903" spans="1:18" s="14" customFormat="1" x14ac:dyDescent="0.25">
      <c r="A903" s="14" t="str">
        <f>"10001"</f>
        <v>10001</v>
      </c>
      <c r="B903" s="14" t="str">
        <f>"05030"</f>
        <v>05030</v>
      </c>
      <c r="C903" s="14" t="str">
        <f>"1700"</f>
        <v>1700</v>
      </c>
      <c r="D903" s="14" t="str">
        <f>"05030"</f>
        <v>05030</v>
      </c>
      <c r="E903" s="14" t="s">
        <v>20</v>
      </c>
      <c r="F903" s="14" t="s">
        <v>378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377</v>
      </c>
      <c r="L903" s="14" t="s">
        <v>47</v>
      </c>
      <c r="M903" s="14" t="s">
        <v>370</v>
      </c>
      <c r="P903" s="14" t="s">
        <v>31</v>
      </c>
      <c r="Q903" s="14" t="s">
        <v>25</v>
      </c>
      <c r="R903" s="14" t="s">
        <v>379</v>
      </c>
    </row>
    <row r="904" spans="1:18" s="14" customFormat="1" x14ac:dyDescent="0.25">
      <c r="A904" s="14" t="str">
        <f>"10001"</f>
        <v>10001</v>
      </c>
      <c r="B904" s="14" t="str">
        <f>"05060"</f>
        <v>05060</v>
      </c>
      <c r="C904" s="14" t="str">
        <f>"1700"</f>
        <v>1700</v>
      </c>
      <c r="D904" s="14" t="str">
        <f>"05060A"</f>
        <v>05060A</v>
      </c>
      <c r="E904" s="14" t="s">
        <v>20</v>
      </c>
      <c r="F904" s="14" t="s">
        <v>380</v>
      </c>
      <c r="G904" s="14" t="str">
        <f>""</f>
        <v/>
      </c>
      <c r="H904" s="14" t="str">
        <f>" 10"</f>
        <v xml:space="preserve"> 10</v>
      </c>
      <c r="I904" s="14">
        <v>0.01</v>
      </c>
      <c r="J904" s="14">
        <v>500</v>
      </c>
      <c r="K904" s="14" t="s">
        <v>381</v>
      </c>
      <c r="L904" s="14" t="s">
        <v>382</v>
      </c>
      <c r="P904" s="14" t="s">
        <v>31</v>
      </c>
      <c r="Q904" s="14" t="s">
        <v>25</v>
      </c>
      <c r="R904" s="14" t="s">
        <v>383</v>
      </c>
    </row>
    <row r="905" spans="1:18" s="14" customFormat="1" x14ac:dyDescent="0.25">
      <c r="A905" s="14" t="str">
        <f>"10001"</f>
        <v>10001</v>
      </c>
      <c r="B905" s="14" t="str">
        <f>"05060"</f>
        <v>05060</v>
      </c>
      <c r="C905" s="14" t="str">
        <f>"1700"</f>
        <v>1700</v>
      </c>
      <c r="D905" s="14" t="str">
        <f>"05060A"</f>
        <v>05060A</v>
      </c>
      <c r="E905" s="14" t="s">
        <v>20</v>
      </c>
      <c r="F905" s="14" t="s">
        <v>380</v>
      </c>
      <c r="G905" s="14" t="str">
        <f>""</f>
        <v/>
      </c>
      <c r="H905" s="14" t="str">
        <f>" 20"</f>
        <v xml:space="preserve"> 20</v>
      </c>
      <c r="I905" s="14">
        <v>500.01</v>
      </c>
      <c r="J905" s="14">
        <v>9999999.9900000002</v>
      </c>
      <c r="K905" s="14" t="s">
        <v>381</v>
      </c>
      <c r="L905" s="14" t="s">
        <v>47</v>
      </c>
      <c r="M905" s="14" t="s">
        <v>382</v>
      </c>
      <c r="P905" s="14" t="s">
        <v>31</v>
      </c>
      <c r="Q905" s="14" t="s">
        <v>25</v>
      </c>
      <c r="R905" s="14" t="s">
        <v>383</v>
      </c>
    </row>
    <row r="906" spans="1:18" s="14" customFormat="1" x14ac:dyDescent="0.25">
      <c r="A906" s="14" t="str">
        <f>"10001"</f>
        <v>10001</v>
      </c>
      <c r="B906" s="14" t="str">
        <f>"05070"</f>
        <v>05070</v>
      </c>
      <c r="C906" s="14" t="str">
        <f>"1700"</f>
        <v>1700</v>
      </c>
      <c r="D906" s="14" t="str">
        <f>"05070"</f>
        <v>05070</v>
      </c>
      <c r="E906" s="14" t="s">
        <v>20</v>
      </c>
      <c r="F906" s="14" t="s">
        <v>384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381</v>
      </c>
      <c r="L906" s="14" t="s">
        <v>382</v>
      </c>
      <c r="P906" s="14" t="s">
        <v>31</v>
      </c>
      <c r="Q906" s="14" t="s">
        <v>25</v>
      </c>
      <c r="R906" s="14" t="s">
        <v>383</v>
      </c>
    </row>
    <row r="907" spans="1:18" s="14" customFormat="1" x14ac:dyDescent="0.25">
      <c r="A907" s="14" t="str">
        <f>"10001"</f>
        <v>10001</v>
      </c>
      <c r="B907" s="14" t="str">
        <f>"05080"</f>
        <v>05080</v>
      </c>
      <c r="C907" s="14" t="str">
        <f>"1700"</f>
        <v>1700</v>
      </c>
      <c r="D907" s="14" t="str">
        <f>"05080"</f>
        <v>05080</v>
      </c>
      <c r="E907" s="14" t="s">
        <v>20</v>
      </c>
      <c r="F907" s="14" t="s">
        <v>385</v>
      </c>
      <c r="G907" s="14" t="str">
        <f>""</f>
        <v/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386</v>
      </c>
      <c r="L907" s="14" t="s">
        <v>47</v>
      </c>
      <c r="M907" s="14" t="s">
        <v>387</v>
      </c>
      <c r="P907" s="14" t="s">
        <v>31</v>
      </c>
      <c r="Q907" s="14" t="s">
        <v>25</v>
      </c>
      <c r="R907" s="14" t="s">
        <v>388</v>
      </c>
    </row>
    <row r="908" spans="1:18" s="14" customFormat="1" x14ac:dyDescent="0.25">
      <c r="A908" s="14" t="str">
        <f>"10001"</f>
        <v>10001</v>
      </c>
      <c r="B908" s="14" t="str">
        <f>"05090"</f>
        <v>05090</v>
      </c>
      <c r="C908" s="14" t="str">
        <f>"1700"</f>
        <v>1700</v>
      </c>
      <c r="D908" s="14" t="str">
        <f>"05090"</f>
        <v>05090</v>
      </c>
      <c r="E908" s="14" t="s">
        <v>20</v>
      </c>
      <c r="F908" s="14" t="s">
        <v>389</v>
      </c>
      <c r="G908" s="14" t="str">
        <f>""</f>
        <v/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390</v>
      </c>
      <c r="L908" s="14" t="s">
        <v>47</v>
      </c>
      <c r="P908" s="14" t="s">
        <v>31</v>
      </c>
      <c r="Q908" s="14" t="s">
        <v>25</v>
      </c>
      <c r="R908" s="14" t="s">
        <v>390</v>
      </c>
    </row>
    <row r="909" spans="1:18" s="14" customFormat="1" x14ac:dyDescent="0.25">
      <c r="A909" s="14" t="str">
        <f>"10001"</f>
        <v>10001</v>
      </c>
      <c r="B909" s="14" t="str">
        <f>"05110"</f>
        <v>05110</v>
      </c>
      <c r="C909" s="14" t="str">
        <f>"1700"</f>
        <v>1700</v>
      </c>
      <c r="D909" s="14" t="str">
        <f>"05110"</f>
        <v>05110</v>
      </c>
      <c r="E909" s="14" t="s">
        <v>20</v>
      </c>
      <c r="F909" s="14" t="s">
        <v>391</v>
      </c>
      <c r="G909" s="14" t="str">
        <f>""</f>
        <v/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47</v>
      </c>
      <c r="L909" s="14" t="s">
        <v>392</v>
      </c>
      <c r="P909" s="14" t="s">
        <v>31</v>
      </c>
      <c r="Q909" s="14" t="s">
        <v>25</v>
      </c>
      <c r="R909" s="14" t="s">
        <v>392</v>
      </c>
    </row>
    <row r="910" spans="1:18" s="14" customFormat="1" x14ac:dyDescent="0.25">
      <c r="A910" s="14" t="str">
        <f>"10001"</f>
        <v>10001</v>
      </c>
      <c r="B910" s="14" t="str">
        <f>"05115"</f>
        <v>05115</v>
      </c>
      <c r="C910" s="14" t="str">
        <f>"1700"</f>
        <v>1700</v>
      </c>
      <c r="D910" s="14" t="str">
        <f>"05115"</f>
        <v>05115</v>
      </c>
      <c r="E910" s="14" t="s">
        <v>20</v>
      </c>
      <c r="F910" s="14" t="s">
        <v>393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394</v>
      </c>
      <c r="L910" s="14" t="s">
        <v>395</v>
      </c>
      <c r="M910" s="14" t="s">
        <v>396</v>
      </c>
      <c r="N910" s="14" t="s">
        <v>90</v>
      </c>
      <c r="P910" s="14" t="s">
        <v>31</v>
      </c>
      <c r="Q910" s="14" t="s">
        <v>25</v>
      </c>
      <c r="R910" s="14" t="s">
        <v>394</v>
      </c>
    </row>
    <row r="911" spans="1:18" s="14" customFormat="1" x14ac:dyDescent="0.25">
      <c r="A911" s="14" t="str">
        <f>"10001"</f>
        <v>10001</v>
      </c>
      <c r="B911" s="14" t="str">
        <f>"05120"</f>
        <v>05120</v>
      </c>
      <c r="C911" s="14" t="str">
        <f>"1700"</f>
        <v>1700</v>
      </c>
      <c r="D911" s="14" t="str">
        <f>"05120"</f>
        <v>05120</v>
      </c>
      <c r="E911" s="14" t="s">
        <v>20</v>
      </c>
      <c r="F911" s="14" t="s">
        <v>397</v>
      </c>
      <c r="G911" s="14" t="str">
        <f>""</f>
        <v/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395</v>
      </c>
      <c r="L911" s="14" t="s">
        <v>398</v>
      </c>
      <c r="M911" s="14" t="s">
        <v>90</v>
      </c>
      <c r="P911" s="14" t="s">
        <v>31</v>
      </c>
      <c r="Q911" s="14" t="s">
        <v>25</v>
      </c>
      <c r="R911" s="14" t="s">
        <v>399</v>
      </c>
    </row>
    <row r="912" spans="1:18" s="14" customFormat="1" x14ac:dyDescent="0.25">
      <c r="A912" s="14" t="str">
        <f>"10001"</f>
        <v>10001</v>
      </c>
      <c r="B912" s="14" t="str">
        <f>"05140"</f>
        <v>05140</v>
      </c>
      <c r="C912" s="14" t="str">
        <f>"1700"</f>
        <v>1700</v>
      </c>
      <c r="D912" s="14" t="str">
        <f>"05140"</f>
        <v>05140</v>
      </c>
      <c r="E912" s="14" t="s">
        <v>20</v>
      </c>
      <c r="F912" s="14" t="s">
        <v>400</v>
      </c>
      <c r="G912" s="14" t="str">
        <f>""</f>
        <v/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37</v>
      </c>
      <c r="L912" s="14" t="s">
        <v>34</v>
      </c>
      <c r="P912" s="14" t="s">
        <v>39</v>
      </c>
      <c r="Q912" s="14" t="s">
        <v>25</v>
      </c>
      <c r="R912" s="14" t="s">
        <v>401</v>
      </c>
    </row>
    <row r="913" spans="1:18" s="14" customFormat="1" x14ac:dyDescent="0.25">
      <c r="A913" s="14" t="str">
        <f>"10001"</f>
        <v>10001</v>
      </c>
      <c r="B913" s="14" t="str">
        <f>"05150"</f>
        <v>05150</v>
      </c>
      <c r="C913" s="14" t="str">
        <f>"1700"</f>
        <v>1700</v>
      </c>
      <c r="D913" s="14" t="str">
        <f>"05150"</f>
        <v>05150</v>
      </c>
      <c r="E913" s="14" t="s">
        <v>20</v>
      </c>
      <c r="F913" s="14" t="s">
        <v>402</v>
      </c>
      <c r="G913" s="14" t="str">
        <f>""</f>
        <v/>
      </c>
      <c r="H913" s="14" t="str">
        <f>" 10"</f>
        <v xml:space="preserve"> 10</v>
      </c>
      <c r="I913" s="14">
        <v>0.01</v>
      </c>
      <c r="J913" s="14">
        <v>500</v>
      </c>
      <c r="K913" s="14" t="s">
        <v>403</v>
      </c>
      <c r="L913" s="14" t="s">
        <v>404</v>
      </c>
      <c r="P913" s="14" t="s">
        <v>39</v>
      </c>
      <c r="Q913" s="14" t="s">
        <v>25</v>
      </c>
      <c r="R913" s="14" t="s">
        <v>403</v>
      </c>
    </row>
    <row r="914" spans="1:18" s="14" customFormat="1" x14ac:dyDescent="0.25">
      <c r="A914" s="14" t="str">
        <f>"10001"</f>
        <v>10001</v>
      </c>
      <c r="B914" s="14" t="str">
        <f>"05150"</f>
        <v>05150</v>
      </c>
      <c r="C914" s="14" t="str">
        <f>"1700"</f>
        <v>1700</v>
      </c>
      <c r="D914" s="14" t="str">
        <f>"05150"</f>
        <v>05150</v>
      </c>
      <c r="E914" s="14" t="s">
        <v>20</v>
      </c>
      <c r="F914" s="14" t="s">
        <v>402</v>
      </c>
      <c r="G914" s="14" t="str">
        <f>""</f>
        <v/>
      </c>
      <c r="H914" s="14" t="str">
        <f>" 20"</f>
        <v xml:space="preserve"> 20</v>
      </c>
      <c r="I914" s="14">
        <v>500.01</v>
      </c>
      <c r="J914" s="14">
        <v>9999999.9900000002</v>
      </c>
      <c r="K914" s="14" t="s">
        <v>404</v>
      </c>
      <c r="L914" s="14" t="s">
        <v>405</v>
      </c>
      <c r="P914" s="14" t="s">
        <v>39</v>
      </c>
      <c r="Q914" s="14" t="s">
        <v>25</v>
      </c>
      <c r="R914" s="14" t="s">
        <v>403</v>
      </c>
    </row>
    <row r="915" spans="1:18" s="14" customFormat="1" x14ac:dyDescent="0.25">
      <c r="A915" s="14" t="str">
        <f>"10001"</f>
        <v>10001</v>
      </c>
      <c r="B915" s="14" t="str">
        <f>"05160"</f>
        <v>05160</v>
      </c>
      <c r="C915" s="14" t="str">
        <f>"1700"</f>
        <v>1700</v>
      </c>
      <c r="D915" s="14" t="str">
        <f>"05160"</f>
        <v>05160</v>
      </c>
      <c r="E915" s="14" t="s">
        <v>20</v>
      </c>
      <c r="F915" s="14" t="s">
        <v>406</v>
      </c>
      <c r="G915" s="14" t="str">
        <f>""</f>
        <v/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318</v>
      </c>
      <c r="L915" s="14" t="s">
        <v>319</v>
      </c>
      <c r="M915" s="14" t="s">
        <v>90</v>
      </c>
      <c r="P915" s="14" t="s">
        <v>31</v>
      </c>
      <c r="Q915" s="14" t="s">
        <v>25</v>
      </c>
      <c r="R915" s="14" t="s">
        <v>318</v>
      </c>
    </row>
    <row r="916" spans="1:18" s="14" customFormat="1" x14ac:dyDescent="0.25">
      <c r="A916" s="14" t="str">
        <f>"10001"</f>
        <v>10001</v>
      </c>
      <c r="B916" s="14" t="str">
        <f>"05500"</f>
        <v>05500</v>
      </c>
      <c r="C916" s="14" t="str">
        <f>"1700"</f>
        <v>1700</v>
      </c>
      <c r="D916" s="14" t="str">
        <f>"05500"</f>
        <v>05500</v>
      </c>
      <c r="E916" s="14" t="s">
        <v>20</v>
      </c>
      <c r="F916" s="14" t="s">
        <v>407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90</v>
      </c>
      <c r="P916" s="14" t="s">
        <v>31</v>
      </c>
      <c r="Q916" s="14" t="s">
        <v>25</v>
      </c>
      <c r="R916" s="14" t="s">
        <v>408</v>
      </c>
    </row>
    <row r="917" spans="1:18" s="14" customFormat="1" x14ac:dyDescent="0.25">
      <c r="A917" s="14" t="str">
        <f>"10001"</f>
        <v>10001</v>
      </c>
      <c r="B917" s="14" t="str">
        <f>"06000"</f>
        <v>06000</v>
      </c>
      <c r="C917" s="14" t="str">
        <f>"1700"</f>
        <v>1700</v>
      </c>
      <c r="D917" s="14" t="str">
        <f>"06000A"</f>
        <v>06000A</v>
      </c>
      <c r="E917" s="14" t="s">
        <v>20</v>
      </c>
      <c r="F917" s="14" t="s">
        <v>409</v>
      </c>
      <c r="G917" s="14" t="str">
        <f>""</f>
        <v/>
      </c>
      <c r="H917" s="14" t="str">
        <f>" 10"</f>
        <v xml:space="preserve"> 10</v>
      </c>
      <c r="I917" s="14">
        <v>0.01</v>
      </c>
      <c r="J917" s="14">
        <v>500</v>
      </c>
      <c r="K917" s="14" t="s">
        <v>410</v>
      </c>
      <c r="L917" s="14" t="s">
        <v>411</v>
      </c>
      <c r="M917" s="14" t="s">
        <v>412</v>
      </c>
      <c r="N917" s="14" t="s">
        <v>413</v>
      </c>
      <c r="P917" s="14" t="s">
        <v>39</v>
      </c>
      <c r="Q917" s="14" t="s">
        <v>25</v>
      </c>
      <c r="R917" s="14" t="s">
        <v>410</v>
      </c>
    </row>
    <row r="918" spans="1:18" s="14" customFormat="1" x14ac:dyDescent="0.25">
      <c r="A918" s="14" t="str">
        <f>"10001"</f>
        <v>10001</v>
      </c>
      <c r="B918" s="14" t="str">
        <f>"06000"</f>
        <v>06000</v>
      </c>
      <c r="C918" s="14" t="str">
        <f>"1700"</f>
        <v>1700</v>
      </c>
      <c r="D918" s="14" t="str">
        <f>"06000A"</f>
        <v>06000A</v>
      </c>
      <c r="E918" s="14" t="s">
        <v>20</v>
      </c>
      <c r="F918" s="14" t="s">
        <v>409</v>
      </c>
      <c r="G918" s="14" t="str">
        <f>""</f>
        <v/>
      </c>
      <c r="H918" s="14" t="str">
        <f>" 20"</f>
        <v xml:space="preserve"> 20</v>
      </c>
      <c r="I918" s="14">
        <v>500.01</v>
      </c>
      <c r="J918" s="14">
        <v>9999999.9900000002</v>
      </c>
      <c r="K918" s="14" t="s">
        <v>414</v>
      </c>
      <c r="L918" s="14" t="s">
        <v>411</v>
      </c>
      <c r="M918" s="14" t="s">
        <v>412</v>
      </c>
      <c r="P918" s="14" t="s">
        <v>39</v>
      </c>
      <c r="Q918" s="14" t="s">
        <v>25</v>
      </c>
      <c r="R918" s="14" t="s">
        <v>410</v>
      </c>
    </row>
    <row r="919" spans="1:18" s="14" customFormat="1" x14ac:dyDescent="0.25">
      <c r="A919" s="14" t="str">
        <f>"10001"</f>
        <v>10001</v>
      </c>
      <c r="B919" s="14" t="str">
        <f>"06005"</f>
        <v>06005</v>
      </c>
      <c r="C919" s="14" t="str">
        <f>"1700"</f>
        <v>1700</v>
      </c>
      <c r="D919" s="14" t="str">
        <f>"06005"</f>
        <v>06005</v>
      </c>
      <c r="E919" s="14" t="s">
        <v>20</v>
      </c>
      <c r="F919" s="14" t="s">
        <v>415</v>
      </c>
      <c r="G919" s="14" t="str">
        <f>""</f>
        <v/>
      </c>
      <c r="H919" s="14" t="str">
        <f>" 10"</f>
        <v xml:space="preserve"> 10</v>
      </c>
      <c r="I919" s="14">
        <v>0.01</v>
      </c>
      <c r="J919" s="14">
        <v>500</v>
      </c>
      <c r="K919" s="14" t="s">
        <v>410</v>
      </c>
      <c r="L919" s="14" t="s">
        <v>411</v>
      </c>
      <c r="M919" s="14" t="s">
        <v>412</v>
      </c>
      <c r="N919" s="14" t="s">
        <v>413</v>
      </c>
      <c r="P919" s="14" t="s">
        <v>39</v>
      </c>
      <c r="Q919" s="14" t="s">
        <v>25</v>
      </c>
      <c r="R919" s="14" t="s">
        <v>410</v>
      </c>
    </row>
    <row r="920" spans="1:18" s="14" customFormat="1" x14ac:dyDescent="0.25">
      <c r="A920" s="14" t="str">
        <f>"10001"</f>
        <v>10001</v>
      </c>
      <c r="B920" s="14" t="str">
        <f>"06005"</f>
        <v>06005</v>
      </c>
      <c r="C920" s="14" t="str">
        <f>"1700"</f>
        <v>1700</v>
      </c>
      <c r="D920" s="14" t="str">
        <f>"06005"</f>
        <v>06005</v>
      </c>
      <c r="E920" s="14" t="s">
        <v>20</v>
      </c>
      <c r="F920" s="14" t="s">
        <v>415</v>
      </c>
      <c r="G920" s="14" t="str">
        <f>""</f>
        <v/>
      </c>
      <c r="H920" s="14" t="str">
        <f>" 20"</f>
        <v xml:space="preserve"> 20</v>
      </c>
      <c r="I920" s="14">
        <v>500.01</v>
      </c>
      <c r="J920" s="14">
        <v>9999999.9900000002</v>
      </c>
      <c r="K920" s="14" t="s">
        <v>414</v>
      </c>
      <c r="L920" s="14" t="s">
        <v>411</v>
      </c>
      <c r="M920" s="14" t="s">
        <v>412</v>
      </c>
      <c r="P920" s="14" t="s">
        <v>39</v>
      </c>
      <c r="Q920" s="14" t="s">
        <v>25</v>
      </c>
      <c r="R920" s="14" t="s">
        <v>410</v>
      </c>
    </row>
    <row r="921" spans="1:18" s="14" customFormat="1" x14ac:dyDescent="0.25">
      <c r="A921" s="14" t="str">
        <f>"10001"</f>
        <v>10001</v>
      </c>
      <c r="B921" s="14" t="str">
        <f>"06010"</f>
        <v>06010</v>
      </c>
      <c r="C921" s="14" t="str">
        <f>"1700"</f>
        <v>1700</v>
      </c>
      <c r="D921" s="14" t="str">
        <f>"06010C"</f>
        <v>06010C</v>
      </c>
      <c r="E921" s="14" t="s">
        <v>20</v>
      </c>
      <c r="F921" s="14" t="s">
        <v>416</v>
      </c>
      <c r="G921" s="14" t="str">
        <f>""</f>
        <v/>
      </c>
      <c r="H921" s="14" t="str">
        <f>" 10"</f>
        <v xml:space="preserve"> 10</v>
      </c>
      <c r="I921" s="14">
        <v>0.01</v>
      </c>
      <c r="J921" s="14">
        <v>500</v>
      </c>
      <c r="K921" s="14" t="s">
        <v>410</v>
      </c>
      <c r="L921" s="14" t="s">
        <v>411</v>
      </c>
      <c r="M921" s="14" t="s">
        <v>412</v>
      </c>
      <c r="N921" s="14" t="s">
        <v>413</v>
      </c>
      <c r="P921" s="14" t="s">
        <v>39</v>
      </c>
      <c r="Q921" s="14" t="s">
        <v>25</v>
      </c>
      <c r="R921" s="14" t="s">
        <v>410</v>
      </c>
    </row>
    <row r="922" spans="1:18" s="14" customFormat="1" x14ac:dyDescent="0.25">
      <c r="A922" s="14" t="str">
        <f>"10001"</f>
        <v>10001</v>
      </c>
      <c r="B922" s="14" t="str">
        <f>"06010"</f>
        <v>06010</v>
      </c>
      <c r="C922" s="14" t="str">
        <f>"1700"</f>
        <v>1700</v>
      </c>
      <c r="D922" s="14" t="str">
        <f>"06010C"</f>
        <v>06010C</v>
      </c>
      <c r="E922" s="14" t="s">
        <v>20</v>
      </c>
      <c r="F922" s="14" t="s">
        <v>416</v>
      </c>
      <c r="G922" s="14" t="str">
        <f>""</f>
        <v/>
      </c>
      <c r="H922" s="14" t="str">
        <f>" 20"</f>
        <v xml:space="preserve"> 20</v>
      </c>
      <c r="I922" s="14">
        <v>500.01</v>
      </c>
      <c r="J922" s="14">
        <v>9999999.9900000002</v>
      </c>
      <c r="K922" s="14" t="s">
        <v>414</v>
      </c>
      <c r="L922" s="14" t="s">
        <v>411</v>
      </c>
      <c r="M922" s="14" t="s">
        <v>412</v>
      </c>
      <c r="P922" s="14" t="s">
        <v>39</v>
      </c>
      <c r="Q922" s="14" t="s">
        <v>25</v>
      </c>
      <c r="R922" s="14" t="s">
        <v>410</v>
      </c>
    </row>
    <row r="923" spans="1:18" s="14" customFormat="1" x14ac:dyDescent="0.25">
      <c r="A923" s="14" t="str">
        <f>"10001"</f>
        <v>10001</v>
      </c>
      <c r="B923" s="14" t="str">
        <f>"06020"</f>
        <v>06020</v>
      </c>
      <c r="C923" s="14" t="str">
        <f>"1700"</f>
        <v>1700</v>
      </c>
      <c r="D923" s="14" t="str">
        <f>"06020"</f>
        <v>06020</v>
      </c>
      <c r="E923" s="14" t="s">
        <v>20</v>
      </c>
      <c r="F923" s="14" t="s">
        <v>417</v>
      </c>
      <c r="G923" s="14" t="str">
        <f>""</f>
        <v/>
      </c>
      <c r="H923" s="14" t="str">
        <f>" 10"</f>
        <v xml:space="preserve"> 10</v>
      </c>
      <c r="I923" s="14">
        <v>0.01</v>
      </c>
      <c r="J923" s="14">
        <v>500</v>
      </c>
      <c r="K923" s="14" t="s">
        <v>410</v>
      </c>
      <c r="L923" s="14" t="s">
        <v>411</v>
      </c>
      <c r="M923" s="14" t="s">
        <v>412</v>
      </c>
      <c r="N923" s="14" t="s">
        <v>413</v>
      </c>
      <c r="P923" s="14" t="s">
        <v>39</v>
      </c>
      <c r="Q923" s="14" t="s">
        <v>25</v>
      </c>
      <c r="R923" s="14" t="s">
        <v>410</v>
      </c>
    </row>
    <row r="924" spans="1:18" s="14" customFormat="1" x14ac:dyDescent="0.25">
      <c r="A924" s="14" t="str">
        <f>"10001"</f>
        <v>10001</v>
      </c>
      <c r="B924" s="14" t="str">
        <f>"06020"</f>
        <v>06020</v>
      </c>
      <c r="C924" s="14" t="str">
        <f>"1700"</f>
        <v>1700</v>
      </c>
      <c r="D924" s="14" t="str">
        <f>"06020"</f>
        <v>06020</v>
      </c>
      <c r="E924" s="14" t="s">
        <v>20</v>
      </c>
      <c r="F924" s="14" t="s">
        <v>417</v>
      </c>
      <c r="G924" s="14" t="str">
        <f>""</f>
        <v/>
      </c>
      <c r="H924" s="14" t="str">
        <f>" 20"</f>
        <v xml:space="preserve"> 20</v>
      </c>
      <c r="I924" s="14">
        <v>500.01</v>
      </c>
      <c r="J924" s="14">
        <v>9999999.9900000002</v>
      </c>
      <c r="K924" s="14" t="s">
        <v>414</v>
      </c>
      <c r="L924" s="14" t="s">
        <v>411</v>
      </c>
      <c r="M924" s="14" t="s">
        <v>412</v>
      </c>
      <c r="N924" s="14" t="s">
        <v>418</v>
      </c>
      <c r="P924" s="14" t="s">
        <v>39</v>
      </c>
      <c r="Q924" s="14" t="s">
        <v>25</v>
      </c>
      <c r="R924" s="14" t="s">
        <v>410</v>
      </c>
    </row>
    <row r="925" spans="1:18" s="14" customFormat="1" x14ac:dyDescent="0.25">
      <c r="A925" s="14" t="str">
        <f>"10001"</f>
        <v>10001</v>
      </c>
      <c r="B925" s="14" t="str">
        <f>"06025"</f>
        <v>06025</v>
      </c>
      <c r="C925" s="14" t="str">
        <f>"1700"</f>
        <v>1700</v>
      </c>
      <c r="D925" s="14" t="str">
        <f>"06025"</f>
        <v>06025</v>
      </c>
      <c r="E925" s="14" t="s">
        <v>20</v>
      </c>
      <c r="F925" s="14" t="s">
        <v>419</v>
      </c>
      <c r="G925" s="14" t="str">
        <f>""</f>
        <v/>
      </c>
      <c r="H925" s="14" t="str">
        <f>" 10"</f>
        <v xml:space="preserve"> 10</v>
      </c>
      <c r="I925" s="14">
        <v>0.01</v>
      </c>
      <c r="J925" s="14">
        <v>500</v>
      </c>
      <c r="K925" s="14" t="s">
        <v>410</v>
      </c>
      <c r="L925" s="14" t="s">
        <v>411</v>
      </c>
      <c r="M925" s="14" t="s">
        <v>412</v>
      </c>
      <c r="N925" s="14" t="s">
        <v>413</v>
      </c>
      <c r="P925" s="14" t="s">
        <v>39</v>
      </c>
      <c r="Q925" s="14" t="s">
        <v>25</v>
      </c>
      <c r="R925" s="14" t="s">
        <v>410</v>
      </c>
    </row>
    <row r="926" spans="1:18" s="14" customFormat="1" x14ac:dyDescent="0.25">
      <c r="A926" s="14" t="str">
        <f>"10001"</f>
        <v>10001</v>
      </c>
      <c r="B926" s="14" t="str">
        <f>"06025"</f>
        <v>06025</v>
      </c>
      <c r="C926" s="14" t="str">
        <f>"1700"</f>
        <v>1700</v>
      </c>
      <c r="D926" s="14" t="str">
        <f>"06025"</f>
        <v>06025</v>
      </c>
      <c r="E926" s="14" t="s">
        <v>20</v>
      </c>
      <c r="F926" s="14" t="s">
        <v>419</v>
      </c>
      <c r="G926" s="14" t="str">
        <f>""</f>
        <v/>
      </c>
      <c r="H926" s="14" t="str">
        <f>" 20"</f>
        <v xml:space="preserve"> 20</v>
      </c>
      <c r="I926" s="14">
        <v>500.01</v>
      </c>
      <c r="J926" s="14">
        <v>9999999.9900000002</v>
      </c>
      <c r="K926" s="14" t="s">
        <v>414</v>
      </c>
      <c r="L926" s="14" t="s">
        <v>418</v>
      </c>
      <c r="M926" s="14" t="s">
        <v>411</v>
      </c>
      <c r="N926" s="14" t="s">
        <v>412</v>
      </c>
      <c r="P926" s="14" t="s">
        <v>39</v>
      </c>
      <c r="Q926" s="14" t="s">
        <v>25</v>
      </c>
      <c r="R926" s="14" t="s">
        <v>410</v>
      </c>
    </row>
    <row r="927" spans="1:18" s="14" customFormat="1" x14ac:dyDescent="0.25">
      <c r="A927" s="14" t="str">
        <f>"10001"</f>
        <v>10001</v>
      </c>
      <c r="B927" s="14" t="str">
        <f>"06030"</f>
        <v>06030</v>
      </c>
      <c r="C927" s="14" t="str">
        <f>"1700"</f>
        <v>1700</v>
      </c>
      <c r="D927" s="14" t="str">
        <f>"06030C"</f>
        <v>06030C</v>
      </c>
      <c r="E927" s="14" t="s">
        <v>20</v>
      </c>
      <c r="F927" s="14" t="s">
        <v>420</v>
      </c>
      <c r="G927" s="14" t="str">
        <f>""</f>
        <v/>
      </c>
      <c r="H927" s="14" t="str">
        <f>" 10"</f>
        <v xml:space="preserve"> 10</v>
      </c>
      <c r="I927" s="14">
        <v>0.01</v>
      </c>
      <c r="J927" s="14">
        <v>500</v>
      </c>
      <c r="K927" s="14" t="s">
        <v>410</v>
      </c>
      <c r="L927" s="14" t="s">
        <v>411</v>
      </c>
      <c r="M927" s="14" t="s">
        <v>412</v>
      </c>
      <c r="N927" s="14" t="s">
        <v>413</v>
      </c>
      <c r="P927" s="14" t="s">
        <v>39</v>
      </c>
      <c r="Q927" s="14" t="s">
        <v>25</v>
      </c>
      <c r="R927" s="14" t="s">
        <v>410</v>
      </c>
    </row>
    <row r="928" spans="1:18" s="14" customFormat="1" x14ac:dyDescent="0.25">
      <c r="A928" s="14" t="str">
        <f>"10001"</f>
        <v>10001</v>
      </c>
      <c r="B928" s="14" t="str">
        <f>"06030"</f>
        <v>06030</v>
      </c>
      <c r="C928" s="14" t="str">
        <f>"1700"</f>
        <v>1700</v>
      </c>
      <c r="D928" s="14" t="str">
        <f>"06030C"</f>
        <v>06030C</v>
      </c>
      <c r="E928" s="14" t="s">
        <v>20</v>
      </c>
      <c r="F928" s="14" t="s">
        <v>420</v>
      </c>
      <c r="G928" s="14" t="str">
        <f>""</f>
        <v/>
      </c>
      <c r="H928" s="14" t="str">
        <f>" 20"</f>
        <v xml:space="preserve"> 20</v>
      </c>
      <c r="I928" s="14">
        <v>500.01</v>
      </c>
      <c r="J928" s="14">
        <v>9999999.9900000002</v>
      </c>
      <c r="K928" s="14" t="s">
        <v>414</v>
      </c>
      <c r="L928" s="14" t="s">
        <v>411</v>
      </c>
      <c r="M928" s="14" t="s">
        <v>412</v>
      </c>
      <c r="P928" s="14" t="s">
        <v>39</v>
      </c>
      <c r="Q928" s="14" t="s">
        <v>25</v>
      </c>
      <c r="R928" s="14" t="s">
        <v>410</v>
      </c>
    </row>
    <row r="929" spans="1:18" s="14" customFormat="1" x14ac:dyDescent="0.25">
      <c r="A929" s="14" t="str">
        <f>"10001"</f>
        <v>10001</v>
      </c>
      <c r="B929" s="14" t="str">
        <f>"06040"</f>
        <v>06040</v>
      </c>
      <c r="C929" s="14" t="str">
        <f>"1700"</f>
        <v>1700</v>
      </c>
      <c r="D929" s="14" t="str">
        <f>"06040C"</f>
        <v>06040C</v>
      </c>
      <c r="E929" s="14" t="s">
        <v>20</v>
      </c>
      <c r="F929" s="14" t="s">
        <v>421</v>
      </c>
      <c r="G929" s="14" t="str">
        <f>""</f>
        <v/>
      </c>
      <c r="H929" s="14" t="str">
        <f>" 10"</f>
        <v xml:space="preserve"> 10</v>
      </c>
      <c r="I929" s="14">
        <v>0.01</v>
      </c>
      <c r="J929" s="14">
        <v>500</v>
      </c>
      <c r="K929" s="14" t="s">
        <v>410</v>
      </c>
      <c r="L929" s="14" t="s">
        <v>411</v>
      </c>
      <c r="M929" s="14" t="s">
        <v>412</v>
      </c>
      <c r="N929" s="14" t="s">
        <v>413</v>
      </c>
      <c r="P929" s="14" t="s">
        <v>39</v>
      </c>
      <c r="Q929" s="14" t="s">
        <v>25</v>
      </c>
      <c r="R929" s="14" t="s">
        <v>410</v>
      </c>
    </row>
    <row r="930" spans="1:18" s="14" customFormat="1" x14ac:dyDescent="0.25">
      <c r="A930" s="14" t="str">
        <f>"10001"</f>
        <v>10001</v>
      </c>
      <c r="B930" s="14" t="str">
        <f>"06040"</f>
        <v>06040</v>
      </c>
      <c r="C930" s="14" t="str">
        <f>"1700"</f>
        <v>1700</v>
      </c>
      <c r="D930" s="14" t="str">
        <f>"06040C"</f>
        <v>06040C</v>
      </c>
      <c r="E930" s="14" t="s">
        <v>20</v>
      </c>
      <c r="F930" s="14" t="s">
        <v>421</v>
      </c>
      <c r="G930" s="14" t="str">
        <f>""</f>
        <v/>
      </c>
      <c r="H930" s="14" t="str">
        <f>" 20"</f>
        <v xml:space="preserve"> 20</v>
      </c>
      <c r="I930" s="14">
        <v>500.01</v>
      </c>
      <c r="J930" s="14">
        <v>9999999.9900000002</v>
      </c>
      <c r="K930" s="14" t="s">
        <v>414</v>
      </c>
      <c r="L930" s="14" t="s">
        <v>411</v>
      </c>
      <c r="M930" s="14" t="s">
        <v>412</v>
      </c>
      <c r="P930" s="14" t="s">
        <v>39</v>
      </c>
      <c r="Q930" s="14" t="s">
        <v>25</v>
      </c>
      <c r="R930" s="14" t="s">
        <v>410</v>
      </c>
    </row>
    <row r="931" spans="1:18" s="14" customFormat="1" x14ac:dyDescent="0.25">
      <c r="A931" s="14" t="str">
        <f>"10001"</f>
        <v>10001</v>
      </c>
      <c r="B931" s="14" t="str">
        <f>"06050"</f>
        <v>06050</v>
      </c>
      <c r="C931" s="14" t="str">
        <f>"1700"</f>
        <v>1700</v>
      </c>
      <c r="D931" s="14" t="str">
        <f>"06050C"</f>
        <v>06050C</v>
      </c>
      <c r="E931" s="14" t="s">
        <v>20</v>
      </c>
      <c r="F931" s="14" t="s">
        <v>422</v>
      </c>
      <c r="G931" s="14" t="str">
        <f>""</f>
        <v/>
      </c>
      <c r="H931" s="14" t="str">
        <f>" 10"</f>
        <v xml:space="preserve"> 10</v>
      </c>
      <c r="I931" s="14">
        <v>0.01</v>
      </c>
      <c r="J931" s="14">
        <v>500</v>
      </c>
      <c r="K931" s="14" t="s">
        <v>410</v>
      </c>
      <c r="L931" s="14" t="s">
        <v>411</v>
      </c>
      <c r="M931" s="14" t="s">
        <v>412</v>
      </c>
      <c r="N931" s="14" t="s">
        <v>413</v>
      </c>
      <c r="P931" s="14" t="s">
        <v>39</v>
      </c>
      <c r="Q931" s="14" t="s">
        <v>25</v>
      </c>
      <c r="R931" s="14" t="s">
        <v>410</v>
      </c>
    </row>
    <row r="932" spans="1:18" s="14" customFormat="1" x14ac:dyDescent="0.25">
      <c r="A932" s="14" t="str">
        <f>"10001"</f>
        <v>10001</v>
      </c>
      <c r="B932" s="14" t="str">
        <f>"06050"</f>
        <v>06050</v>
      </c>
      <c r="C932" s="14" t="str">
        <f>"1700"</f>
        <v>1700</v>
      </c>
      <c r="D932" s="14" t="str">
        <f>"06050C"</f>
        <v>06050C</v>
      </c>
      <c r="E932" s="14" t="s">
        <v>20</v>
      </c>
      <c r="F932" s="14" t="s">
        <v>422</v>
      </c>
      <c r="G932" s="14" t="str">
        <f>""</f>
        <v/>
      </c>
      <c r="H932" s="14" t="str">
        <f>" 20"</f>
        <v xml:space="preserve"> 20</v>
      </c>
      <c r="I932" s="14">
        <v>500.01</v>
      </c>
      <c r="J932" s="14">
        <v>9999999.9900000002</v>
      </c>
      <c r="K932" s="14" t="s">
        <v>414</v>
      </c>
      <c r="L932" s="14" t="s">
        <v>411</v>
      </c>
      <c r="M932" s="14" t="s">
        <v>412</v>
      </c>
      <c r="P932" s="14" t="s">
        <v>39</v>
      </c>
      <c r="Q932" s="14" t="s">
        <v>25</v>
      </c>
      <c r="R932" s="14" t="s">
        <v>410</v>
      </c>
    </row>
    <row r="933" spans="1:18" s="14" customFormat="1" x14ac:dyDescent="0.25">
      <c r="A933" s="14" t="str">
        <f>"10001"</f>
        <v>10001</v>
      </c>
      <c r="B933" s="14" t="str">
        <f>"06060"</f>
        <v>06060</v>
      </c>
      <c r="C933" s="14" t="str">
        <f>"1700"</f>
        <v>1700</v>
      </c>
      <c r="D933" s="14" t="str">
        <f>"06060C"</f>
        <v>06060C</v>
      </c>
      <c r="E933" s="14" t="s">
        <v>20</v>
      </c>
      <c r="F933" s="14" t="s">
        <v>423</v>
      </c>
      <c r="G933" s="14" t="str">
        <f>""</f>
        <v/>
      </c>
      <c r="H933" s="14" t="str">
        <f>" 10"</f>
        <v xml:space="preserve"> 10</v>
      </c>
      <c r="I933" s="14">
        <v>0.01</v>
      </c>
      <c r="J933" s="14">
        <v>500</v>
      </c>
      <c r="K933" s="14" t="s">
        <v>410</v>
      </c>
      <c r="L933" s="14" t="s">
        <v>411</v>
      </c>
      <c r="M933" s="14" t="s">
        <v>412</v>
      </c>
      <c r="N933" s="14" t="s">
        <v>413</v>
      </c>
      <c r="P933" s="14" t="s">
        <v>39</v>
      </c>
      <c r="Q933" s="14" t="s">
        <v>25</v>
      </c>
      <c r="R933" s="14" t="s">
        <v>410</v>
      </c>
    </row>
    <row r="934" spans="1:18" s="14" customFormat="1" x14ac:dyDescent="0.25">
      <c r="A934" s="14" t="str">
        <f>"10001"</f>
        <v>10001</v>
      </c>
      <c r="B934" s="14" t="str">
        <f>"06060"</f>
        <v>06060</v>
      </c>
      <c r="C934" s="14" t="str">
        <f>"1700"</f>
        <v>1700</v>
      </c>
      <c r="D934" s="14" t="str">
        <f>"06060C"</f>
        <v>06060C</v>
      </c>
      <c r="E934" s="14" t="s">
        <v>20</v>
      </c>
      <c r="F934" s="14" t="s">
        <v>423</v>
      </c>
      <c r="G934" s="14" t="str">
        <f>""</f>
        <v/>
      </c>
      <c r="H934" s="14" t="str">
        <f>" 20"</f>
        <v xml:space="preserve"> 20</v>
      </c>
      <c r="I934" s="14">
        <v>500.01</v>
      </c>
      <c r="J934" s="14">
        <v>9999999.9900000002</v>
      </c>
      <c r="K934" s="14" t="s">
        <v>414</v>
      </c>
      <c r="L934" s="14" t="s">
        <v>411</v>
      </c>
      <c r="M934" s="14" t="s">
        <v>412</v>
      </c>
      <c r="P934" s="14" t="s">
        <v>39</v>
      </c>
      <c r="Q934" s="14" t="s">
        <v>25</v>
      </c>
      <c r="R934" s="14" t="s">
        <v>410</v>
      </c>
    </row>
    <row r="935" spans="1:18" s="14" customFormat="1" x14ac:dyDescent="0.25">
      <c r="A935" s="14" t="str">
        <f>"10001"</f>
        <v>10001</v>
      </c>
      <c r="B935" s="14" t="str">
        <f>"06070"</f>
        <v>06070</v>
      </c>
      <c r="C935" s="14" t="str">
        <f>"1700"</f>
        <v>1700</v>
      </c>
      <c r="D935" s="14" t="str">
        <f>"06070C"</f>
        <v>06070C</v>
      </c>
      <c r="E935" s="14" t="s">
        <v>20</v>
      </c>
      <c r="F935" s="14" t="s">
        <v>424</v>
      </c>
      <c r="G935" s="14" t="str">
        <f>""</f>
        <v/>
      </c>
      <c r="H935" s="14" t="str">
        <f>" 10"</f>
        <v xml:space="preserve"> 10</v>
      </c>
      <c r="I935" s="14">
        <v>0.01</v>
      </c>
      <c r="J935" s="14">
        <v>500</v>
      </c>
      <c r="K935" s="14" t="s">
        <v>410</v>
      </c>
      <c r="L935" s="14" t="s">
        <v>411</v>
      </c>
      <c r="M935" s="14" t="s">
        <v>412</v>
      </c>
      <c r="N935" s="14" t="s">
        <v>413</v>
      </c>
      <c r="P935" s="14" t="s">
        <v>39</v>
      </c>
      <c r="Q935" s="14" t="s">
        <v>25</v>
      </c>
      <c r="R935" s="14" t="s">
        <v>410</v>
      </c>
    </row>
    <row r="936" spans="1:18" s="14" customFormat="1" x14ac:dyDescent="0.25">
      <c r="A936" s="14" t="str">
        <f>"10001"</f>
        <v>10001</v>
      </c>
      <c r="B936" s="14" t="str">
        <f>"06070"</f>
        <v>06070</v>
      </c>
      <c r="C936" s="14" t="str">
        <f>"1700"</f>
        <v>1700</v>
      </c>
      <c r="D936" s="14" t="str">
        <f>"06070C"</f>
        <v>06070C</v>
      </c>
      <c r="E936" s="14" t="s">
        <v>20</v>
      </c>
      <c r="F936" s="14" t="s">
        <v>424</v>
      </c>
      <c r="G936" s="14" t="str">
        <f>""</f>
        <v/>
      </c>
      <c r="H936" s="14" t="str">
        <f>" 20"</f>
        <v xml:space="preserve"> 20</v>
      </c>
      <c r="I936" s="14">
        <v>500.01</v>
      </c>
      <c r="J936" s="14">
        <v>9999999.9900000002</v>
      </c>
      <c r="K936" s="14" t="s">
        <v>414</v>
      </c>
      <c r="L936" s="14" t="s">
        <v>411</v>
      </c>
      <c r="M936" s="14" t="s">
        <v>412</v>
      </c>
      <c r="P936" s="14" t="s">
        <v>39</v>
      </c>
      <c r="Q936" s="14" t="s">
        <v>25</v>
      </c>
      <c r="R936" s="14" t="s">
        <v>410</v>
      </c>
    </row>
    <row r="937" spans="1:18" s="14" customFormat="1" x14ac:dyDescent="0.25">
      <c r="A937" s="14" t="str">
        <f>"10001"</f>
        <v>10001</v>
      </c>
      <c r="B937" s="14" t="str">
        <f>"06080"</f>
        <v>06080</v>
      </c>
      <c r="C937" s="14" t="str">
        <f>"1700"</f>
        <v>1700</v>
      </c>
      <c r="D937" s="14" t="str">
        <f>"06080C"</f>
        <v>06080C</v>
      </c>
      <c r="E937" s="14" t="s">
        <v>20</v>
      </c>
      <c r="F937" s="14" t="s">
        <v>425</v>
      </c>
      <c r="G937" s="14" t="str">
        <f>""</f>
        <v/>
      </c>
      <c r="H937" s="14" t="str">
        <f>" 10"</f>
        <v xml:space="preserve"> 10</v>
      </c>
      <c r="I937" s="14">
        <v>0.01</v>
      </c>
      <c r="J937" s="14">
        <v>500</v>
      </c>
      <c r="K937" s="14" t="s">
        <v>410</v>
      </c>
      <c r="L937" s="14" t="s">
        <v>411</v>
      </c>
      <c r="M937" s="14" t="s">
        <v>412</v>
      </c>
      <c r="N937" s="14" t="s">
        <v>413</v>
      </c>
      <c r="P937" s="14" t="s">
        <v>39</v>
      </c>
      <c r="Q937" s="14" t="s">
        <v>25</v>
      </c>
      <c r="R937" s="14" t="s">
        <v>410</v>
      </c>
    </row>
    <row r="938" spans="1:18" s="14" customFormat="1" x14ac:dyDescent="0.25">
      <c r="A938" s="14" t="str">
        <f>"10001"</f>
        <v>10001</v>
      </c>
      <c r="B938" s="14" t="str">
        <f>"06080"</f>
        <v>06080</v>
      </c>
      <c r="C938" s="14" t="str">
        <f>"1700"</f>
        <v>1700</v>
      </c>
      <c r="D938" s="14" t="str">
        <f>"06080C"</f>
        <v>06080C</v>
      </c>
      <c r="E938" s="14" t="s">
        <v>20</v>
      </c>
      <c r="F938" s="14" t="s">
        <v>425</v>
      </c>
      <c r="G938" s="14" t="str">
        <f>""</f>
        <v/>
      </c>
      <c r="H938" s="14" t="str">
        <f>" 20"</f>
        <v xml:space="preserve"> 20</v>
      </c>
      <c r="I938" s="14">
        <v>500.01</v>
      </c>
      <c r="J938" s="14">
        <v>9999999.9900000002</v>
      </c>
      <c r="K938" s="14" t="s">
        <v>414</v>
      </c>
      <c r="L938" s="14" t="s">
        <v>411</v>
      </c>
      <c r="M938" s="14" t="s">
        <v>412</v>
      </c>
      <c r="P938" s="14" t="s">
        <v>39</v>
      </c>
      <c r="Q938" s="14" t="s">
        <v>25</v>
      </c>
      <c r="R938" s="14" t="s">
        <v>410</v>
      </c>
    </row>
    <row r="939" spans="1:18" s="14" customFormat="1" x14ac:dyDescent="0.25">
      <c r="A939" s="14" t="str">
        <f>"10001"</f>
        <v>10001</v>
      </c>
      <c r="B939" s="14" t="str">
        <f>"06090"</f>
        <v>06090</v>
      </c>
      <c r="C939" s="14" t="str">
        <f>"1700"</f>
        <v>1700</v>
      </c>
      <c r="D939" s="14" t="str">
        <f>"06090C"</f>
        <v>06090C</v>
      </c>
      <c r="E939" s="14" t="s">
        <v>20</v>
      </c>
      <c r="F939" s="14" t="s">
        <v>426</v>
      </c>
      <c r="G939" s="14" t="str">
        <f>""</f>
        <v/>
      </c>
      <c r="H939" s="14" t="str">
        <f>" 10"</f>
        <v xml:space="preserve"> 10</v>
      </c>
      <c r="I939" s="14">
        <v>0.01</v>
      </c>
      <c r="J939" s="14">
        <v>500</v>
      </c>
      <c r="K939" s="14" t="s">
        <v>410</v>
      </c>
      <c r="L939" s="14" t="s">
        <v>411</v>
      </c>
      <c r="M939" s="14" t="s">
        <v>412</v>
      </c>
      <c r="N939" s="14" t="s">
        <v>413</v>
      </c>
      <c r="P939" s="14" t="s">
        <v>39</v>
      </c>
      <c r="Q939" s="14" t="s">
        <v>25</v>
      </c>
      <c r="R939" s="14" t="s">
        <v>410</v>
      </c>
    </row>
    <row r="940" spans="1:18" s="14" customFormat="1" x14ac:dyDescent="0.25">
      <c r="A940" s="14" t="str">
        <f>"10001"</f>
        <v>10001</v>
      </c>
      <c r="B940" s="14" t="str">
        <f>"06090"</f>
        <v>06090</v>
      </c>
      <c r="C940" s="14" t="str">
        <f>"1700"</f>
        <v>1700</v>
      </c>
      <c r="D940" s="14" t="str">
        <f>"06090C"</f>
        <v>06090C</v>
      </c>
      <c r="E940" s="14" t="s">
        <v>20</v>
      </c>
      <c r="F940" s="14" t="s">
        <v>426</v>
      </c>
      <c r="G940" s="14" t="str">
        <f>""</f>
        <v/>
      </c>
      <c r="H940" s="14" t="str">
        <f>" 20"</f>
        <v xml:space="preserve"> 20</v>
      </c>
      <c r="I940" s="14">
        <v>500.01</v>
      </c>
      <c r="J940" s="14">
        <v>9999999.9900000002</v>
      </c>
      <c r="K940" s="14" t="s">
        <v>414</v>
      </c>
      <c r="L940" s="14" t="s">
        <v>411</v>
      </c>
      <c r="M940" s="14" t="s">
        <v>412</v>
      </c>
      <c r="P940" s="14" t="s">
        <v>39</v>
      </c>
      <c r="Q940" s="14" t="s">
        <v>25</v>
      </c>
      <c r="R940" s="14" t="s">
        <v>410</v>
      </c>
    </row>
    <row r="941" spans="1:18" s="14" customFormat="1" x14ac:dyDescent="0.25">
      <c r="A941" s="14" t="str">
        <f>"10001"</f>
        <v>10001</v>
      </c>
      <c r="B941" s="14" t="str">
        <f>"06100"</f>
        <v>06100</v>
      </c>
      <c r="C941" s="14" t="str">
        <f>"1700"</f>
        <v>1700</v>
      </c>
      <c r="D941" s="14" t="str">
        <f>"06100C"</f>
        <v>06100C</v>
      </c>
      <c r="E941" s="14" t="s">
        <v>20</v>
      </c>
      <c r="F941" s="14" t="s">
        <v>427</v>
      </c>
      <c r="G941" s="14" t="str">
        <f>""</f>
        <v/>
      </c>
      <c r="H941" s="14" t="str">
        <f>" 10"</f>
        <v xml:space="preserve"> 10</v>
      </c>
      <c r="I941" s="14">
        <v>0.01</v>
      </c>
      <c r="J941" s="14">
        <v>500</v>
      </c>
      <c r="K941" s="14" t="s">
        <v>410</v>
      </c>
      <c r="L941" s="14" t="s">
        <v>411</v>
      </c>
      <c r="M941" s="14" t="s">
        <v>412</v>
      </c>
      <c r="N941" s="14" t="s">
        <v>413</v>
      </c>
      <c r="P941" s="14" t="s">
        <v>39</v>
      </c>
      <c r="Q941" s="14" t="s">
        <v>25</v>
      </c>
      <c r="R941" s="14" t="s">
        <v>410</v>
      </c>
    </row>
    <row r="942" spans="1:18" s="14" customFormat="1" x14ac:dyDescent="0.25">
      <c r="A942" s="14" t="str">
        <f>"10001"</f>
        <v>10001</v>
      </c>
      <c r="B942" s="14" t="str">
        <f>"06100"</f>
        <v>06100</v>
      </c>
      <c r="C942" s="14" t="str">
        <f>"1700"</f>
        <v>1700</v>
      </c>
      <c r="D942" s="14" t="str">
        <f>"06100C"</f>
        <v>06100C</v>
      </c>
      <c r="E942" s="14" t="s">
        <v>20</v>
      </c>
      <c r="F942" s="14" t="s">
        <v>427</v>
      </c>
      <c r="G942" s="14" t="str">
        <f>""</f>
        <v/>
      </c>
      <c r="H942" s="14" t="str">
        <f>" 20"</f>
        <v xml:space="preserve"> 20</v>
      </c>
      <c r="I942" s="14">
        <v>500.01</v>
      </c>
      <c r="J942" s="14">
        <v>9999999.9900000002</v>
      </c>
      <c r="K942" s="14" t="s">
        <v>414</v>
      </c>
      <c r="L942" s="14" t="s">
        <v>411</v>
      </c>
      <c r="M942" s="14" t="s">
        <v>412</v>
      </c>
      <c r="P942" s="14" t="s">
        <v>39</v>
      </c>
      <c r="Q942" s="14" t="s">
        <v>25</v>
      </c>
      <c r="R942" s="14" t="s">
        <v>410</v>
      </c>
    </row>
    <row r="943" spans="1:18" s="14" customFormat="1" x14ac:dyDescent="0.25">
      <c r="A943" s="14" t="str">
        <f>"10001"</f>
        <v>10001</v>
      </c>
      <c r="B943" s="14" t="str">
        <f>"06110"</f>
        <v>06110</v>
      </c>
      <c r="C943" s="14" t="str">
        <f>"1700"</f>
        <v>1700</v>
      </c>
      <c r="D943" s="14" t="str">
        <f>"06110C"</f>
        <v>06110C</v>
      </c>
      <c r="E943" s="14" t="s">
        <v>20</v>
      </c>
      <c r="F943" s="14" t="s">
        <v>428</v>
      </c>
      <c r="G943" s="14" t="str">
        <f>""</f>
        <v/>
      </c>
      <c r="H943" s="14" t="str">
        <f>" 10"</f>
        <v xml:space="preserve"> 10</v>
      </c>
      <c r="I943" s="14">
        <v>0.01</v>
      </c>
      <c r="J943" s="14">
        <v>500</v>
      </c>
      <c r="K943" s="14" t="s">
        <v>410</v>
      </c>
      <c r="L943" s="14" t="s">
        <v>411</v>
      </c>
      <c r="M943" s="14" t="s">
        <v>412</v>
      </c>
      <c r="N943" s="14" t="s">
        <v>413</v>
      </c>
      <c r="P943" s="14" t="s">
        <v>39</v>
      </c>
      <c r="Q943" s="14" t="s">
        <v>25</v>
      </c>
      <c r="R943" s="14" t="s">
        <v>410</v>
      </c>
    </row>
    <row r="944" spans="1:18" s="14" customFormat="1" x14ac:dyDescent="0.25">
      <c r="A944" s="14" t="str">
        <f>"10001"</f>
        <v>10001</v>
      </c>
      <c r="B944" s="14" t="str">
        <f>"06110"</f>
        <v>06110</v>
      </c>
      <c r="C944" s="14" t="str">
        <f>"1700"</f>
        <v>1700</v>
      </c>
      <c r="D944" s="14" t="str">
        <f>"06110C"</f>
        <v>06110C</v>
      </c>
      <c r="E944" s="14" t="s">
        <v>20</v>
      </c>
      <c r="F944" s="14" t="s">
        <v>428</v>
      </c>
      <c r="G944" s="14" t="str">
        <f>""</f>
        <v/>
      </c>
      <c r="H944" s="14" t="str">
        <f>" 20"</f>
        <v xml:space="preserve"> 20</v>
      </c>
      <c r="I944" s="14">
        <v>500.01</v>
      </c>
      <c r="J944" s="14">
        <v>9999999.9900000002</v>
      </c>
      <c r="K944" s="14" t="s">
        <v>414</v>
      </c>
      <c r="L944" s="14" t="s">
        <v>411</v>
      </c>
      <c r="M944" s="14" t="s">
        <v>412</v>
      </c>
      <c r="P944" s="14" t="s">
        <v>39</v>
      </c>
      <c r="Q944" s="14" t="s">
        <v>25</v>
      </c>
      <c r="R944" s="14" t="s">
        <v>410</v>
      </c>
    </row>
    <row r="945" spans="1:18" s="14" customFormat="1" x14ac:dyDescent="0.25">
      <c r="A945" s="14" t="str">
        <f>"10001"</f>
        <v>10001</v>
      </c>
      <c r="B945" s="14" t="str">
        <f>"06120"</f>
        <v>06120</v>
      </c>
      <c r="C945" s="14" t="str">
        <f>"1700"</f>
        <v>1700</v>
      </c>
      <c r="D945" s="14" t="str">
        <f>"06120C"</f>
        <v>06120C</v>
      </c>
      <c r="E945" s="14" t="s">
        <v>20</v>
      </c>
      <c r="F945" s="14" t="s">
        <v>429</v>
      </c>
      <c r="G945" s="14" t="str">
        <f>""</f>
        <v/>
      </c>
      <c r="H945" s="14" t="str">
        <f>" 10"</f>
        <v xml:space="preserve"> 10</v>
      </c>
      <c r="I945" s="14">
        <v>0.01</v>
      </c>
      <c r="J945" s="14">
        <v>500</v>
      </c>
      <c r="K945" s="14" t="s">
        <v>410</v>
      </c>
      <c r="L945" s="14" t="s">
        <v>411</v>
      </c>
      <c r="M945" s="14" t="s">
        <v>412</v>
      </c>
      <c r="N945" s="14" t="s">
        <v>413</v>
      </c>
      <c r="P945" s="14" t="s">
        <v>39</v>
      </c>
      <c r="Q945" s="14" t="s">
        <v>25</v>
      </c>
      <c r="R945" s="14" t="s">
        <v>410</v>
      </c>
    </row>
    <row r="946" spans="1:18" s="14" customFormat="1" x14ac:dyDescent="0.25">
      <c r="A946" s="14" t="str">
        <f>"10001"</f>
        <v>10001</v>
      </c>
      <c r="B946" s="14" t="str">
        <f>"06120"</f>
        <v>06120</v>
      </c>
      <c r="C946" s="14" t="str">
        <f>"1700"</f>
        <v>1700</v>
      </c>
      <c r="D946" s="14" t="str">
        <f>"06120C"</f>
        <v>06120C</v>
      </c>
      <c r="E946" s="14" t="s">
        <v>20</v>
      </c>
      <c r="F946" s="14" t="s">
        <v>429</v>
      </c>
      <c r="G946" s="14" t="str">
        <f>""</f>
        <v/>
      </c>
      <c r="H946" s="14" t="str">
        <f>" 20"</f>
        <v xml:space="preserve"> 20</v>
      </c>
      <c r="I946" s="14">
        <v>500.01</v>
      </c>
      <c r="J946" s="14">
        <v>9999999.9900000002</v>
      </c>
      <c r="K946" s="14" t="s">
        <v>414</v>
      </c>
      <c r="L946" s="14" t="s">
        <v>411</v>
      </c>
      <c r="M946" s="14" t="s">
        <v>412</v>
      </c>
      <c r="P946" s="14" t="s">
        <v>39</v>
      </c>
      <c r="Q946" s="14" t="s">
        <v>25</v>
      </c>
      <c r="R946" s="14" t="s">
        <v>410</v>
      </c>
    </row>
    <row r="947" spans="1:18" s="14" customFormat="1" x14ac:dyDescent="0.25">
      <c r="A947" s="14" t="str">
        <f>"10001"</f>
        <v>10001</v>
      </c>
      <c r="B947" s="14" t="str">
        <f>"06130"</f>
        <v>06130</v>
      </c>
      <c r="C947" s="14" t="str">
        <f>"1700"</f>
        <v>1700</v>
      </c>
      <c r="D947" s="14" t="str">
        <f>"06130C"</f>
        <v>06130C</v>
      </c>
      <c r="E947" s="14" t="s">
        <v>20</v>
      </c>
      <c r="F947" s="14" t="s">
        <v>430</v>
      </c>
      <c r="G947" s="14" t="str">
        <f>""</f>
        <v/>
      </c>
      <c r="H947" s="14" t="str">
        <f>" 10"</f>
        <v xml:space="preserve"> 10</v>
      </c>
      <c r="I947" s="14">
        <v>0.01</v>
      </c>
      <c r="J947" s="14">
        <v>500</v>
      </c>
      <c r="K947" s="14" t="s">
        <v>410</v>
      </c>
      <c r="L947" s="14" t="s">
        <v>411</v>
      </c>
      <c r="M947" s="14" t="s">
        <v>412</v>
      </c>
      <c r="N947" s="14" t="s">
        <v>413</v>
      </c>
      <c r="P947" s="14" t="s">
        <v>39</v>
      </c>
      <c r="Q947" s="14" t="s">
        <v>25</v>
      </c>
      <c r="R947" s="14" t="s">
        <v>410</v>
      </c>
    </row>
    <row r="948" spans="1:18" s="14" customFormat="1" x14ac:dyDescent="0.25">
      <c r="A948" s="14" t="str">
        <f>"10001"</f>
        <v>10001</v>
      </c>
      <c r="B948" s="14" t="str">
        <f>"06130"</f>
        <v>06130</v>
      </c>
      <c r="C948" s="14" t="str">
        <f>"1700"</f>
        <v>1700</v>
      </c>
      <c r="D948" s="14" t="str">
        <f>"06130C"</f>
        <v>06130C</v>
      </c>
      <c r="E948" s="14" t="s">
        <v>20</v>
      </c>
      <c r="F948" s="14" t="s">
        <v>430</v>
      </c>
      <c r="G948" s="14" t="str">
        <f>""</f>
        <v/>
      </c>
      <c r="H948" s="14" t="str">
        <f>" 20"</f>
        <v xml:space="preserve"> 20</v>
      </c>
      <c r="I948" s="14">
        <v>500.01</v>
      </c>
      <c r="J948" s="14">
        <v>9999999.9900000002</v>
      </c>
      <c r="K948" s="14" t="s">
        <v>414</v>
      </c>
      <c r="L948" s="14" t="s">
        <v>411</v>
      </c>
      <c r="M948" s="14" t="s">
        <v>412</v>
      </c>
      <c r="P948" s="14" t="s">
        <v>39</v>
      </c>
      <c r="Q948" s="14" t="s">
        <v>25</v>
      </c>
      <c r="R948" s="14" t="s">
        <v>410</v>
      </c>
    </row>
    <row r="949" spans="1:18" s="14" customFormat="1" x14ac:dyDescent="0.25">
      <c r="A949" s="14" t="str">
        <f>"10001"</f>
        <v>10001</v>
      </c>
      <c r="B949" s="14" t="str">
        <f>"06140"</f>
        <v>06140</v>
      </c>
      <c r="C949" s="14" t="str">
        <f>"1700"</f>
        <v>1700</v>
      </c>
      <c r="D949" s="14" t="str">
        <f>"06140C"</f>
        <v>06140C</v>
      </c>
      <c r="E949" s="14" t="s">
        <v>20</v>
      </c>
      <c r="F949" s="14" t="s">
        <v>431</v>
      </c>
      <c r="G949" s="14" t="str">
        <f>""</f>
        <v/>
      </c>
      <c r="H949" s="14" t="str">
        <f>" 10"</f>
        <v xml:space="preserve"> 10</v>
      </c>
      <c r="I949" s="14">
        <v>0.01</v>
      </c>
      <c r="J949" s="14">
        <v>500</v>
      </c>
      <c r="K949" s="14" t="s">
        <v>410</v>
      </c>
      <c r="L949" s="14" t="s">
        <v>411</v>
      </c>
      <c r="M949" s="14" t="s">
        <v>412</v>
      </c>
      <c r="N949" s="14" t="s">
        <v>413</v>
      </c>
      <c r="P949" s="14" t="s">
        <v>39</v>
      </c>
      <c r="Q949" s="14" t="s">
        <v>25</v>
      </c>
      <c r="R949" s="14" t="s">
        <v>410</v>
      </c>
    </row>
    <row r="950" spans="1:18" s="14" customFormat="1" x14ac:dyDescent="0.25">
      <c r="A950" s="14" t="str">
        <f>"10001"</f>
        <v>10001</v>
      </c>
      <c r="B950" s="14" t="str">
        <f>"06140"</f>
        <v>06140</v>
      </c>
      <c r="C950" s="14" t="str">
        <f>"1700"</f>
        <v>1700</v>
      </c>
      <c r="D950" s="14" t="str">
        <f>"06140C"</f>
        <v>06140C</v>
      </c>
      <c r="E950" s="14" t="s">
        <v>20</v>
      </c>
      <c r="F950" s="14" t="s">
        <v>431</v>
      </c>
      <c r="G950" s="14" t="str">
        <f>""</f>
        <v/>
      </c>
      <c r="H950" s="14" t="str">
        <f>" 20"</f>
        <v xml:space="preserve"> 20</v>
      </c>
      <c r="I950" s="14">
        <v>500.01</v>
      </c>
      <c r="J950" s="14">
        <v>9999999.9900000002</v>
      </c>
      <c r="K950" s="14" t="s">
        <v>414</v>
      </c>
      <c r="L950" s="14" t="s">
        <v>411</v>
      </c>
      <c r="M950" s="14" t="s">
        <v>412</v>
      </c>
      <c r="P950" s="14" t="s">
        <v>39</v>
      </c>
      <c r="Q950" s="14" t="s">
        <v>25</v>
      </c>
      <c r="R950" s="14" t="s">
        <v>410</v>
      </c>
    </row>
    <row r="951" spans="1:18" s="14" customFormat="1" x14ac:dyDescent="0.25">
      <c r="A951" s="14" t="str">
        <f>"10001"</f>
        <v>10001</v>
      </c>
      <c r="B951" s="14" t="str">
        <f>"06150"</f>
        <v>06150</v>
      </c>
      <c r="C951" s="14" t="str">
        <f>"1700"</f>
        <v>1700</v>
      </c>
      <c r="D951" s="14" t="str">
        <f>"06150C"</f>
        <v>06150C</v>
      </c>
      <c r="E951" s="14" t="s">
        <v>20</v>
      </c>
      <c r="F951" s="14" t="s">
        <v>432</v>
      </c>
      <c r="G951" s="14" t="str">
        <f>""</f>
        <v/>
      </c>
      <c r="H951" s="14" t="str">
        <f>" 10"</f>
        <v xml:space="preserve"> 10</v>
      </c>
      <c r="I951" s="14">
        <v>0.01</v>
      </c>
      <c r="J951" s="14">
        <v>500</v>
      </c>
      <c r="K951" s="14" t="s">
        <v>410</v>
      </c>
      <c r="L951" s="14" t="s">
        <v>411</v>
      </c>
      <c r="M951" s="14" t="s">
        <v>412</v>
      </c>
      <c r="N951" s="14" t="s">
        <v>413</v>
      </c>
      <c r="P951" s="14" t="s">
        <v>39</v>
      </c>
      <c r="Q951" s="14" t="s">
        <v>25</v>
      </c>
      <c r="R951" s="14" t="s">
        <v>410</v>
      </c>
    </row>
    <row r="952" spans="1:18" s="14" customFormat="1" x14ac:dyDescent="0.25">
      <c r="A952" s="14" t="str">
        <f>"10001"</f>
        <v>10001</v>
      </c>
      <c r="B952" s="14" t="str">
        <f>"06150"</f>
        <v>06150</v>
      </c>
      <c r="C952" s="14" t="str">
        <f>"1700"</f>
        <v>1700</v>
      </c>
      <c r="D952" s="14" t="str">
        <f>"06150C"</f>
        <v>06150C</v>
      </c>
      <c r="E952" s="14" t="s">
        <v>20</v>
      </c>
      <c r="F952" s="14" t="s">
        <v>432</v>
      </c>
      <c r="G952" s="14" t="str">
        <f>""</f>
        <v/>
      </c>
      <c r="H952" s="14" t="str">
        <f>" 20"</f>
        <v xml:space="preserve"> 20</v>
      </c>
      <c r="I952" s="14">
        <v>500.01</v>
      </c>
      <c r="J952" s="14">
        <v>9999999.9900000002</v>
      </c>
      <c r="K952" s="14" t="s">
        <v>414</v>
      </c>
      <c r="L952" s="14" t="s">
        <v>411</v>
      </c>
      <c r="M952" s="14" t="s">
        <v>412</v>
      </c>
      <c r="P952" s="14" t="s">
        <v>39</v>
      </c>
      <c r="Q952" s="14" t="s">
        <v>25</v>
      </c>
      <c r="R952" s="14" t="s">
        <v>410</v>
      </c>
    </row>
    <row r="953" spans="1:18" s="14" customFormat="1" x14ac:dyDescent="0.25">
      <c r="A953" s="14" t="str">
        <f>"10001"</f>
        <v>10001</v>
      </c>
      <c r="B953" s="14" t="str">
        <f>"06151"</f>
        <v>06151</v>
      </c>
      <c r="C953" s="14" t="str">
        <f>"1700"</f>
        <v>1700</v>
      </c>
      <c r="D953" s="14" t="str">
        <f>"06151C"</f>
        <v>06151C</v>
      </c>
      <c r="E953" s="14" t="s">
        <v>20</v>
      </c>
      <c r="F953" s="14" t="s">
        <v>433</v>
      </c>
      <c r="G953" s="14" t="str">
        <f>""</f>
        <v/>
      </c>
      <c r="H953" s="14" t="str">
        <f>" 10"</f>
        <v xml:space="preserve"> 10</v>
      </c>
      <c r="I953" s="14">
        <v>0.01</v>
      </c>
      <c r="J953" s="14">
        <v>500</v>
      </c>
      <c r="K953" s="14" t="s">
        <v>410</v>
      </c>
      <c r="L953" s="14" t="s">
        <v>411</v>
      </c>
      <c r="M953" s="14" t="s">
        <v>412</v>
      </c>
      <c r="N953" s="14" t="s">
        <v>413</v>
      </c>
      <c r="P953" s="14" t="s">
        <v>39</v>
      </c>
      <c r="Q953" s="14" t="s">
        <v>25</v>
      </c>
      <c r="R953" s="14" t="s">
        <v>410</v>
      </c>
    </row>
    <row r="954" spans="1:18" s="14" customFormat="1" x14ac:dyDescent="0.25">
      <c r="A954" s="14" t="str">
        <f>"10001"</f>
        <v>10001</v>
      </c>
      <c r="B954" s="14" t="str">
        <f>"06151"</f>
        <v>06151</v>
      </c>
      <c r="C954" s="14" t="str">
        <f>"1700"</f>
        <v>1700</v>
      </c>
      <c r="D954" s="14" t="str">
        <f>"06151C"</f>
        <v>06151C</v>
      </c>
      <c r="E954" s="14" t="s">
        <v>20</v>
      </c>
      <c r="F954" s="14" t="s">
        <v>433</v>
      </c>
      <c r="G954" s="14" t="str">
        <f>""</f>
        <v/>
      </c>
      <c r="H954" s="14" t="str">
        <f>" 20"</f>
        <v xml:space="preserve"> 20</v>
      </c>
      <c r="I954" s="14">
        <v>500.01</v>
      </c>
      <c r="J954" s="14">
        <v>9999999.9900000002</v>
      </c>
      <c r="K954" s="14" t="s">
        <v>414</v>
      </c>
      <c r="L954" s="14" t="s">
        <v>411</v>
      </c>
      <c r="M954" s="14" t="s">
        <v>412</v>
      </c>
      <c r="P954" s="14" t="s">
        <v>39</v>
      </c>
      <c r="Q954" s="14" t="s">
        <v>25</v>
      </c>
      <c r="R954" s="14" t="s">
        <v>410</v>
      </c>
    </row>
    <row r="955" spans="1:18" s="14" customFormat="1" x14ac:dyDescent="0.25">
      <c r="A955" s="14" t="str">
        <f>"10001"</f>
        <v>10001</v>
      </c>
      <c r="B955" s="14" t="str">
        <f>"06152"</f>
        <v>06152</v>
      </c>
      <c r="C955" s="14" t="str">
        <f>"1700"</f>
        <v>1700</v>
      </c>
      <c r="D955" s="14" t="str">
        <f>"06152C"</f>
        <v>06152C</v>
      </c>
      <c r="E955" s="14" t="s">
        <v>20</v>
      </c>
      <c r="F955" s="14" t="s">
        <v>434</v>
      </c>
      <c r="G955" s="14" t="str">
        <f>""</f>
        <v/>
      </c>
      <c r="H955" s="14" t="str">
        <f>" 10"</f>
        <v xml:space="preserve"> 10</v>
      </c>
      <c r="I955" s="14">
        <v>0.01</v>
      </c>
      <c r="J955" s="14">
        <v>500</v>
      </c>
      <c r="K955" s="14" t="s">
        <v>410</v>
      </c>
      <c r="L955" s="14" t="s">
        <v>411</v>
      </c>
      <c r="M955" s="14" t="s">
        <v>412</v>
      </c>
      <c r="N955" s="14" t="s">
        <v>413</v>
      </c>
      <c r="P955" s="14" t="s">
        <v>39</v>
      </c>
      <c r="Q955" s="14" t="s">
        <v>25</v>
      </c>
      <c r="R955" s="14" t="s">
        <v>410</v>
      </c>
    </row>
    <row r="956" spans="1:18" s="14" customFormat="1" x14ac:dyDescent="0.25">
      <c r="A956" s="14" t="str">
        <f>"10001"</f>
        <v>10001</v>
      </c>
      <c r="B956" s="14" t="str">
        <f>"06152"</f>
        <v>06152</v>
      </c>
      <c r="C956" s="14" t="str">
        <f>"1700"</f>
        <v>1700</v>
      </c>
      <c r="D956" s="14" t="str">
        <f>"06152C"</f>
        <v>06152C</v>
      </c>
      <c r="E956" s="14" t="s">
        <v>20</v>
      </c>
      <c r="F956" s="14" t="s">
        <v>434</v>
      </c>
      <c r="G956" s="14" t="str">
        <f>""</f>
        <v/>
      </c>
      <c r="H956" s="14" t="str">
        <f>" 20"</f>
        <v xml:space="preserve"> 20</v>
      </c>
      <c r="I956" s="14">
        <v>500.01</v>
      </c>
      <c r="J956" s="14">
        <v>9999999.9900000002</v>
      </c>
      <c r="K956" s="14" t="s">
        <v>414</v>
      </c>
      <c r="L956" s="14" t="s">
        <v>411</v>
      </c>
      <c r="M956" s="14" t="s">
        <v>412</v>
      </c>
      <c r="P956" s="14" t="s">
        <v>39</v>
      </c>
      <c r="Q956" s="14" t="s">
        <v>25</v>
      </c>
      <c r="R956" s="14" t="s">
        <v>410</v>
      </c>
    </row>
    <row r="957" spans="1:18" s="14" customFormat="1" x14ac:dyDescent="0.25">
      <c r="A957" s="14" t="str">
        <f>"11001"</f>
        <v>11001</v>
      </c>
      <c r="B957" s="14" t="str">
        <f>"01400"</f>
        <v>01400</v>
      </c>
      <c r="C957" s="14" t="str">
        <f>"1300"</f>
        <v>1300</v>
      </c>
      <c r="D957" s="14" t="str">
        <f>""</f>
        <v/>
      </c>
      <c r="E957" s="14" t="s">
        <v>435</v>
      </c>
      <c r="F957" s="14" t="s">
        <v>117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69</v>
      </c>
      <c r="L957" s="14" t="s">
        <v>70</v>
      </c>
      <c r="M957" s="14" t="s">
        <v>71</v>
      </c>
      <c r="P957" s="14" t="s">
        <v>31</v>
      </c>
      <c r="Q957" s="14" t="s">
        <v>25</v>
      </c>
      <c r="R957" s="14" t="s">
        <v>72</v>
      </c>
    </row>
    <row r="958" spans="1:18" s="14" customFormat="1" x14ac:dyDescent="0.25">
      <c r="A958" s="14" t="str">
        <f>"11002"</f>
        <v>11002</v>
      </c>
      <c r="B958" s="14" t="str">
        <f>"01230"</f>
        <v>01230</v>
      </c>
      <c r="C958" s="14" t="str">
        <f>"1300"</f>
        <v>1300</v>
      </c>
      <c r="D958" s="14" t="str">
        <f>""</f>
        <v/>
      </c>
      <c r="E958" s="14" t="s">
        <v>436</v>
      </c>
      <c r="F958" s="14" t="s">
        <v>75</v>
      </c>
      <c r="G958" s="14" t="str">
        <f>""</f>
        <v/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76</v>
      </c>
      <c r="L958" s="14" t="s">
        <v>77</v>
      </c>
      <c r="M958" s="14" t="s">
        <v>78</v>
      </c>
      <c r="P958" s="14" t="s">
        <v>25</v>
      </c>
      <c r="Q958" s="14" t="s">
        <v>25</v>
      </c>
      <c r="R958" s="14" t="s">
        <v>79</v>
      </c>
    </row>
    <row r="959" spans="1:18" s="14" customFormat="1" x14ac:dyDescent="0.25">
      <c r="A959" s="14" t="str">
        <f>"11003"</f>
        <v>11003</v>
      </c>
      <c r="B959" s="14" t="str">
        <f>"01300"</f>
        <v>01300</v>
      </c>
      <c r="C959" s="14" t="str">
        <f>"1300"</f>
        <v>1300</v>
      </c>
      <c r="D959" s="14" t="str">
        <f>""</f>
        <v/>
      </c>
      <c r="E959" s="14" t="s">
        <v>437</v>
      </c>
      <c r="F959" s="14" t="s">
        <v>96</v>
      </c>
      <c r="G959" s="14" t="str">
        <f>""</f>
        <v/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48</v>
      </c>
      <c r="L959" s="14" t="s">
        <v>97</v>
      </c>
      <c r="M959" s="14" t="s">
        <v>98</v>
      </c>
      <c r="P959" s="14" t="s">
        <v>25</v>
      </c>
      <c r="Q959" s="14" t="s">
        <v>25</v>
      </c>
      <c r="R959" s="14" t="s">
        <v>49</v>
      </c>
    </row>
    <row r="960" spans="1:18" s="14" customFormat="1" x14ac:dyDescent="0.25">
      <c r="A960" s="14" t="str">
        <f>"11004"</f>
        <v>11004</v>
      </c>
      <c r="B960" s="14" t="str">
        <f>"03775"</f>
        <v>03775</v>
      </c>
      <c r="C960" s="14" t="str">
        <f>"1300"</f>
        <v>1300</v>
      </c>
      <c r="D960" s="14" t="str">
        <f>""</f>
        <v/>
      </c>
      <c r="E960" s="14" t="s">
        <v>438</v>
      </c>
      <c r="F960" s="14" t="s">
        <v>307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252</v>
      </c>
      <c r="L960" s="14" t="s">
        <v>253</v>
      </c>
      <c r="P960" s="14" t="s">
        <v>25</v>
      </c>
      <c r="Q960" s="14" t="s">
        <v>25</v>
      </c>
      <c r="R960" s="14" t="s">
        <v>253</v>
      </c>
    </row>
    <row r="961" spans="1:18" s="14" customFormat="1" x14ac:dyDescent="0.25">
      <c r="A961" s="14" t="str">
        <f>"11005"</f>
        <v>11005</v>
      </c>
      <c r="B961" s="14" t="str">
        <f>"03092"</f>
        <v>03092</v>
      </c>
      <c r="C961" s="14" t="str">
        <f>"1500"</f>
        <v>1500</v>
      </c>
      <c r="D961" s="14" t="str">
        <f>""</f>
        <v/>
      </c>
      <c r="E961" s="14" t="s">
        <v>439</v>
      </c>
      <c r="F961" s="14" t="s">
        <v>235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236</v>
      </c>
      <c r="L961" s="14" t="s">
        <v>237</v>
      </c>
      <c r="M961" s="14" t="s">
        <v>238</v>
      </c>
      <c r="P961" s="14" t="s">
        <v>25</v>
      </c>
      <c r="Q961" s="14" t="s">
        <v>25</v>
      </c>
      <c r="R961" s="14" t="s">
        <v>1930</v>
      </c>
    </row>
    <row r="962" spans="1:18" s="14" customFormat="1" x14ac:dyDescent="0.25">
      <c r="A962" s="14" t="str">
        <f>"11006"</f>
        <v>11006</v>
      </c>
      <c r="B962" s="14" t="str">
        <f>"01480"</f>
        <v>01480</v>
      </c>
      <c r="C962" s="14" t="str">
        <f>"1300"</f>
        <v>1300</v>
      </c>
      <c r="D962" s="14" t="str">
        <f>""</f>
        <v/>
      </c>
      <c r="E962" s="14" t="s">
        <v>440</v>
      </c>
      <c r="F962" s="14" t="s">
        <v>128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69</v>
      </c>
      <c r="L962" s="14" t="s">
        <v>70</v>
      </c>
      <c r="M962" s="14" t="s">
        <v>71</v>
      </c>
      <c r="P962" s="14" t="s">
        <v>31</v>
      </c>
      <c r="Q962" s="14" t="s">
        <v>25</v>
      </c>
      <c r="R962" s="14" t="s">
        <v>72</v>
      </c>
    </row>
    <row r="963" spans="1:18" s="14" customFormat="1" x14ac:dyDescent="0.25">
      <c r="A963" s="14" t="str">
        <f>"11007"</f>
        <v>11007</v>
      </c>
      <c r="B963" s="14" t="str">
        <f>"01410"</f>
        <v>01410</v>
      </c>
      <c r="C963" s="14" t="str">
        <f>"1300"</f>
        <v>1300</v>
      </c>
      <c r="D963" s="14" t="str">
        <f>""</f>
        <v/>
      </c>
      <c r="E963" s="14" t="s">
        <v>441</v>
      </c>
      <c r="F963" s="14" t="s">
        <v>120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69</v>
      </c>
      <c r="L963" s="14" t="s">
        <v>70</v>
      </c>
      <c r="M963" s="14" t="s">
        <v>71</v>
      </c>
      <c r="P963" s="14" t="s">
        <v>31</v>
      </c>
      <c r="Q963" s="14" t="s">
        <v>25</v>
      </c>
      <c r="R963" s="14" t="s">
        <v>72</v>
      </c>
    </row>
    <row r="964" spans="1:18" s="14" customFormat="1" x14ac:dyDescent="0.25">
      <c r="A964" s="14" t="str">
        <f>"11008"</f>
        <v>11008</v>
      </c>
      <c r="B964" s="14" t="str">
        <f>"01440"</f>
        <v>01440</v>
      </c>
      <c r="C964" s="14" t="str">
        <f>"1300"</f>
        <v>1300</v>
      </c>
      <c r="D964" s="14" t="str">
        <f>""</f>
        <v/>
      </c>
      <c r="E964" s="14" t="s">
        <v>442</v>
      </c>
      <c r="F964" s="14" t="s">
        <v>123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124</v>
      </c>
      <c r="L964" s="14" t="s">
        <v>69</v>
      </c>
      <c r="M964" s="14" t="s">
        <v>70</v>
      </c>
      <c r="N964" s="14" t="s">
        <v>71</v>
      </c>
      <c r="P964" s="14" t="s">
        <v>25</v>
      </c>
      <c r="Q964" s="14" t="s">
        <v>25</v>
      </c>
      <c r="R964" s="14" t="s">
        <v>72</v>
      </c>
    </row>
    <row r="965" spans="1:18" s="14" customFormat="1" x14ac:dyDescent="0.25">
      <c r="A965" s="14" t="str">
        <f>"11009"</f>
        <v>11009</v>
      </c>
      <c r="B965" s="14" t="str">
        <f>"01450"</f>
        <v>01450</v>
      </c>
      <c r="C965" s="14" t="str">
        <f>"1300"</f>
        <v>1300</v>
      </c>
      <c r="D965" s="14" t="str">
        <f>""</f>
        <v/>
      </c>
      <c r="E965" s="14" t="s">
        <v>443</v>
      </c>
      <c r="F965" s="14" t="s">
        <v>126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69</v>
      </c>
      <c r="L965" s="14" t="s">
        <v>70</v>
      </c>
      <c r="M965" s="14" t="s">
        <v>71</v>
      </c>
      <c r="P965" s="14" t="s">
        <v>31</v>
      </c>
      <c r="Q965" s="14" t="s">
        <v>25</v>
      </c>
      <c r="R965" s="14" t="s">
        <v>72</v>
      </c>
    </row>
    <row r="966" spans="1:18" s="14" customFormat="1" x14ac:dyDescent="0.25">
      <c r="A966" s="14" t="str">
        <f>"11010"</f>
        <v>11010</v>
      </c>
      <c r="B966" s="14" t="str">
        <f>"01530"</f>
        <v>01530</v>
      </c>
      <c r="C966" s="14" t="str">
        <f>"1100"</f>
        <v>1100</v>
      </c>
      <c r="D966" s="14" t="str">
        <f>""</f>
        <v/>
      </c>
      <c r="E966" s="14" t="s">
        <v>444</v>
      </c>
      <c r="F966" s="14" t="s">
        <v>445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69</v>
      </c>
      <c r="L966" s="14" t="s">
        <v>70</v>
      </c>
      <c r="M966" s="14" t="s">
        <v>71</v>
      </c>
      <c r="P966" s="14" t="s">
        <v>31</v>
      </c>
      <c r="Q966" s="14" t="s">
        <v>25</v>
      </c>
      <c r="R966" s="14" t="s">
        <v>72</v>
      </c>
    </row>
    <row r="967" spans="1:18" s="14" customFormat="1" x14ac:dyDescent="0.25">
      <c r="A967" s="14" t="str">
        <f>"11011"</f>
        <v>11011</v>
      </c>
      <c r="B967" s="14" t="str">
        <f>"05140"</f>
        <v>05140</v>
      </c>
      <c r="C967" s="14" t="str">
        <f>"1700"</f>
        <v>1700</v>
      </c>
      <c r="D967" s="14" t="str">
        <f>""</f>
        <v/>
      </c>
      <c r="E967" s="14" t="s">
        <v>446</v>
      </c>
      <c r="F967" s="14" t="s">
        <v>400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37</v>
      </c>
      <c r="L967" s="14" t="s">
        <v>34</v>
      </c>
      <c r="P967" s="14" t="s">
        <v>25</v>
      </c>
      <c r="Q967" s="14" t="s">
        <v>25</v>
      </c>
      <c r="R967" s="14" t="s">
        <v>401</v>
      </c>
    </row>
    <row r="968" spans="1:18" s="14" customFormat="1" x14ac:dyDescent="0.25">
      <c r="A968" s="14" t="str">
        <f>"11012"</f>
        <v>11012</v>
      </c>
      <c r="B968" s="14" t="str">
        <f>"03020"</f>
        <v>03020</v>
      </c>
      <c r="C968" s="14" t="str">
        <f>"1400"</f>
        <v>1400</v>
      </c>
      <c r="D968" s="14" t="str">
        <f>""</f>
        <v/>
      </c>
      <c r="E968" s="14" t="s">
        <v>447</v>
      </c>
      <c r="F968" s="14" t="s">
        <v>220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34</v>
      </c>
      <c r="P968" s="14" t="s">
        <v>25</v>
      </c>
      <c r="Q968" s="14" t="s">
        <v>25</v>
      </c>
      <c r="R968" s="14" t="s">
        <v>35</v>
      </c>
    </row>
    <row r="969" spans="1:18" s="14" customFormat="1" x14ac:dyDescent="0.25">
      <c r="A969" s="14" t="str">
        <f>"11013"</f>
        <v>11013</v>
      </c>
      <c r="B969" s="14" t="str">
        <f>"03094"</f>
        <v>03094</v>
      </c>
      <c r="C969" s="14" t="str">
        <f>"1400"</f>
        <v>1400</v>
      </c>
      <c r="D969" s="14" t="str">
        <f>""</f>
        <v/>
      </c>
      <c r="E969" s="14" t="s">
        <v>448</v>
      </c>
      <c r="F969" s="14" t="s">
        <v>240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241</v>
      </c>
      <c r="L969" s="14" t="s">
        <v>231</v>
      </c>
      <c r="P969" s="14" t="s">
        <v>25</v>
      </c>
      <c r="Q969" s="14" t="s">
        <v>25</v>
      </c>
      <c r="R969" s="14" t="s">
        <v>242</v>
      </c>
    </row>
    <row r="970" spans="1:18" s="14" customFormat="1" x14ac:dyDescent="0.25">
      <c r="A970" s="14" t="str">
        <f>"11014"</f>
        <v>11014</v>
      </c>
      <c r="B970" s="14" t="str">
        <f>"03020"</f>
        <v>03020</v>
      </c>
      <c r="C970" s="14" t="str">
        <f>"1400"</f>
        <v>1400</v>
      </c>
      <c r="D970" s="14" t="str">
        <f>""</f>
        <v/>
      </c>
      <c r="E970" s="14" t="s">
        <v>449</v>
      </c>
      <c r="F970" s="14" t="s">
        <v>220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34</v>
      </c>
      <c r="P970" s="14" t="s">
        <v>25</v>
      </c>
      <c r="Q970" s="14" t="s">
        <v>25</v>
      </c>
      <c r="R970" s="14" t="s">
        <v>35</v>
      </c>
    </row>
    <row r="971" spans="1:18" s="14" customFormat="1" x14ac:dyDescent="0.25">
      <c r="A971" s="14" t="str">
        <f>"11015"</f>
        <v>11015</v>
      </c>
      <c r="B971" s="14" t="str">
        <f>"03020"</f>
        <v>03020</v>
      </c>
      <c r="C971" s="14" t="str">
        <f>"1400"</f>
        <v>1400</v>
      </c>
      <c r="D971" s="14" t="str">
        <f>""</f>
        <v/>
      </c>
      <c r="E971" s="14" t="s">
        <v>450</v>
      </c>
      <c r="F971" s="14" t="s">
        <v>220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34</v>
      </c>
      <c r="P971" s="14" t="s">
        <v>25</v>
      </c>
      <c r="Q971" s="14" t="s">
        <v>25</v>
      </c>
      <c r="R971" s="14" t="s">
        <v>35</v>
      </c>
    </row>
    <row r="972" spans="1:18" s="14" customFormat="1" x14ac:dyDescent="0.25">
      <c r="A972" s="14" t="str">
        <f>"11016"</f>
        <v>11016</v>
      </c>
      <c r="B972" s="14" t="str">
        <f>"03020"</f>
        <v>03020</v>
      </c>
      <c r="C972" s="14" t="str">
        <f>"1400"</f>
        <v>1400</v>
      </c>
      <c r="D972" s="14" t="str">
        <f>""</f>
        <v/>
      </c>
      <c r="E972" s="14" t="s">
        <v>451</v>
      </c>
      <c r="F972" s="14" t="s">
        <v>220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34</v>
      </c>
      <c r="P972" s="14" t="s">
        <v>25</v>
      </c>
      <c r="Q972" s="14" t="s">
        <v>25</v>
      </c>
      <c r="R972" s="14" t="s">
        <v>35</v>
      </c>
    </row>
    <row r="973" spans="1:18" s="14" customFormat="1" x14ac:dyDescent="0.25">
      <c r="A973" s="14" t="str">
        <f>"11017"</f>
        <v>11017</v>
      </c>
      <c r="B973" s="14" t="str">
        <f>"03020"</f>
        <v>03020</v>
      </c>
      <c r="C973" s="14" t="str">
        <f>"1400"</f>
        <v>1400</v>
      </c>
      <c r="D973" s="14" t="str">
        <f>""</f>
        <v/>
      </c>
      <c r="E973" s="14" t="s">
        <v>452</v>
      </c>
      <c r="F973" s="14" t="s">
        <v>220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34</v>
      </c>
      <c r="P973" s="14" t="s">
        <v>25</v>
      </c>
      <c r="Q973" s="14" t="s">
        <v>25</v>
      </c>
      <c r="R973" s="14" t="s">
        <v>35</v>
      </c>
    </row>
    <row r="974" spans="1:18" s="14" customFormat="1" x14ac:dyDescent="0.25">
      <c r="A974" s="14" t="str">
        <f>"11018"</f>
        <v>11018</v>
      </c>
      <c r="B974" s="14" t="str">
        <f>"03020"</f>
        <v>03020</v>
      </c>
      <c r="C974" s="14" t="str">
        <f>"1400"</f>
        <v>1400</v>
      </c>
      <c r="D974" s="14" t="str">
        <f>""</f>
        <v/>
      </c>
      <c r="E974" s="14" t="s">
        <v>453</v>
      </c>
      <c r="F974" s="14" t="s">
        <v>220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34</v>
      </c>
      <c r="P974" s="14" t="s">
        <v>25</v>
      </c>
      <c r="Q974" s="14" t="s">
        <v>25</v>
      </c>
      <c r="R974" s="14" t="s">
        <v>35</v>
      </c>
    </row>
    <row r="975" spans="1:18" s="14" customFormat="1" x14ac:dyDescent="0.25">
      <c r="A975" s="14" t="str">
        <f>"11019"</f>
        <v>11019</v>
      </c>
      <c r="B975" s="14" t="str">
        <f>"03020"</f>
        <v>03020</v>
      </c>
      <c r="C975" s="14" t="str">
        <f>"1400"</f>
        <v>1400</v>
      </c>
      <c r="D975" s="14" t="str">
        <f>""</f>
        <v/>
      </c>
      <c r="E975" s="14" t="s">
        <v>454</v>
      </c>
      <c r="F975" s="14" t="s">
        <v>220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34</v>
      </c>
      <c r="P975" s="14" t="s">
        <v>226</v>
      </c>
      <c r="Q975" s="14" t="s">
        <v>25</v>
      </c>
      <c r="R975" s="14" t="s">
        <v>35</v>
      </c>
    </row>
    <row r="976" spans="1:18" s="14" customFormat="1" x14ac:dyDescent="0.25">
      <c r="A976" s="14" t="str">
        <f>"11020"</f>
        <v>11020</v>
      </c>
      <c r="B976" s="14" t="str">
        <f>"03020"</f>
        <v>03020</v>
      </c>
      <c r="C976" s="14" t="str">
        <f>"1400"</f>
        <v>1400</v>
      </c>
      <c r="D976" s="14" t="str">
        <f>""</f>
        <v/>
      </c>
      <c r="E976" s="14" t="s">
        <v>455</v>
      </c>
      <c r="F976" s="14" t="s">
        <v>220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34</v>
      </c>
      <c r="P976" s="14" t="s">
        <v>25</v>
      </c>
      <c r="Q976" s="14" t="s">
        <v>25</v>
      </c>
      <c r="R976" s="14" t="s">
        <v>35</v>
      </c>
    </row>
    <row r="977" spans="1:18" s="14" customFormat="1" x14ac:dyDescent="0.25">
      <c r="A977" s="14" t="str">
        <f>"11021"</f>
        <v>11021</v>
      </c>
      <c r="B977" s="14" t="str">
        <f>"03020"</f>
        <v>03020</v>
      </c>
      <c r="C977" s="14" t="str">
        <f>"1400"</f>
        <v>1400</v>
      </c>
      <c r="D977" s="14" t="str">
        <f>""</f>
        <v/>
      </c>
      <c r="E977" s="14" t="s">
        <v>456</v>
      </c>
      <c r="F977" s="14" t="s">
        <v>220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34</v>
      </c>
      <c r="P977" s="14" t="s">
        <v>25</v>
      </c>
      <c r="Q977" s="14" t="s">
        <v>25</v>
      </c>
      <c r="R977" s="14" t="s">
        <v>35</v>
      </c>
    </row>
    <row r="978" spans="1:18" s="14" customFormat="1" x14ac:dyDescent="0.25">
      <c r="A978" s="14" t="str">
        <f>"11023"</f>
        <v>11023</v>
      </c>
      <c r="B978" s="14" t="str">
        <f>"03000"</f>
        <v>03000</v>
      </c>
      <c r="C978" s="14" t="str">
        <f>"1400"</f>
        <v>1400</v>
      </c>
      <c r="D978" s="14" t="str">
        <f>""</f>
        <v/>
      </c>
      <c r="E978" s="14" t="s">
        <v>457</v>
      </c>
      <c r="F978" s="14" t="s">
        <v>217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34</v>
      </c>
      <c r="P978" s="14" t="s">
        <v>25</v>
      </c>
      <c r="Q978" s="14" t="s">
        <v>25</v>
      </c>
      <c r="R978" s="14" t="s">
        <v>35</v>
      </c>
    </row>
    <row r="979" spans="1:18" s="14" customFormat="1" x14ac:dyDescent="0.25">
      <c r="A979" s="14" t="str">
        <f>"11024"</f>
        <v>11024</v>
      </c>
      <c r="B979" s="14" t="str">
        <f>"01780"</f>
        <v>01780</v>
      </c>
      <c r="C979" s="14" t="str">
        <f>"1300"</f>
        <v>1300</v>
      </c>
      <c r="D979" s="14" t="str">
        <f>""</f>
        <v/>
      </c>
      <c r="E979" s="14" t="s">
        <v>458</v>
      </c>
      <c r="F979" s="14" t="s">
        <v>175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112</v>
      </c>
      <c r="L979" s="14" t="s">
        <v>113</v>
      </c>
      <c r="M979" s="14" t="s">
        <v>114</v>
      </c>
      <c r="P979" s="14" t="s">
        <v>25</v>
      </c>
      <c r="Q979" s="14" t="s">
        <v>25</v>
      </c>
      <c r="R979" s="14" t="s">
        <v>115</v>
      </c>
    </row>
    <row r="980" spans="1:18" s="14" customFormat="1" x14ac:dyDescent="0.25">
      <c r="A980" s="14" t="str">
        <f>"11025"</f>
        <v>11025</v>
      </c>
      <c r="B980" s="14" t="str">
        <f>"01000"</f>
        <v>01000</v>
      </c>
      <c r="C980" s="14" t="str">
        <f>"1400"</f>
        <v>1400</v>
      </c>
      <c r="D980" s="14" t="str">
        <f>""</f>
        <v/>
      </c>
      <c r="E980" s="14" t="s">
        <v>459</v>
      </c>
      <c r="F980" s="14" t="s">
        <v>44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37</v>
      </c>
      <c r="L980" s="14" t="s">
        <v>34</v>
      </c>
      <c r="P980" s="14" t="s">
        <v>25</v>
      </c>
      <c r="Q980" s="14" t="s">
        <v>25</v>
      </c>
      <c r="R980" s="14" t="s">
        <v>38</v>
      </c>
    </row>
    <row r="981" spans="1:18" s="14" customFormat="1" x14ac:dyDescent="0.25">
      <c r="A981" s="14" t="str">
        <f>"11026"</f>
        <v>11026</v>
      </c>
      <c r="B981" s="14" t="str">
        <f>"03000"</f>
        <v>03000</v>
      </c>
      <c r="C981" s="14" t="str">
        <f>"1400"</f>
        <v>1400</v>
      </c>
      <c r="D981" s="14" t="str">
        <f>""</f>
        <v/>
      </c>
      <c r="E981" s="14" t="s">
        <v>460</v>
      </c>
      <c r="F981" s="14" t="s">
        <v>217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34</v>
      </c>
      <c r="P981" s="14" t="s">
        <v>25</v>
      </c>
      <c r="Q981" s="14" t="s">
        <v>25</v>
      </c>
      <c r="R981" s="14" t="s">
        <v>35</v>
      </c>
    </row>
    <row r="982" spans="1:18" s="14" customFormat="1" x14ac:dyDescent="0.25">
      <c r="A982" s="14" t="str">
        <f>"11027"</f>
        <v>11027</v>
      </c>
      <c r="B982" s="14" t="str">
        <f>"03000"</f>
        <v>03000</v>
      </c>
      <c r="C982" s="14" t="str">
        <f>"1400"</f>
        <v>1400</v>
      </c>
      <c r="D982" s="14" t="str">
        <f>""</f>
        <v/>
      </c>
      <c r="E982" s="14" t="s">
        <v>461</v>
      </c>
      <c r="F982" s="14" t="s">
        <v>217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34</v>
      </c>
      <c r="P982" s="14" t="s">
        <v>24</v>
      </c>
      <c r="Q982" s="14" t="s">
        <v>25</v>
      </c>
      <c r="R982" s="14" t="s">
        <v>35</v>
      </c>
    </row>
    <row r="983" spans="1:18" s="14" customFormat="1" x14ac:dyDescent="0.25">
      <c r="A983" s="14" t="str">
        <f>"11028"</f>
        <v>11028</v>
      </c>
      <c r="B983" s="14" t="str">
        <f>"01035"</f>
        <v>01035</v>
      </c>
      <c r="C983" s="14" t="str">
        <f>"1600"</f>
        <v>1600</v>
      </c>
      <c r="D983" s="14" t="str">
        <f>""</f>
        <v/>
      </c>
      <c r="E983" s="14" t="s">
        <v>462</v>
      </c>
      <c r="F983" s="14" t="s">
        <v>56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37</v>
      </c>
      <c r="L983" s="14" t="s">
        <v>34</v>
      </c>
      <c r="P983" s="14" t="s">
        <v>25</v>
      </c>
      <c r="Q983" s="14" t="s">
        <v>25</v>
      </c>
      <c r="R983" s="14" t="s">
        <v>38</v>
      </c>
    </row>
    <row r="984" spans="1:18" s="14" customFormat="1" x14ac:dyDescent="0.25">
      <c r="A984" s="14" t="str">
        <f>"11029"</f>
        <v>11029</v>
      </c>
      <c r="B984" s="14" t="str">
        <f>"01000"</f>
        <v>01000</v>
      </c>
      <c r="C984" s="14" t="str">
        <f>"1400"</f>
        <v>1400</v>
      </c>
      <c r="D984" s="14" t="str">
        <f>""</f>
        <v/>
      </c>
      <c r="E984" s="14" t="s">
        <v>463</v>
      </c>
      <c r="F984" s="14" t="s">
        <v>44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37</v>
      </c>
      <c r="L984" s="14" t="s">
        <v>34</v>
      </c>
      <c r="P984" s="14" t="s">
        <v>25</v>
      </c>
      <c r="Q984" s="14" t="s">
        <v>25</v>
      </c>
      <c r="R984" s="14" t="s">
        <v>38</v>
      </c>
    </row>
    <row r="985" spans="1:18" s="14" customFormat="1" x14ac:dyDescent="0.25">
      <c r="A985" s="14" t="str">
        <f>"11030"</f>
        <v>11030</v>
      </c>
      <c r="B985" s="14" t="str">
        <f>"01780"</f>
        <v>01780</v>
      </c>
      <c r="C985" s="14" t="str">
        <f>"1300"</f>
        <v>1300</v>
      </c>
      <c r="D985" s="14" t="str">
        <f>""</f>
        <v/>
      </c>
      <c r="E985" s="14" t="s">
        <v>464</v>
      </c>
      <c r="F985" s="14" t="s">
        <v>175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37</v>
      </c>
      <c r="L985" s="14" t="s">
        <v>181</v>
      </c>
      <c r="M985" s="14" t="s">
        <v>113</v>
      </c>
      <c r="P985" s="14" t="s">
        <v>25</v>
      </c>
      <c r="Q985" s="14" t="s">
        <v>25</v>
      </c>
      <c r="R985" s="14" t="s">
        <v>115</v>
      </c>
    </row>
    <row r="986" spans="1:18" s="14" customFormat="1" x14ac:dyDescent="0.25">
      <c r="A986" s="14" t="str">
        <f>"11031"</f>
        <v>11031</v>
      </c>
      <c r="B986" s="14" t="str">
        <f>"01300"</f>
        <v>01300</v>
      </c>
      <c r="C986" s="14" t="str">
        <f>"1300"</f>
        <v>1300</v>
      </c>
      <c r="D986" s="14" t="str">
        <f>""</f>
        <v/>
      </c>
      <c r="E986" s="14" t="s">
        <v>465</v>
      </c>
      <c r="F986" s="14" t="s">
        <v>96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48</v>
      </c>
      <c r="L986" s="14" t="s">
        <v>97</v>
      </c>
      <c r="M986" s="14" t="s">
        <v>98</v>
      </c>
      <c r="P986" s="14" t="s">
        <v>25</v>
      </c>
      <c r="Q986" s="14" t="s">
        <v>25</v>
      </c>
      <c r="R986" s="14" t="s">
        <v>49</v>
      </c>
    </row>
    <row r="987" spans="1:18" s="14" customFormat="1" x14ac:dyDescent="0.25">
      <c r="A987" s="14" t="str">
        <f>"11033"</f>
        <v>11033</v>
      </c>
      <c r="B987" s="14" t="str">
        <f>"01400"</f>
        <v>01400</v>
      </c>
      <c r="C987" s="14" t="str">
        <f>"1300"</f>
        <v>1300</v>
      </c>
      <c r="D987" s="14" t="str">
        <f>""</f>
        <v/>
      </c>
      <c r="E987" s="14" t="s">
        <v>466</v>
      </c>
      <c r="F987" s="14" t="s">
        <v>117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69</v>
      </c>
      <c r="L987" s="14" t="s">
        <v>70</v>
      </c>
      <c r="M987" s="14" t="s">
        <v>71</v>
      </c>
      <c r="P987" s="14" t="s">
        <v>31</v>
      </c>
      <c r="Q987" s="14" t="s">
        <v>25</v>
      </c>
      <c r="R987" s="14" t="s">
        <v>467</v>
      </c>
    </row>
    <row r="988" spans="1:18" s="14" customFormat="1" x14ac:dyDescent="0.25">
      <c r="A988" s="14" t="str">
        <f>"11034"</f>
        <v>11034</v>
      </c>
      <c r="B988" s="14" t="str">
        <f>"01660"</f>
        <v>01660</v>
      </c>
      <c r="C988" s="14" t="str">
        <f>"1300"</f>
        <v>1300</v>
      </c>
      <c r="D988" s="14" t="str">
        <f>""</f>
        <v/>
      </c>
      <c r="E988" s="14" t="s">
        <v>468</v>
      </c>
      <c r="F988" s="14" t="s">
        <v>145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147</v>
      </c>
      <c r="L988" s="14" t="s">
        <v>148</v>
      </c>
      <c r="P988" s="14" t="s">
        <v>25</v>
      </c>
      <c r="Q988" s="14" t="s">
        <v>25</v>
      </c>
      <c r="R988" s="14" t="s">
        <v>146</v>
      </c>
    </row>
    <row r="989" spans="1:18" s="14" customFormat="1" x14ac:dyDescent="0.25">
      <c r="A989" s="14" t="str">
        <f>"11035"</f>
        <v>11035</v>
      </c>
      <c r="B989" s="14" t="str">
        <f>"01780"</f>
        <v>01780</v>
      </c>
      <c r="C989" s="14" t="str">
        <f>"1300"</f>
        <v>1300</v>
      </c>
      <c r="D989" s="14" t="str">
        <f>""</f>
        <v/>
      </c>
      <c r="E989" s="14" t="s">
        <v>469</v>
      </c>
      <c r="F989" s="14" t="s">
        <v>175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112</v>
      </c>
      <c r="L989" s="14" t="s">
        <v>113</v>
      </c>
      <c r="M989" s="14" t="s">
        <v>114</v>
      </c>
      <c r="P989" s="14" t="s">
        <v>25</v>
      </c>
      <c r="Q989" s="14" t="s">
        <v>25</v>
      </c>
      <c r="R989" s="14" t="s">
        <v>115</v>
      </c>
    </row>
    <row r="990" spans="1:18" s="14" customFormat="1" x14ac:dyDescent="0.25">
      <c r="A990" s="14" t="str">
        <f>"11036"</f>
        <v>11036</v>
      </c>
      <c r="B990" s="14" t="str">
        <f>"01240"</f>
        <v>01240</v>
      </c>
      <c r="C990" s="14" t="str">
        <f>"1400"</f>
        <v>1400</v>
      </c>
      <c r="D990" s="14" t="str">
        <f>""</f>
        <v/>
      </c>
      <c r="E990" s="14" t="s">
        <v>470</v>
      </c>
      <c r="F990" s="14" t="s">
        <v>80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81</v>
      </c>
      <c r="L990" s="14" t="s">
        <v>37</v>
      </c>
      <c r="P990" s="14" t="s">
        <v>25</v>
      </c>
      <c r="Q990" s="14" t="s">
        <v>25</v>
      </c>
      <c r="R990" s="14" t="s">
        <v>81</v>
      </c>
    </row>
    <row r="991" spans="1:18" s="14" customFormat="1" x14ac:dyDescent="0.25">
      <c r="A991" s="14" t="str">
        <f>"11037"</f>
        <v>11037</v>
      </c>
      <c r="B991" s="14" t="str">
        <f>"01441"</f>
        <v>01441</v>
      </c>
      <c r="C991" s="14" t="str">
        <f>"1300"</f>
        <v>1300</v>
      </c>
      <c r="D991" s="14" t="str">
        <f>""</f>
        <v/>
      </c>
      <c r="E991" s="14" t="s">
        <v>471</v>
      </c>
      <c r="F991" s="14" t="s">
        <v>125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124</v>
      </c>
      <c r="L991" s="14" t="s">
        <v>69</v>
      </c>
      <c r="M991" s="14" t="s">
        <v>70</v>
      </c>
      <c r="N991" s="14" t="s">
        <v>71</v>
      </c>
      <c r="P991" s="14" t="s">
        <v>25</v>
      </c>
      <c r="Q991" s="14" t="s">
        <v>25</v>
      </c>
      <c r="R991" s="14" t="s">
        <v>72</v>
      </c>
    </row>
    <row r="992" spans="1:18" s="14" customFormat="1" x14ac:dyDescent="0.25">
      <c r="A992" s="14" t="str">
        <f>"11038"</f>
        <v>11038</v>
      </c>
      <c r="B992" s="14" t="str">
        <f>"01180"</f>
        <v>01180</v>
      </c>
      <c r="C992" s="14" t="str">
        <f>"1100"</f>
        <v>1100</v>
      </c>
      <c r="D992" s="14" t="str">
        <f>""</f>
        <v/>
      </c>
      <c r="E992" s="14" t="s">
        <v>472</v>
      </c>
      <c r="F992" s="14" t="s">
        <v>65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37</v>
      </c>
      <c r="L992" s="14" t="s">
        <v>34</v>
      </c>
      <c r="P992" s="14" t="s">
        <v>25</v>
      </c>
      <c r="Q992" s="14" t="s">
        <v>25</v>
      </c>
      <c r="R992" s="14" t="s">
        <v>38</v>
      </c>
    </row>
    <row r="993" spans="1:18" s="14" customFormat="1" x14ac:dyDescent="0.25">
      <c r="A993" s="14" t="str">
        <f>"11039"</f>
        <v>11039</v>
      </c>
      <c r="B993" s="14" t="str">
        <f>"05020"</f>
        <v>05020</v>
      </c>
      <c r="C993" s="14" t="str">
        <f>"1700"</f>
        <v>1700</v>
      </c>
      <c r="D993" s="14" t="str">
        <f>""</f>
        <v/>
      </c>
      <c r="E993" s="14" t="s">
        <v>473</v>
      </c>
      <c r="F993" s="14" t="s">
        <v>374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375</v>
      </c>
      <c r="L993" s="14" t="s">
        <v>376</v>
      </c>
      <c r="M993" s="14" t="s">
        <v>47</v>
      </c>
      <c r="N993" s="14" t="s">
        <v>377</v>
      </c>
      <c r="P993" s="14" t="s">
        <v>25</v>
      </c>
      <c r="Q993" s="14" t="s">
        <v>25</v>
      </c>
      <c r="R993" s="14" t="s">
        <v>47</v>
      </c>
    </row>
    <row r="994" spans="1:18" s="14" customFormat="1" x14ac:dyDescent="0.25">
      <c r="A994" s="14" t="str">
        <f>"11040"</f>
        <v>11040</v>
      </c>
      <c r="B994" s="14" t="str">
        <f>"01670"</f>
        <v>01670</v>
      </c>
      <c r="C994" s="14" t="str">
        <f>"1100"</f>
        <v>1100</v>
      </c>
      <c r="D994" s="14" t="str">
        <f>""</f>
        <v/>
      </c>
      <c r="E994" s="14" t="s">
        <v>474</v>
      </c>
      <c r="F994" s="14" t="s">
        <v>151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147</v>
      </c>
      <c r="L994" s="14" t="s">
        <v>148</v>
      </c>
      <c r="P994" s="14" t="s">
        <v>25</v>
      </c>
      <c r="Q994" s="14" t="s">
        <v>25</v>
      </c>
      <c r="R994" s="14" t="s">
        <v>146</v>
      </c>
    </row>
    <row r="995" spans="1:18" s="14" customFormat="1" x14ac:dyDescent="0.25">
      <c r="A995" s="14" t="str">
        <f>"11041"</f>
        <v>11041</v>
      </c>
      <c r="B995" s="14" t="str">
        <f>"01040"</f>
        <v>01040</v>
      </c>
      <c r="C995" s="14" t="str">
        <f>"1100"</f>
        <v>1100</v>
      </c>
      <c r="D995" s="14" t="str">
        <f>""</f>
        <v/>
      </c>
      <c r="E995" s="14" t="s">
        <v>475</v>
      </c>
      <c r="F995" s="14" t="s">
        <v>57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53</v>
      </c>
      <c r="L995" s="14" t="s">
        <v>58</v>
      </c>
      <c r="M995" s="14" t="s">
        <v>55</v>
      </c>
      <c r="P995" s="14" t="s">
        <v>25</v>
      </c>
      <c r="Q995" s="14" t="s">
        <v>25</v>
      </c>
      <c r="R995" s="14" t="s">
        <v>58</v>
      </c>
    </row>
    <row r="996" spans="1:18" s="14" customFormat="1" x14ac:dyDescent="0.25">
      <c r="A996" s="14" t="str">
        <f>"11042"</f>
        <v>11042</v>
      </c>
      <c r="B996" s="14" t="str">
        <f>"01710"</f>
        <v>01710</v>
      </c>
      <c r="C996" s="14" t="str">
        <f>"1100"</f>
        <v>1100</v>
      </c>
      <c r="D996" s="14" t="str">
        <f>""</f>
        <v/>
      </c>
      <c r="E996" s="14" t="s">
        <v>476</v>
      </c>
      <c r="F996" s="14" t="s">
        <v>161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147</v>
      </c>
      <c r="L996" s="14" t="s">
        <v>154</v>
      </c>
      <c r="P996" s="14" t="s">
        <v>25</v>
      </c>
      <c r="Q996" s="14" t="s">
        <v>25</v>
      </c>
      <c r="R996" s="14" t="s">
        <v>146</v>
      </c>
    </row>
    <row r="997" spans="1:18" s="14" customFormat="1" x14ac:dyDescent="0.25">
      <c r="A997" s="14" t="str">
        <f>"11043"</f>
        <v>11043</v>
      </c>
      <c r="B997" s="14" t="str">
        <f>"01390"</f>
        <v>01390</v>
      </c>
      <c r="C997" s="14" t="str">
        <f>"1100"</f>
        <v>1100</v>
      </c>
      <c r="D997" s="14" t="str">
        <f>""</f>
        <v/>
      </c>
      <c r="E997" s="14" t="s">
        <v>477</v>
      </c>
      <c r="F997" s="14" t="s">
        <v>116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112</v>
      </c>
      <c r="L997" s="14" t="s">
        <v>113</v>
      </c>
      <c r="M997" s="14" t="s">
        <v>114</v>
      </c>
      <c r="P997" s="14" t="s">
        <v>25</v>
      </c>
      <c r="Q997" s="14" t="s">
        <v>25</v>
      </c>
      <c r="R997" s="14" t="s">
        <v>115</v>
      </c>
    </row>
    <row r="998" spans="1:18" s="14" customFormat="1" x14ac:dyDescent="0.25">
      <c r="A998" s="14" t="str">
        <f>"11044"</f>
        <v>11044</v>
      </c>
      <c r="B998" s="14" t="str">
        <f>"01780"</f>
        <v>01780</v>
      </c>
      <c r="C998" s="14" t="str">
        <f>"1300"</f>
        <v>1300</v>
      </c>
      <c r="D998" s="14" t="str">
        <f>""</f>
        <v/>
      </c>
      <c r="E998" s="14" t="s">
        <v>478</v>
      </c>
      <c r="F998" s="14" t="s">
        <v>175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112</v>
      </c>
      <c r="L998" s="14" t="s">
        <v>113</v>
      </c>
      <c r="M998" s="14" t="s">
        <v>114</v>
      </c>
      <c r="P998" s="14" t="s">
        <v>25</v>
      </c>
      <c r="Q998" s="14" t="s">
        <v>25</v>
      </c>
      <c r="R998" s="14" t="s">
        <v>115</v>
      </c>
    </row>
    <row r="999" spans="1:18" s="14" customFormat="1" x14ac:dyDescent="0.25">
      <c r="A999" s="14" t="str">
        <f>"11045"</f>
        <v>11045</v>
      </c>
      <c r="B999" s="14" t="str">
        <f>"01320"</f>
        <v>01320</v>
      </c>
      <c r="C999" s="14" t="str">
        <f>"1100"</f>
        <v>1100</v>
      </c>
      <c r="D999" s="14" t="str">
        <f>""</f>
        <v/>
      </c>
      <c r="E999" s="14" t="s">
        <v>479</v>
      </c>
      <c r="F999" s="14" t="s">
        <v>103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48</v>
      </c>
      <c r="L999" s="14" t="s">
        <v>97</v>
      </c>
      <c r="M999" s="14" t="s">
        <v>98</v>
      </c>
      <c r="P999" s="14" t="s">
        <v>25</v>
      </c>
      <c r="Q999" s="14" t="s">
        <v>25</v>
      </c>
      <c r="R999" s="14" t="s">
        <v>49</v>
      </c>
    </row>
    <row r="1000" spans="1:18" s="14" customFormat="1" x14ac:dyDescent="0.25">
      <c r="A1000" s="14" t="str">
        <f>"11046"</f>
        <v>11046</v>
      </c>
      <c r="B1000" s="14" t="str">
        <f>"01780"</f>
        <v>01780</v>
      </c>
      <c r="C1000" s="14" t="str">
        <f>"1300"</f>
        <v>1300</v>
      </c>
      <c r="D1000" s="14" t="str">
        <f>""</f>
        <v/>
      </c>
      <c r="E1000" s="14" t="s">
        <v>480</v>
      </c>
      <c r="F1000" s="14" t="s">
        <v>175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112</v>
      </c>
      <c r="L1000" s="14" t="s">
        <v>113</v>
      </c>
      <c r="M1000" s="14" t="s">
        <v>114</v>
      </c>
      <c r="P1000" s="14" t="s">
        <v>25</v>
      </c>
      <c r="Q1000" s="14" t="s">
        <v>25</v>
      </c>
      <c r="R1000" s="14" t="s">
        <v>115</v>
      </c>
    </row>
    <row r="1001" spans="1:18" s="14" customFormat="1" x14ac:dyDescent="0.25">
      <c r="A1001" s="14" t="str">
        <f>"11047"</f>
        <v>11047</v>
      </c>
      <c r="B1001" s="14" t="str">
        <f>"03120"</f>
        <v>03120</v>
      </c>
      <c r="C1001" s="14" t="str">
        <f>"1500"</f>
        <v>1500</v>
      </c>
      <c r="D1001" s="14" t="str">
        <f>""</f>
        <v/>
      </c>
      <c r="E1001" s="14" t="s">
        <v>481</v>
      </c>
      <c r="F1001" s="14" t="s">
        <v>243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244</v>
      </c>
      <c r="P1001" s="14" t="s">
        <v>25</v>
      </c>
      <c r="Q1001" s="14" t="s">
        <v>25</v>
      </c>
      <c r="R1001" s="14" t="s">
        <v>245</v>
      </c>
    </row>
    <row r="1002" spans="1:18" s="14" customFormat="1" x14ac:dyDescent="0.25">
      <c r="A1002" s="14" t="str">
        <f>"11048"</f>
        <v>11048</v>
      </c>
      <c r="B1002" s="14" t="str">
        <f>"01370"</f>
        <v>01370</v>
      </c>
      <c r="C1002" s="14" t="str">
        <f>"1300"</f>
        <v>1300</v>
      </c>
      <c r="D1002" s="14" t="str">
        <f>""</f>
        <v/>
      </c>
      <c r="E1002" s="14" t="s">
        <v>482</v>
      </c>
      <c r="F1002" s="14" t="s">
        <v>108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109</v>
      </c>
      <c r="L1002" s="14" t="s">
        <v>69</v>
      </c>
      <c r="M1002" s="14" t="s">
        <v>70</v>
      </c>
      <c r="N1002" s="14" t="s">
        <v>71</v>
      </c>
      <c r="P1002" s="14" t="s">
        <v>31</v>
      </c>
      <c r="Q1002" s="14" t="s">
        <v>25</v>
      </c>
      <c r="R1002" s="14" t="s">
        <v>72</v>
      </c>
    </row>
    <row r="1003" spans="1:18" s="14" customFormat="1" x14ac:dyDescent="0.25">
      <c r="A1003" s="14" t="str">
        <f>"11049"</f>
        <v>11049</v>
      </c>
      <c r="B1003" s="14" t="str">
        <f>"03020"</f>
        <v>03020</v>
      </c>
      <c r="C1003" s="14" t="str">
        <f>"1400"</f>
        <v>1400</v>
      </c>
      <c r="D1003" s="14" t="str">
        <f>""</f>
        <v/>
      </c>
      <c r="E1003" s="14" t="s">
        <v>483</v>
      </c>
      <c r="F1003" s="14" t="s">
        <v>220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34</v>
      </c>
      <c r="L1003" s="14" t="s">
        <v>25</v>
      </c>
      <c r="P1003" s="14" t="s">
        <v>25</v>
      </c>
      <c r="Q1003" s="14" t="s">
        <v>25</v>
      </c>
      <c r="R1003" s="14" t="s">
        <v>35</v>
      </c>
    </row>
    <row r="1004" spans="1:18" s="14" customFormat="1" x14ac:dyDescent="0.25">
      <c r="A1004" s="14" t="str">
        <f>"11050"</f>
        <v>11050</v>
      </c>
      <c r="B1004" s="14" t="str">
        <f>"03020"</f>
        <v>03020</v>
      </c>
      <c r="C1004" s="14" t="str">
        <f>"1400"</f>
        <v>1400</v>
      </c>
      <c r="D1004" s="14" t="str">
        <f>""</f>
        <v/>
      </c>
      <c r="E1004" s="14" t="s">
        <v>484</v>
      </c>
      <c r="F1004" s="14" t="s">
        <v>220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34</v>
      </c>
      <c r="L1004" s="14" t="s">
        <v>25</v>
      </c>
      <c r="P1004" s="14" t="s">
        <v>25</v>
      </c>
      <c r="Q1004" s="14" t="s">
        <v>25</v>
      </c>
      <c r="R1004" s="14" t="s">
        <v>35</v>
      </c>
    </row>
    <row r="1005" spans="1:18" s="14" customFormat="1" x14ac:dyDescent="0.25">
      <c r="A1005" s="14" t="str">
        <f>"11051"</f>
        <v>11051</v>
      </c>
      <c r="B1005" s="14" t="str">
        <f>"01770"</f>
        <v>01770</v>
      </c>
      <c r="C1005" s="14" t="str">
        <f>"1100"</f>
        <v>1100</v>
      </c>
      <c r="D1005" s="14" t="str">
        <f>""</f>
        <v/>
      </c>
      <c r="E1005" s="14" t="s">
        <v>485</v>
      </c>
      <c r="F1005" s="14" t="s">
        <v>172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147</v>
      </c>
      <c r="L1005" s="14" t="s">
        <v>154</v>
      </c>
      <c r="P1005" s="14" t="s">
        <v>25</v>
      </c>
      <c r="Q1005" s="14" t="s">
        <v>25</v>
      </c>
      <c r="R1005" s="14" t="s">
        <v>146</v>
      </c>
    </row>
    <row r="1006" spans="1:18" s="14" customFormat="1" x14ac:dyDescent="0.25">
      <c r="A1006" s="14" t="str">
        <f>"11052"</f>
        <v>11052</v>
      </c>
      <c r="B1006" s="14" t="str">
        <f>"06000"</f>
        <v>06000</v>
      </c>
      <c r="C1006" s="14" t="str">
        <f>"1700"</f>
        <v>1700</v>
      </c>
      <c r="D1006" s="14" t="str">
        <f>""</f>
        <v/>
      </c>
      <c r="E1006" s="14" t="s">
        <v>1921</v>
      </c>
      <c r="F1006" s="14" t="s">
        <v>409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34</v>
      </c>
      <c r="L1006" s="14" t="s">
        <v>25</v>
      </c>
      <c r="P1006" s="14" t="s">
        <v>25</v>
      </c>
      <c r="Q1006" s="14" t="s">
        <v>25</v>
      </c>
      <c r="R1006" s="14" t="s">
        <v>35</v>
      </c>
    </row>
    <row r="1007" spans="1:18" s="14" customFormat="1" x14ac:dyDescent="0.25">
      <c r="A1007" s="14" t="str">
        <f>"15001"</f>
        <v>15001</v>
      </c>
      <c r="B1007" s="14" t="str">
        <f>"03769"</f>
        <v>03769</v>
      </c>
      <c r="C1007" s="14" t="str">
        <f>"1700"</f>
        <v>1700</v>
      </c>
      <c r="D1007" s="14" t="str">
        <f>""</f>
        <v/>
      </c>
      <c r="E1007" s="14" t="s">
        <v>508</v>
      </c>
      <c r="F1007" s="14" t="s">
        <v>509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34</v>
      </c>
      <c r="P1007" s="14" t="s">
        <v>260</v>
      </c>
      <c r="Q1007" s="14" t="s">
        <v>25</v>
      </c>
      <c r="R1007" s="14" t="s">
        <v>35</v>
      </c>
    </row>
    <row r="1008" spans="1:18" s="14" customFormat="1" x14ac:dyDescent="0.25">
      <c r="A1008" s="14" t="str">
        <f>"15001"</f>
        <v>15001</v>
      </c>
      <c r="B1008" s="14" t="str">
        <f>"03954"</f>
        <v>03954</v>
      </c>
      <c r="C1008" s="14" t="str">
        <f>"1400"</f>
        <v>1400</v>
      </c>
      <c r="D1008" s="14" t="str">
        <f>""</f>
        <v/>
      </c>
      <c r="E1008" s="14" t="s">
        <v>508</v>
      </c>
      <c r="F1008" s="14" t="s">
        <v>510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318</v>
      </c>
      <c r="L1008" s="14" t="s">
        <v>319</v>
      </c>
      <c r="P1008" s="14" t="s">
        <v>260</v>
      </c>
      <c r="Q1008" s="14" t="s">
        <v>25</v>
      </c>
      <c r="R1008" s="14" t="s">
        <v>318</v>
      </c>
    </row>
    <row r="1009" spans="1:18" s="14" customFormat="1" x14ac:dyDescent="0.25">
      <c r="A1009" s="14" t="str">
        <f>"15001"</f>
        <v>15001</v>
      </c>
      <c r="B1009" s="14" t="str">
        <f>"03954"</f>
        <v>03954</v>
      </c>
      <c r="C1009" s="14" t="str">
        <f>"1800"</f>
        <v>1800</v>
      </c>
      <c r="D1009" s="14" t="str">
        <f>""</f>
        <v/>
      </c>
      <c r="E1009" s="14" t="s">
        <v>508</v>
      </c>
      <c r="F1009" s="14" t="s">
        <v>510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318</v>
      </c>
      <c r="L1009" s="14" t="s">
        <v>319</v>
      </c>
      <c r="P1009" s="14" t="s">
        <v>260</v>
      </c>
      <c r="Q1009" s="14" t="s">
        <v>25</v>
      </c>
      <c r="R1009" s="14" t="s">
        <v>318</v>
      </c>
    </row>
    <row r="1010" spans="1:18" s="14" customFormat="1" x14ac:dyDescent="0.25">
      <c r="A1010" s="14" t="str">
        <f>"15002"</f>
        <v>15002</v>
      </c>
      <c r="B1010" s="14" t="str">
        <f>"03769"</f>
        <v>03769</v>
      </c>
      <c r="C1010" s="14" t="str">
        <f>"1400"</f>
        <v>1400</v>
      </c>
      <c r="D1010" s="14" t="str">
        <f>""</f>
        <v/>
      </c>
      <c r="E1010" s="14" t="s">
        <v>511</v>
      </c>
      <c r="F1010" s="14" t="s">
        <v>509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34</v>
      </c>
      <c r="P1010" s="14" t="s">
        <v>260</v>
      </c>
      <c r="Q1010" s="14" t="s">
        <v>25</v>
      </c>
      <c r="R1010" s="14" t="s">
        <v>35</v>
      </c>
    </row>
    <row r="1011" spans="1:18" s="14" customFormat="1" x14ac:dyDescent="0.25">
      <c r="A1011" s="14" t="str">
        <f>"15002"</f>
        <v>15002</v>
      </c>
      <c r="B1011" s="14" t="str">
        <f>"03942"</f>
        <v>03942</v>
      </c>
      <c r="C1011" s="14" t="str">
        <f>"1400"</f>
        <v>1400</v>
      </c>
      <c r="D1011" s="14" t="str">
        <f>""</f>
        <v/>
      </c>
      <c r="E1011" s="14" t="s">
        <v>511</v>
      </c>
      <c r="F1011" s="14" t="s">
        <v>512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318</v>
      </c>
      <c r="L1011" s="14" t="s">
        <v>319</v>
      </c>
      <c r="P1011" s="14" t="s">
        <v>260</v>
      </c>
      <c r="Q1011" s="14" t="s">
        <v>25</v>
      </c>
      <c r="R1011" s="14" t="s">
        <v>318</v>
      </c>
    </row>
    <row r="1012" spans="1:18" s="14" customFormat="1" x14ac:dyDescent="0.25">
      <c r="A1012" s="14" t="str">
        <f>"15002"</f>
        <v>15002</v>
      </c>
      <c r="B1012" s="14" t="str">
        <f>"03942"</f>
        <v>03942</v>
      </c>
      <c r="C1012" s="14" t="str">
        <f>"1800"</f>
        <v>1800</v>
      </c>
      <c r="D1012" s="14" t="str">
        <f>""</f>
        <v/>
      </c>
      <c r="E1012" s="14" t="s">
        <v>511</v>
      </c>
      <c r="F1012" s="14" t="s">
        <v>512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318</v>
      </c>
      <c r="L1012" s="14" t="s">
        <v>319</v>
      </c>
      <c r="P1012" s="14" t="s">
        <v>260</v>
      </c>
      <c r="Q1012" s="14" t="s">
        <v>25</v>
      </c>
      <c r="R1012" s="14" t="s">
        <v>318</v>
      </c>
    </row>
    <row r="1013" spans="1:18" s="14" customFormat="1" x14ac:dyDescent="0.25">
      <c r="A1013" s="14" t="str">
        <f>"15003"</f>
        <v>15003</v>
      </c>
      <c r="B1013" s="14" t="str">
        <f>"03769"</f>
        <v>03769</v>
      </c>
      <c r="C1013" s="14" t="str">
        <f>"1700"</f>
        <v>1700</v>
      </c>
      <c r="D1013" s="14" t="str">
        <f>""</f>
        <v/>
      </c>
      <c r="E1013" s="14" t="s">
        <v>513</v>
      </c>
      <c r="F1013" s="14" t="s">
        <v>509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34</v>
      </c>
      <c r="P1013" s="14" t="s">
        <v>260</v>
      </c>
      <c r="Q1013" s="14" t="s">
        <v>25</v>
      </c>
      <c r="R1013" s="14" t="s">
        <v>35</v>
      </c>
    </row>
    <row r="1014" spans="1:18" s="14" customFormat="1" x14ac:dyDescent="0.25">
      <c r="A1014" s="14" t="str">
        <f>"15003"</f>
        <v>15003</v>
      </c>
      <c r="B1014" s="14" t="str">
        <f>"03930"</f>
        <v>03930</v>
      </c>
      <c r="C1014" s="14" t="str">
        <f>"1400"</f>
        <v>1400</v>
      </c>
      <c r="D1014" s="14" t="str">
        <f>""</f>
        <v/>
      </c>
      <c r="E1014" s="14" t="s">
        <v>513</v>
      </c>
      <c r="F1014" s="14" t="s">
        <v>514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318</v>
      </c>
      <c r="L1014" s="14" t="s">
        <v>319</v>
      </c>
      <c r="P1014" s="14" t="s">
        <v>260</v>
      </c>
      <c r="Q1014" s="14" t="s">
        <v>25</v>
      </c>
      <c r="R1014" s="14" t="s">
        <v>318</v>
      </c>
    </row>
    <row r="1015" spans="1:18" s="14" customFormat="1" x14ac:dyDescent="0.25">
      <c r="A1015" s="14" t="str">
        <f>"15003"</f>
        <v>15003</v>
      </c>
      <c r="B1015" s="14" t="str">
        <f>"03930"</f>
        <v>03930</v>
      </c>
      <c r="C1015" s="14" t="str">
        <f>"1800"</f>
        <v>1800</v>
      </c>
      <c r="D1015" s="14" t="str">
        <f>""</f>
        <v/>
      </c>
      <c r="E1015" s="14" t="s">
        <v>513</v>
      </c>
      <c r="F1015" s="14" t="s">
        <v>514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318</v>
      </c>
      <c r="L1015" s="14" t="s">
        <v>319</v>
      </c>
      <c r="P1015" s="14" t="s">
        <v>260</v>
      </c>
      <c r="Q1015" s="14" t="s">
        <v>25</v>
      </c>
      <c r="R1015" s="14" t="s">
        <v>318</v>
      </c>
    </row>
    <row r="1016" spans="1:18" s="14" customFormat="1" x14ac:dyDescent="0.25">
      <c r="A1016" s="14" t="str">
        <f>"15004"</f>
        <v>15004</v>
      </c>
      <c r="B1016" s="14" t="str">
        <f>"03769"</f>
        <v>03769</v>
      </c>
      <c r="C1016" s="14" t="str">
        <f>"1700"</f>
        <v>1700</v>
      </c>
      <c r="D1016" s="14" t="str">
        <f>""</f>
        <v/>
      </c>
      <c r="E1016" s="14" t="s">
        <v>515</v>
      </c>
      <c r="F1016" s="14" t="s">
        <v>509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37</v>
      </c>
      <c r="L1016" s="14" t="s">
        <v>38</v>
      </c>
      <c r="P1016" s="14" t="s">
        <v>260</v>
      </c>
      <c r="Q1016" s="14" t="s">
        <v>25</v>
      </c>
      <c r="R1016" s="14" t="s">
        <v>38</v>
      </c>
    </row>
    <row r="1017" spans="1:18" s="14" customFormat="1" x14ac:dyDescent="0.25">
      <c r="A1017" s="14" t="str">
        <f>"15004"</f>
        <v>15004</v>
      </c>
      <c r="B1017" s="14" t="str">
        <f>"03931"</f>
        <v>03931</v>
      </c>
      <c r="C1017" s="14" t="str">
        <f>"1400"</f>
        <v>1400</v>
      </c>
      <c r="D1017" s="14" t="str">
        <f>""</f>
        <v/>
      </c>
      <c r="E1017" s="14" t="s">
        <v>515</v>
      </c>
      <c r="F1017" s="14" t="s">
        <v>516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318</v>
      </c>
      <c r="L1017" s="14" t="s">
        <v>319</v>
      </c>
      <c r="P1017" s="14" t="s">
        <v>260</v>
      </c>
      <c r="Q1017" s="14" t="s">
        <v>25</v>
      </c>
      <c r="R1017" s="14" t="s">
        <v>318</v>
      </c>
    </row>
    <row r="1018" spans="1:18" s="14" customFormat="1" x14ac:dyDescent="0.25">
      <c r="A1018" s="14" t="str">
        <f>"15005"</f>
        <v>15005</v>
      </c>
      <c r="B1018" s="14" t="str">
        <f>"03769"</f>
        <v>03769</v>
      </c>
      <c r="C1018" s="14" t="str">
        <f>"1300"</f>
        <v>1300</v>
      </c>
      <c r="D1018" s="14" t="str">
        <f>""</f>
        <v/>
      </c>
      <c r="E1018" s="14" t="s">
        <v>517</v>
      </c>
      <c r="F1018" s="14" t="s">
        <v>509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34</v>
      </c>
      <c r="P1018" s="14" t="s">
        <v>260</v>
      </c>
      <c r="Q1018" s="14" t="s">
        <v>25</v>
      </c>
      <c r="R1018" s="14" t="s">
        <v>35</v>
      </c>
    </row>
    <row r="1019" spans="1:18" s="14" customFormat="1" x14ac:dyDescent="0.25">
      <c r="A1019" s="14" t="str">
        <f>"15005"</f>
        <v>15005</v>
      </c>
      <c r="B1019" s="14" t="str">
        <f>"03926"</f>
        <v>03926</v>
      </c>
      <c r="C1019" s="14" t="str">
        <f>"1400"</f>
        <v>1400</v>
      </c>
      <c r="D1019" s="14" t="str">
        <f>""</f>
        <v/>
      </c>
      <c r="E1019" s="14" t="s">
        <v>517</v>
      </c>
      <c r="F1019" s="14" t="s">
        <v>518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318</v>
      </c>
      <c r="L1019" s="14" t="s">
        <v>319</v>
      </c>
      <c r="P1019" s="14" t="s">
        <v>260</v>
      </c>
      <c r="Q1019" s="14" t="s">
        <v>25</v>
      </c>
      <c r="R1019" s="14" t="s">
        <v>318</v>
      </c>
    </row>
    <row r="1020" spans="1:18" s="14" customFormat="1" x14ac:dyDescent="0.25">
      <c r="A1020" s="14" t="str">
        <f>"15005"</f>
        <v>15005</v>
      </c>
      <c r="B1020" s="14" t="str">
        <f>"03926"</f>
        <v>03926</v>
      </c>
      <c r="C1020" s="14" t="str">
        <f>"1800"</f>
        <v>1800</v>
      </c>
      <c r="D1020" s="14" t="str">
        <f>""</f>
        <v/>
      </c>
      <c r="E1020" s="14" t="s">
        <v>517</v>
      </c>
      <c r="F1020" s="14" t="s">
        <v>518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318</v>
      </c>
      <c r="L1020" s="14" t="s">
        <v>319</v>
      </c>
      <c r="P1020" s="14" t="s">
        <v>260</v>
      </c>
      <c r="Q1020" s="14" t="s">
        <v>25</v>
      </c>
      <c r="R1020" s="14" t="s">
        <v>318</v>
      </c>
    </row>
    <row r="1021" spans="1:18" s="14" customFormat="1" x14ac:dyDescent="0.25">
      <c r="A1021" s="14" t="str">
        <f>"15009"</f>
        <v>15009</v>
      </c>
      <c r="B1021" s="14" t="str">
        <f>"03769"</f>
        <v>03769</v>
      </c>
      <c r="C1021" s="14" t="str">
        <f>"1700"</f>
        <v>1700</v>
      </c>
      <c r="D1021" s="14" t="str">
        <f>""</f>
        <v/>
      </c>
      <c r="E1021" s="14" t="s">
        <v>519</v>
      </c>
      <c r="F1021" s="14" t="s">
        <v>509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34</v>
      </c>
      <c r="L1021" s="14" t="s">
        <v>25</v>
      </c>
      <c r="M1021" s="14" t="s">
        <v>414</v>
      </c>
      <c r="P1021" s="14" t="s">
        <v>260</v>
      </c>
      <c r="Q1021" s="14" t="s">
        <v>25</v>
      </c>
      <c r="R1021" s="14" t="s">
        <v>35</v>
      </c>
    </row>
    <row r="1022" spans="1:18" s="14" customFormat="1" x14ac:dyDescent="0.25">
      <c r="A1022" s="14" t="str">
        <f>"16001"</f>
        <v>16001</v>
      </c>
      <c r="B1022" s="14" t="str">
        <f>"05000"</f>
        <v>05000</v>
      </c>
      <c r="C1022" s="14" t="str">
        <f>"1700"</f>
        <v>1700</v>
      </c>
      <c r="D1022" s="14" t="str">
        <f>"16001"</f>
        <v>16001</v>
      </c>
      <c r="E1022" s="14" t="s">
        <v>520</v>
      </c>
      <c r="F1022" s="14" t="s">
        <v>366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47</v>
      </c>
      <c r="L1022" s="14" t="s">
        <v>37</v>
      </c>
      <c r="P1022" s="14" t="s">
        <v>31</v>
      </c>
      <c r="Q1022" s="14" t="s">
        <v>25</v>
      </c>
      <c r="R1022" s="14" t="s">
        <v>367</v>
      </c>
    </row>
    <row r="1023" spans="1:18" s="14" customFormat="1" x14ac:dyDescent="0.25">
      <c r="A1023" s="14" t="str">
        <f>"16002"</f>
        <v>16002</v>
      </c>
      <c r="B1023" s="14" t="str">
        <f>"05110"</f>
        <v>05110</v>
      </c>
      <c r="C1023" s="14" t="str">
        <f>"1700"</f>
        <v>1700</v>
      </c>
      <c r="D1023" s="14" t="str">
        <f>"16002"</f>
        <v>16002</v>
      </c>
      <c r="E1023" s="14" t="s">
        <v>521</v>
      </c>
      <c r="F1023" s="14" t="s">
        <v>391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392</v>
      </c>
      <c r="L1023" s="14" t="s">
        <v>522</v>
      </c>
      <c r="P1023" s="14" t="s">
        <v>31</v>
      </c>
      <c r="Q1023" s="14" t="s">
        <v>25</v>
      </c>
      <c r="R1023" s="14" t="s">
        <v>392</v>
      </c>
    </row>
    <row r="1024" spans="1:18" s="14" customFormat="1" x14ac:dyDescent="0.25">
      <c r="A1024" s="14" t="str">
        <f>"16004"</f>
        <v>16004</v>
      </c>
      <c r="B1024" s="14" t="str">
        <f>"05030"</f>
        <v>05030</v>
      </c>
      <c r="C1024" s="14" t="str">
        <f>"1700"</f>
        <v>1700</v>
      </c>
      <c r="D1024" s="14" t="str">
        <f>"16004"</f>
        <v>16004</v>
      </c>
      <c r="E1024" s="14" t="s">
        <v>523</v>
      </c>
      <c r="F1024" s="14" t="s">
        <v>378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377</v>
      </c>
      <c r="L1024" s="14" t="s">
        <v>47</v>
      </c>
      <c r="M1024" s="14" t="s">
        <v>370</v>
      </c>
      <c r="P1024" s="14" t="s">
        <v>31</v>
      </c>
      <c r="Q1024" s="14" t="s">
        <v>25</v>
      </c>
      <c r="R1024" s="14" t="s">
        <v>379</v>
      </c>
    </row>
    <row r="1025" spans="1:18" s="14" customFormat="1" x14ac:dyDescent="0.25">
      <c r="A1025" s="14" t="str">
        <f>"16005"</f>
        <v>16005</v>
      </c>
      <c r="B1025" s="14" t="str">
        <f>"06000"</f>
        <v>06000</v>
      </c>
      <c r="C1025" s="14" t="str">
        <f>"1700"</f>
        <v>1700</v>
      </c>
      <c r="D1025" s="14" t="str">
        <f>"16005"</f>
        <v>16005</v>
      </c>
      <c r="E1025" s="14" t="s">
        <v>524</v>
      </c>
      <c r="F1025" s="14" t="s">
        <v>409</v>
      </c>
      <c r="G1025" s="14" t="str">
        <f>""</f>
        <v/>
      </c>
      <c r="H1025" s="14" t="str">
        <f>" 10"</f>
        <v xml:space="preserve"> 10</v>
      </c>
      <c r="I1025" s="14">
        <v>0.01</v>
      </c>
      <c r="J1025" s="14">
        <v>500</v>
      </c>
      <c r="K1025" s="14" t="s">
        <v>410</v>
      </c>
      <c r="L1025" s="14" t="s">
        <v>411</v>
      </c>
      <c r="M1025" s="14" t="s">
        <v>412</v>
      </c>
      <c r="N1025" s="14" t="s">
        <v>413</v>
      </c>
      <c r="P1025" s="14" t="s">
        <v>39</v>
      </c>
      <c r="Q1025" s="14" t="s">
        <v>25</v>
      </c>
      <c r="R1025" s="14" t="s">
        <v>410</v>
      </c>
    </row>
    <row r="1026" spans="1:18" s="14" customFormat="1" x14ac:dyDescent="0.25">
      <c r="A1026" s="14" t="str">
        <f>"16005"</f>
        <v>16005</v>
      </c>
      <c r="B1026" s="14" t="str">
        <f>"06000"</f>
        <v>06000</v>
      </c>
      <c r="C1026" s="14" t="str">
        <f>"1700"</f>
        <v>1700</v>
      </c>
      <c r="D1026" s="14" t="str">
        <f>"16005"</f>
        <v>16005</v>
      </c>
      <c r="E1026" s="14" t="s">
        <v>524</v>
      </c>
      <c r="F1026" s="14" t="s">
        <v>409</v>
      </c>
      <c r="G1026" s="14" t="str">
        <f>""</f>
        <v/>
      </c>
      <c r="H1026" s="14" t="str">
        <f>" 20"</f>
        <v xml:space="preserve"> 20</v>
      </c>
      <c r="I1026" s="14">
        <v>500.01</v>
      </c>
      <c r="J1026" s="14">
        <v>9999999.9900000002</v>
      </c>
      <c r="K1026" s="14" t="s">
        <v>414</v>
      </c>
      <c r="L1026" s="14" t="s">
        <v>411</v>
      </c>
      <c r="M1026" s="14" t="s">
        <v>412</v>
      </c>
      <c r="P1026" s="14" t="s">
        <v>39</v>
      </c>
      <c r="Q1026" s="14" t="s">
        <v>25</v>
      </c>
      <c r="R1026" s="14" t="s">
        <v>410</v>
      </c>
    </row>
    <row r="1027" spans="1:18" s="14" customFormat="1" x14ac:dyDescent="0.25">
      <c r="A1027" s="14" t="str">
        <f>"16006"</f>
        <v>16006</v>
      </c>
      <c r="B1027" s="14" t="str">
        <f>"05110"</f>
        <v>05110</v>
      </c>
      <c r="C1027" s="14" t="str">
        <f>"1700"</f>
        <v>1700</v>
      </c>
      <c r="D1027" s="14" t="str">
        <f>"16006"</f>
        <v>16006</v>
      </c>
      <c r="E1027" s="14" t="s">
        <v>525</v>
      </c>
      <c r="F1027" s="14" t="s">
        <v>391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392</v>
      </c>
      <c r="L1027" s="14" t="s">
        <v>526</v>
      </c>
      <c r="M1027" s="14" t="s">
        <v>522</v>
      </c>
      <c r="P1027" s="14" t="s">
        <v>31</v>
      </c>
      <c r="Q1027" s="14" t="s">
        <v>25</v>
      </c>
      <c r="R1027" s="14" t="s">
        <v>392</v>
      </c>
    </row>
    <row r="1028" spans="1:18" s="14" customFormat="1" x14ac:dyDescent="0.25">
      <c r="A1028" s="14" t="str">
        <f>"16007"</f>
        <v>16007</v>
      </c>
      <c r="B1028" s="14" t="str">
        <f>"05080"</f>
        <v>05080</v>
      </c>
      <c r="C1028" s="14" t="str">
        <f>"1700"</f>
        <v>1700</v>
      </c>
      <c r="D1028" s="14" t="str">
        <f>"16007"</f>
        <v>16007</v>
      </c>
      <c r="E1028" s="14" t="s">
        <v>385</v>
      </c>
      <c r="F1028" s="14" t="s">
        <v>385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386</v>
      </c>
      <c r="L1028" s="14" t="s">
        <v>47</v>
      </c>
      <c r="M1028" s="14" t="s">
        <v>387</v>
      </c>
      <c r="P1028" s="14" t="s">
        <v>31</v>
      </c>
      <c r="Q1028" s="14" t="s">
        <v>25</v>
      </c>
      <c r="R1028" s="14" t="s">
        <v>388</v>
      </c>
    </row>
    <row r="1029" spans="1:18" s="14" customFormat="1" x14ac:dyDescent="0.25">
      <c r="A1029" s="14" t="str">
        <f>"16008"</f>
        <v>16008</v>
      </c>
      <c r="B1029" s="14" t="str">
        <f>"05080"</f>
        <v>05080</v>
      </c>
      <c r="C1029" s="14" t="str">
        <f>"1700"</f>
        <v>1700</v>
      </c>
      <c r="D1029" s="14" t="str">
        <f>"16008"</f>
        <v>16008</v>
      </c>
      <c r="E1029" s="14" t="s">
        <v>527</v>
      </c>
      <c r="F1029" s="14" t="s">
        <v>385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386</v>
      </c>
      <c r="L1029" s="14" t="s">
        <v>47</v>
      </c>
      <c r="M1029" s="14" t="s">
        <v>387</v>
      </c>
      <c r="P1029" s="14" t="s">
        <v>31</v>
      </c>
      <c r="Q1029" s="14" t="s">
        <v>25</v>
      </c>
      <c r="R1029" s="14" t="s">
        <v>388</v>
      </c>
    </row>
    <row r="1030" spans="1:18" s="14" customFormat="1" x14ac:dyDescent="0.25">
      <c r="A1030" s="14" t="str">
        <f>"16009"</f>
        <v>16009</v>
      </c>
      <c r="B1030" s="14" t="str">
        <f>"05110"</f>
        <v>05110</v>
      </c>
      <c r="C1030" s="14" t="str">
        <f>"1700"</f>
        <v>1700</v>
      </c>
      <c r="D1030" s="14" t="str">
        <f>"16009"</f>
        <v>16009</v>
      </c>
      <c r="E1030" s="14" t="s">
        <v>528</v>
      </c>
      <c r="F1030" s="14" t="s">
        <v>391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392</v>
      </c>
      <c r="L1030" s="14" t="s">
        <v>526</v>
      </c>
      <c r="M1030" s="14" t="s">
        <v>522</v>
      </c>
      <c r="P1030" s="14" t="s">
        <v>31</v>
      </c>
      <c r="Q1030" s="14" t="s">
        <v>25</v>
      </c>
      <c r="R1030" s="14" t="s">
        <v>392</v>
      </c>
    </row>
    <row r="1031" spans="1:18" s="14" customFormat="1" x14ac:dyDescent="0.25">
      <c r="A1031" s="14" t="str">
        <f>"16010"</f>
        <v>16010</v>
      </c>
      <c r="B1031" s="14" t="str">
        <f>"05115"</f>
        <v>05115</v>
      </c>
      <c r="C1031" s="14" t="str">
        <f>"1700"</f>
        <v>1700</v>
      </c>
      <c r="D1031" s="14" t="str">
        <f>"16010"</f>
        <v>16010</v>
      </c>
      <c r="E1031" s="14" t="s">
        <v>529</v>
      </c>
      <c r="F1031" s="14" t="s">
        <v>393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394</v>
      </c>
      <c r="L1031" s="14" t="s">
        <v>395</v>
      </c>
      <c r="M1031" s="14" t="s">
        <v>396</v>
      </c>
      <c r="N1031" s="14" t="s">
        <v>90</v>
      </c>
      <c r="P1031" s="14" t="s">
        <v>31</v>
      </c>
      <c r="Q1031" s="14" t="s">
        <v>25</v>
      </c>
      <c r="R1031" s="14" t="s">
        <v>394</v>
      </c>
    </row>
    <row r="1032" spans="1:18" s="14" customFormat="1" x14ac:dyDescent="0.25">
      <c r="A1032" s="14" t="str">
        <f>"16011"</f>
        <v>16011</v>
      </c>
      <c r="B1032" s="14" t="str">
        <f>"05110"</f>
        <v>05110</v>
      </c>
      <c r="C1032" s="14" t="str">
        <f>"1700"</f>
        <v>1700</v>
      </c>
      <c r="D1032" s="14" t="str">
        <f>"16011"</f>
        <v>16011</v>
      </c>
      <c r="E1032" s="14" t="s">
        <v>530</v>
      </c>
      <c r="F1032" s="14" t="s">
        <v>391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392</v>
      </c>
      <c r="L1032" s="14" t="s">
        <v>522</v>
      </c>
      <c r="P1032" s="14" t="s">
        <v>31</v>
      </c>
      <c r="Q1032" s="14" t="s">
        <v>25</v>
      </c>
      <c r="R1032" s="14" t="s">
        <v>392</v>
      </c>
    </row>
    <row r="1033" spans="1:18" s="14" customFormat="1" x14ac:dyDescent="0.25">
      <c r="A1033" s="14" t="str">
        <f>"16012"</f>
        <v>16012</v>
      </c>
      <c r="B1033" s="14" t="str">
        <f>"05030"</f>
        <v>05030</v>
      </c>
      <c r="C1033" s="14" t="str">
        <f>"1700"</f>
        <v>1700</v>
      </c>
      <c r="D1033" s="14" t="str">
        <f>"16012"</f>
        <v>16012</v>
      </c>
      <c r="E1033" s="14" t="s">
        <v>531</v>
      </c>
      <c r="F1033" s="14" t="s">
        <v>378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377</v>
      </c>
      <c r="L1033" s="14" t="s">
        <v>47</v>
      </c>
      <c r="M1033" s="14" t="s">
        <v>370</v>
      </c>
      <c r="P1033" s="14" t="s">
        <v>31</v>
      </c>
      <c r="Q1033" s="14" t="s">
        <v>25</v>
      </c>
      <c r="R1033" s="14" t="s">
        <v>532</v>
      </c>
    </row>
    <row r="1034" spans="1:18" s="14" customFormat="1" x14ac:dyDescent="0.25">
      <c r="A1034" s="14" t="str">
        <f>"16014"</f>
        <v>16014</v>
      </c>
      <c r="B1034" s="14" t="str">
        <f>"05100"</f>
        <v>05100</v>
      </c>
      <c r="C1034" s="14" t="str">
        <f>"1700"</f>
        <v>1700</v>
      </c>
      <c r="D1034" s="14" t="str">
        <f>"16014"</f>
        <v>16014</v>
      </c>
      <c r="E1034" s="14" t="s">
        <v>533</v>
      </c>
      <c r="F1034" s="14" t="s">
        <v>534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47</v>
      </c>
      <c r="L1034" s="14" t="s">
        <v>377</v>
      </c>
      <c r="P1034" s="14" t="s">
        <v>31</v>
      </c>
      <c r="Q1034" s="14" t="s">
        <v>25</v>
      </c>
      <c r="R1034" s="14" t="s">
        <v>377</v>
      </c>
    </row>
    <row r="1035" spans="1:18" s="14" customFormat="1" x14ac:dyDescent="0.25">
      <c r="A1035" s="14" t="str">
        <f>"16015"</f>
        <v>16015</v>
      </c>
      <c r="B1035" s="14" t="str">
        <f>"05100"</f>
        <v>05100</v>
      </c>
      <c r="C1035" s="14" t="str">
        <f>"1700"</f>
        <v>1700</v>
      </c>
      <c r="D1035" s="14" t="str">
        <f>"16015"</f>
        <v>16015</v>
      </c>
      <c r="E1035" s="14" t="s">
        <v>535</v>
      </c>
      <c r="F1035" s="14" t="s">
        <v>534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47</v>
      </c>
      <c r="L1035" s="14" t="s">
        <v>377</v>
      </c>
      <c r="M1035" s="14" t="s">
        <v>536</v>
      </c>
      <c r="P1035" s="14" t="s">
        <v>31</v>
      </c>
      <c r="Q1035" s="14" t="s">
        <v>25</v>
      </c>
      <c r="R1035" s="14" t="s">
        <v>367</v>
      </c>
    </row>
    <row r="1036" spans="1:18" s="14" customFormat="1" x14ac:dyDescent="0.25">
      <c r="A1036" s="14" t="str">
        <f>"16017"</f>
        <v>16017</v>
      </c>
      <c r="B1036" s="14" t="str">
        <f>"05115"</f>
        <v>05115</v>
      </c>
      <c r="C1036" s="14" t="str">
        <f>"1700"</f>
        <v>1700</v>
      </c>
      <c r="D1036" s="14" t="str">
        <f>"16017"</f>
        <v>16017</v>
      </c>
      <c r="E1036" s="14" t="s">
        <v>537</v>
      </c>
      <c r="F1036" s="14" t="s">
        <v>393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394</v>
      </c>
      <c r="L1036" s="14" t="s">
        <v>395</v>
      </c>
      <c r="M1036" s="14" t="s">
        <v>396</v>
      </c>
      <c r="N1036" s="14" t="s">
        <v>90</v>
      </c>
      <c r="P1036" s="14" t="s">
        <v>31</v>
      </c>
      <c r="Q1036" s="14" t="s">
        <v>25</v>
      </c>
      <c r="R1036" s="14" t="s">
        <v>394</v>
      </c>
    </row>
    <row r="1037" spans="1:18" s="14" customFormat="1" x14ac:dyDescent="0.25">
      <c r="A1037" s="14" t="str">
        <f>"16018"</f>
        <v>16018</v>
      </c>
      <c r="B1037" s="14" t="str">
        <f>"05150"</f>
        <v>05150</v>
      </c>
      <c r="C1037" s="14" t="str">
        <f>"1700"</f>
        <v>1700</v>
      </c>
      <c r="D1037" s="14" t="str">
        <f>"16018"</f>
        <v>16018</v>
      </c>
      <c r="E1037" s="14" t="s">
        <v>538</v>
      </c>
      <c r="F1037" s="14" t="s">
        <v>402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405</v>
      </c>
      <c r="L1037" s="14" t="s">
        <v>404</v>
      </c>
      <c r="P1037" s="14" t="s">
        <v>39</v>
      </c>
      <c r="Q1037" s="14" t="s">
        <v>25</v>
      </c>
      <c r="R1037" s="14" t="s">
        <v>403</v>
      </c>
    </row>
    <row r="1038" spans="1:18" s="14" customFormat="1" x14ac:dyDescent="0.25">
      <c r="A1038" s="14" t="str">
        <f>"16019"</f>
        <v>16019</v>
      </c>
      <c r="B1038" s="14" t="str">
        <f>"05150"</f>
        <v>05150</v>
      </c>
      <c r="C1038" s="14" t="str">
        <f>"1700"</f>
        <v>1700</v>
      </c>
      <c r="D1038" s="14" t="str">
        <f>"16019"</f>
        <v>16019</v>
      </c>
      <c r="E1038" s="14" t="s">
        <v>539</v>
      </c>
      <c r="F1038" s="14" t="s">
        <v>402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405</v>
      </c>
      <c r="L1038" s="14" t="s">
        <v>404</v>
      </c>
      <c r="P1038" s="14" t="s">
        <v>39</v>
      </c>
      <c r="Q1038" s="14" t="s">
        <v>25</v>
      </c>
      <c r="R1038" s="14" t="s">
        <v>403</v>
      </c>
    </row>
    <row r="1039" spans="1:18" s="14" customFormat="1" x14ac:dyDescent="0.25">
      <c r="A1039" s="14" t="str">
        <f>"16020"</f>
        <v>16020</v>
      </c>
      <c r="B1039" s="14" t="str">
        <f>"05150"</f>
        <v>05150</v>
      </c>
      <c r="C1039" s="14" t="str">
        <f>"1700"</f>
        <v>1700</v>
      </c>
      <c r="D1039" s="14" t="str">
        <f>"16020"</f>
        <v>16020</v>
      </c>
      <c r="E1039" s="14" t="s">
        <v>540</v>
      </c>
      <c r="F1039" s="14" t="s">
        <v>402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404</v>
      </c>
      <c r="L1039" s="14" t="s">
        <v>405</v>
      </c>
      <c r="P1039" s="14" t="s">
        <v>39</v>
      </c>
      <c r="Q1039" s="14" t="s">
        <v>25</v>
      </c>
      <c r="R1039" s="14" t="s">
        <v>403</v>
      </c>
    </row>
    <row r="1040" spans="1:18" s="14" customFormat="1" x14ac:dyDescent="0.25">
      <c r="A1040" s="14" t="str">
        <f>"16021"</f>
        <v>16021</v>
      </c>
      <c r="B1040" s="14" t="str">
        <f>"05140"</f>
        <v>05140</v>
      </c>
      <c r="C1040" s="14" t="str">
        <f>"1700"</f>
        <v>1700</v>
      </c>
      <c r="D1040" s="14" t="str">
        <f>"05140A"</f>
        <v>05140A</v>
      </c>
      <c r="E1040" s="14" t="s">
        <v>541</v>
      </c>
      <c r="F1040" s="14" t="s">
        <v>400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37</v>
      </c>
      <c r="L1040" s="14" t="s">
        <v>34</v>
      </c>
      <c r="P1040" s="14" t="s">
        <v>39</v>
      </c>
      <c r="Q1040" s="14" t="s">
        <v>25</v>
      </c>
      <c r="R1040" s="14" t="s">
        <v>401</v>
      </c>
    </row>
    <row r="1041" spans="1:18" s="14" customFormat="1" x14ac:dyDescent="0.25">
      <c r="A1041" s="14" t="str">
        <f>"16021"</f>
        <v>16021</v>
      </c>
      <c r="B1041" s="14" t="str">
        <f>"05141"</f>
        <v>05141</v>
      </c>
      <c r="C1041" s="14" t="str">
        <f>"1700"</f>
        <v>1700</v>
      </c>
      <c r="D1041" s="14" t="str">
        <f>"05141"</f>
        <v>05141</v>
      </c>
      <c r="E1041" s="14" t="s">
        <v>541</v>
      </c>
      <c r="F1041" s="14" t="s">
        <v>542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37</v>
      </c>
      <c r="L1041" s="14" t="s">
        <v>34</v>
      </c>
      <c r="P1041" s="14" t="s">
        <v>39</v>
      </c>
      <c r="Q1041" s="14" t="s">
        <v>25</v>
      </c>
      <c r="R1041" s="14" t="s">
        <v>401</v>
      </c>
    </row>
    <row r="1042" spans="1:18" s="14" customFormat="1" x14ac:dyDescent="0.25">
      <c r="A1042" s="14" t="str">
        <f>"16021"</f>
        <v>16021</v>
      </c>
      <c r="B1042" s="14" t="str">
        <f>"05143"</f>
        <v>05143</v>
      </c>
      <c r="C1042" s="14" t="str">
        <f>"1700"</f>
        <v>1700</v>
      </c>
      <c r="D1042" s="14" t="str">
        <f>"05143"</f>
        <v>05143</v>
      </c>
      <c r="E1042" s="14" t="s">
        <v>541</v>
      </c>
      <c r="F1042" s="14" t="s">
        <v>543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37</v>
      </c>
      <c r="L1042" s="14" t="s">
        <v>34</v>
      </c>
      <c r="P1042" s="14" t="s">
        <v>39</v>
      </c>
      <c r="Q1042" s="14" t="s">
        <v>25</v>
      </c>
      <c r="R1042" s="14" t="s">
        <v>401</v>
      </c>
    </row>
    <row r="1043" spans="1:18" s="14" customFormat="1" x14ac:dyDescent="0.25">
      <c r="A1043" s="14" t="str">
        <f>"16021"</f>
        <v>16021</v>
      </c>
      <c r="B1043" s="14" t="str">
        <f>"05144"</f>
        <v>05144</v>
      </c>
      <c r="C1043" s="14" t="str">
        <f>"1700"</f>
        <v>1700</v>
      </c>
      <c r="D1043" s="14" t="str">
        <f>"05144"</f>
        <v>05144</v>
      </c>
      <c r="E1043" s="14" t="s">
        <v>541</v>
      </c>
      <c r="F1043" s="14" t="s">
        <v>544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37</v>
      </c>
      <c r="L1043" s="14" t="s">
        <v>34</v>
      </c>
      <c r="P1043" s="14" t="s">
        <v>39</v>
      </c>
      <c r="Q1043" s="14" t="s">
        <v>25</v>
      </c>
      <c r="R1043" s="14" t="s">
        <v>401</v>
      </c>
    </row>
    <row r="1044" spans="1:18" s="14" customFormat="1" x14ac:dyDescent="0.25">
      <c r="A1044" s="14" t="str">
        <f>"16023"</f>
        <v>16023</v>
      </c>
      <c r="B1044" s="14" t="str">
        <f>"05150"</f>
        <v>05150</v>
      </c>
      <c r="C1044" s="14" t="str">
        <f>"1800"</f>
        <v>1800</v>
      </c>
      <c r="D1044" s="14" t="str">
        <f>"16023"</f>
        <v>16023</v>
      </c>
      <c r="E1044" s="14" t="s">
        <v>545</v>
      </c>
      <c r="F1044" s="14" t="s">
        <v>402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404</v>
      </c>
      <c r="L1044" s="14" t="s">
        <v>405</v>
      </c>
      <c r="P1044" s="14" t="s">
        <v>39</v>
      </c>
      <c r="Q1044" s="14" t="s">
        <v>25</v>
      </c>
      <c r="R1044" s="14" t="s">
        <v>403</v>
      </c>
    </row>
    <row r="1045" spans="1:18" s="14" customFormat="1" x14ac:dyDescent="0.25">
      <c r="A1045" s="14" t="str">
        <f>"16024"</f>
        <v>16024</v>
      </c>
      <c r="B1045" s="14" t="str">
        <f>"05150"</f>
        <v>05150</v>
      </c>
      <c r="C1045" s="14" t="str">
        <f>"1100"</f>
        <v>1100</v>
      </c>
      <c r="D1045" s="14" t="str">
        <f>"16024"</f>
        <v>16024</v>
      </c>
      <c r="E1045" s="14" t="s">
        <v>546</v>
      </c>
      <c r="F1045" s="14" t="s">
        <v>402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405</v>
      </c>
      <c r="L1045" s="14" t="s">
        <v>404</v>
      </c>
      <c r="P1045" s="14" t="s">
        <v>39</v>
      </c>
      <c r="Q1045" s="14" t="s">
        <v>25</v>
      </c>
      <c r="R1045" s="14" t="s">
        <v>403</v>
      </c>
    </row>
    <row r="1046" spans="1:18" s="14" customFormat="1" x14ac:dyDescent="0.25">
      <c r="A1046" s="14" t="str">
        <f>"16025"</f>
        <v>16025</v>
      </c>
      <c r="B1046" s="14" t="str">
        <f>"05150"</f>
        <v>05150</v>
      </c>
      <c r="C1046" s="14" t="str">
        <f>"1100"</f>
        <v>1100</v>
      </c>
      <c r="D1046" s="14" t="str">
        <f>"16025"</f>
        <v>16025</v>
      </c>
      <c r="E1046" s="14" t="s">
        <v>547</v>
      </c>
      <c r="F1046" s="14" t="s">
        <v>402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405</v>
      </c>
      <c r="L1046" s="14" t="s">
        <v>404</v>
      </c>
      <c r="P1046" s="14" t="s">
        <v>39</v>
      </c>
      <c r="Q1046" s="14" t="s">
        <v>25</v>
      </c>
      <c r="R1046" s="14" t="s">
        <v>403</v>
      </c>
    </row>
    <row r="1047" spans="1:18" s="14" customFormat="1" x14ac:dyDescent="0.25">
      <c r="A1047" s="14" t="str">
        <f>"16026"</f>
        <v>16026</v>
      </c>
      <c r="B1047" s="14" t="str">
        <f>"05150"</f>
        <v>05150</v>
      </c>
      <c r="C1047" s="14" t="str">
        <f>"1100"</f>
        <v>1100</v>
      </c>
      <c r="D1047" s="14" t="str">
        <f>"16026"</f>
        <v>16026</v>
      </c>
      <c r="E1047" s="14" t="s">
        <v>548</v>
      </c>
      <c r="F1047" s="14" t="s">
        <v>402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405</v>
      </c>
      <c r="L1047" s="14" t="s">
        <v>404</v>
      </c>
      <c r="P1047" s="14" t="s">
        <v>39</v>
      </c>
      <c r="Q1047" s="14" t="s">
        <v>25</v>
      </c>
      <c r="R1047" s="14" t="s">
        <v>403</v>
      </c>
    </row>
    <row r="1048" spans="1:18" s="14" customFormat="1" x14ac:dyDescent="0.25">
      <c r="A1048" s="14" t="str">
        <f>"16028"</f>
        <v>16028</v>
      </c>
      <c r="B1048" s="14" t="str">
        <f>"05150"</f>
        <v>05150</v>
      </c>
      <c r="C1048" s="14" t="str">
        <f>"1100"</f>
        <v>1100</v>
      </c>
      <c r="D1048" s="14" t="str">
        <f>"16028"</f>
        <v>16028</v>
      </c>
      <c r="E1048" s="14" t="s">
        <v>549</v>
      </c>
      <c r="F1048" s="14" t="s">
        <v>402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405</v>
      </c>
      <c r="L1048" s="14" t="s">
        <v>404</v>
      </c>
      <c r="P1048" s="14" t="s">
        <v>39</v>
      </c>
      <c r="Q1048" s="14" t="s">
        <v>25</v>
      </c>
      <c r="R1048" s="14" t="s">
        <v>403</v>
      </c>
    </row>
    <row r="1049" spans="1:18" s="14" customFormat="1" x14ac:dyDescent="0.25">
      <c r="A1049" s="14" t="str">
        <f>"16029"</f>
        <v>16029</v>
      </c>
      <c r="B1049" s="14" t="str">
        <f>"05150"</f>
        <v>05150</v>
      </c>
      <c r="C1049" s="14" t="str">
        <f>"1800"</f>
        <v>1800</v>
      </c>
      <c r="D1049" s="14" t="str">
        <f>"16029"</f>
        <v>16029</v>
      </c>
      <c r="E1049" s="14" t="s">
        <v>550</v>
      </c>
      <c r="F1049" s="14" t="s">
        <v>402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405</v>
      </c>
      <c r="L1049" s="14" t="s">
        <v>404</v>
      </c>
      <c r="P1049" s="14" t="s">
        <v>39</v>
      </c>
      <c r="Q1049" s="14" t="s">
        <v>25</v>
      </c>
      <c r="R1049" s="14" t="s">
        <v>403</v>
      </c>
    </row>
    <row r="1050" spans="1:18" s="14" customFormat="1" x14ac:dyDescent="0.25">
      <c r="A1050" s="14" t="str">
        <f>"16030"</f>
        <v>16030</v>
      </c>
      <c r="B1050" s="14" t="str">
        <f>"05150"</f>
        <v>05150</v>
      </c>
      <c r="C1050" s="14" t="str">
        <f>"1800"</f>
        <v>1800</v>
      </c>
      <c r="D1050" s="14" t="str">
        <f>"16030"</f>
        <v>16030</v>
      </c>
      <c r="E1050" s="14" t="s">
        <v>551</v>
      </c>
      <c r="F1050" s="14" t="s">
        <v>402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405</v>
      </c>
      <c r="L1050" s="14" t="s">
        <v>404</v>
      </c>
      <c r="P1050" s="14" t="s">
        <v>39</v>
      </c>
      <c r="Q1050" s="14" t="s">
        <v>25</v>
      </c>
      <c r="R1050" s="14" t="s">
        <v>403</v>
      </c>
    </row>
    <row r="1051" spans="1:18" s="14" customFormat="1" x14ac:dyDescent="0.25">
      <c r="A1051" s="14" t="str">
        <f>"16033"</f>
        <v>16033</v>
      </c>
      <c r="B1051" s="14" t="str">
        <f>"05150"</f>
        <v>05150</v>
      </c>
      <c r="C1051" s="14" t="str">
        <f>"1800"</f>
        <v>1800</v>
      </c>
      <c r="D1051" s="14" t="str">
        <f>"16033"</f>
        <v>16033</v>
      </c>
      <c r="E1051" s="14" t="s">
        <v>552</v>
      </c>
      <c r="F1051" s="14" t="s">
        <v>402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405</v>
      </c>
      <c r="L1051" s="14" t="s">
        <v>404</v>
      </c>
      <c r="P1051" s="14" t="s">
        <v>39</v>
      </c>
      <c r="Q1051" s="14" t="s">
        <v>25</v>
      </c>
      <c r="R1051" s="14" t="s">
        <v>403</v>
      </c>
    </row>
    <row r="1052" spans="1:18" s="14" customFormat="1" x14ac:dyDescent="0.25">
      <c r="A1052" s="14" t="str">
        <f>"16034"</f>
        <v>16034</v>
      </c>
      <c r="B1052" s="14" t="str">
        <f>"05150"</f>
        <v>05150</v>
      </c>
      <c r="C1052" s="14" t="str">
        <f>"1800"</f>
        <v>1800</v>
      </c>
      <c r="D1052" s="14" t="str">
        <f>"16034"</f>
        <v>16034</v>
      </c>
      <c r="E1052" s="14" t="s">
        <v>553</v>
      </c>
      <c r="F1052" s="14" t="s">
        <v>402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405</v>
      </c>
      <c r="L1052" s="14" t="s">
        <v>404</v>
      </c>
      <c r="P1052" s="14" t="s">
        <v>39</v>
      </c>
      <c r="Q1052" s="14" t="s">
        <v>25</v>
      </c>
      <c r="R1052" s="14" t="s">
        <v>403</v>
      </c>
    </row>
    <row r="1053" spans="1:18" s="14" customFormat="1" x14ac:dyDescent="0.25">
      <c r="A1053" s="14" t="str">
        <f>"16035"</f>
        <v>16035</v>
      </c>
      <c r="B1053" s="14" t="str">
        <f>"05150"</f>
        <v>05150</v>
      </c>
      <c r="C1053" s="14" t="str">
        <f>"1100"</f>
        <v>1100</v>
      </c>
      <c r="D1053" s="14" t="str">
        <f>"16035"</f>
        <v>16035</v>
      </c>
      <c r="E1053" s="14" t="s">
        <v>554</v>
      </c>
      <c r="F1053" s="14" t="s">
        <v>402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405</v>
      </c>
      <c r="L1053" s="14" t="s">
        <v>404</v>
      </c>
      <c r="P1053" s="14" t="s">
        <v>39</v>
      </c>
      <c r="Q1053" s="14" t="s">
        <v>25</v>
      </c>
      <c r="R1053" s="14" t="s">
        <v>403</v>
      </c>
    </row>
    <row r="1054" spans="1:18" s="14" customFormat="1" x14ac:dyDescent="0.25">
      <c r="A1054" s="14" t="str">
        <f>"16036"</f>
        <v>16036</v>
      </c>
      <c r="B1054" s="14" t="str">
        <f>"05150"</f>
        <v>05150</v>
      </c>
      <c r="C1054" s="14" t="str">
        <f>"1800"</f>
        <v>1800</v>
      </c>
      <c r="D1054" s="14" t="str">
        <f>"16036"</f>
        <v>16036</v>
      </c>
      <c r="E1054" s="14" t="s">
        <v>555</v>
      </c>
      <c r="F1054" s="14" t="s">
        <v>402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405</v>
      </c>
      <c r="L1054" s="14" t="s">
        <v>404</v>
      </c>
      <c r="P1054" s="14" t="s">
        <v>39</v>
      </c>
      <c r="Q1054" s="14" t="s">
        <v>25</v>
      </c>
      <c r="R1054" s="14" t="s">
        <v>403</v>
      </c>
    </row>
    <row r="1055" spans="1:18" s="14" customFormat="1" x14ac:dyDescent="0.25">
      <c r="A1055" s="14" t="str">
        <f>"16037"</f>
        <v>16037</v>
      </c>
      <c r="B1055" s="14" t="str">
        <f>"05150"</f>
        <v>05150</v>
      </c>
      <c r="C1055" s="14" t="str">
        <f>"1100"</f>
        <v>1100</v>
      </c>
      <c r="D1055" s="14" t="str">
        <f>"16037"</f>
        <v>16037</v>
      </c>
      <c r="E1055" s="14" t="s">
        <v>556</v>
      </c>
      <c r="F1055" s="14" t="s">
        <v>402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405</v>
      </c>
      <c r="L1055" s="14" t="s">
        <v>404</v>
      </c>
      <c r="P1055" s="14" t="s">
        <v>39</v>
      </c>
      <c r="Q1055" s="14" t="s">
        <v>25</v>
      </c>
      <c r="R1055" s="14" t="s">
        <v>403</v>
      </c>
    </row>
    <row r="1056" spans="1:18" s="14" customFormat="1" x14ac:dyDescent="0.25">
      <c r="A1056" s="14" t="str">
        <f>"16041"</f>
        <v>16041</v>
      </c>
      <c r="B1056" s="14" t="str">
        <f>"05150"</f>
        <v>05150</v>
      </c>
      <c r="C1056" s="14" t="str">
        <f>"1100"</f>
        <v>1100</v>
      </c>
      <c r="D1056" s="14" t="str">
        <f>"16041"</f>
        <v>16041</v>
      </c>
      <c r="E1056" s="14" t="s">
        <v>557</v>
      </c>
      <c r="F1056" s="14" t="s">
        <v>402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405</v>
      </c>
      <c r="L1056" s="14" t="s">
        <v>404</v>
      </c>
      <c r="P1056" s="14" t="s">
        <v>39</v>
      </c>
      <c r="Q1056" s="14" t="s">
        <v>25</v>
      </c>
      <c r="R1056" s="14" t="s">
        <v>403</v>
      </c>
    </row>
    <row r="1057" spans="1:18" s="14" customFormat="1" x14ac:dyDescent="0.25">
      <c r="A1057" s="14" t="str">
        <f>"16042"</f>
        <v>16042</v>
      </c>
      <c r="B1057" s="14" t="str">
        <f>"06000"</f>
        <v>06000</v>
      </c>
      <c r="C1057" s="14" t="str">
        <f>"1700"</f>
        <v>1700</v>
      </c>
      <c r="D1057" s="14" t="str">
        <f>"16042"</f>
        <v>16042</v>
      </c>
      <c r="E1057" s="14" t="s">
        <v>558</v>
      </c>
      <c r="F1057" s="14" t="s">
        <v>409</v>
      </c>
      <c r="G1057" s="14" t="str">
        <f>""</f>
        <v/>
      </c>
      <c r="H1057" s="14" t="str">
        <f>" 10"</f>
        <v xml:space="preserve"> 10</v>
      </c>
      <c r="I1057" s="14">
        <v>0.01</v>
      </c>
      <c r="J1057" s="14">
        <v>500</v>
      </c>
      <c r="K1057" s="14" t="s">
        <v>410</v>
      </c>
      <c r="L1057" s="14" t="s">
        <v>411</v>
      </c>
      <c r="M1057" s="14" t="s">
        <v>412</v>
      </c>
      <c r="N1057" s="14" t="s">
        <v>413</v>
      </c>
      <c r="P1057" s="14" t="s">
        <v>39</v>
      </c>
      <c r="Q1057" s="14" t="s">
        <v>25</v>
      </c>
      <c r="R1057" s="14" t="s">
        <v>410</v>
      </c>
    </row>
    <row r="1058" spans="1:18" s="14" customFormat="1" x14ac:dyDescent="0.25">
      <c r="A1058" s="14" t="str">
        <f>"16042"</f>
        <v>16042</v>
      </c>
      <c r="B1058" s="14" t="str">
        <f>"06000"</f>
        <v>06000</v>
      </c>
      <c r="C1058" s="14" t="str">
        <f>"1700"</f>
        <v>1700</v>
      </c>
      <c r="D1058" s="14" t="str">
        <f>"16042"</f>
        <v>16042</v>
      </c>
      <c r="E1058" s="14" t="s">
        <v>558</v>
      </c>
      <c r="F1058" s="14" t="s">
        <v>409</v>
      </c>
      <c r="G1058" s="14" t="str">
        <f>""</f>
        <v/>
      </c>
      <c r="H1058" s="14" t="str">
        <f>" 20"</f>
        <v xml:space="preserve"> 20</v>
      </c>
      <c r="I1058" s="14">
        <v>500.01</v>
      </c>
      <c r="J1058" s="14">
        <v>9999999.9900000002</v>
      </c>
      <c r="K1058" s="14" t="s">
        <v>414</v>
      </c>
      <c r="L1058" s="14" t="s">
        <v>411</v>
      </c>
      <c r="M1058" s="14" t="s">
        <v>412</v>
      </c>
      <c r="P1058" s="14" t="s">
        <v>39</v>
      </c>
      <c r="Q1058" s="14" t="s">
        <v>25</v>
      </c>
      <c r="R1058" s="14" t="s">
        <v>410</v>
      </c>
    </row>
    <row r="1059" spans="1:18" s="14" customFormat="1" x14ac:dyDescent="0.25">
      <c r="A1059" s="14" t="str">
        <f>"16043"</f>
        <v>16043</v>
      </c>
      <c r="B1059" s="14" t="str">
        <f>"06000"</f>
        <v>06000</v>
      </c>
      <c r="C1059" s="14" t="str">
        <f>"1700"</f>
        <v>1700</v>
      </c>
      <c r="D1059" s="14" t="str">
        <f>"16043"</f>
        <v>16043</v>
      </c>
      <c r="E1059" s="14" t="s">
        <v>559</v>
      </c>
      <c r="F1059" s="14" t="s">
        <v>409</v>
      </c>
      <c r="G1059" s="14" t="str">
        <f>""</f>
        <v/>
      </c>
      <c r="H1059" s="14" t="str">
        <f>" 10"</f>
        <v xml:space="preserve"> 10</v>
      </c>
      <c r="I1059" s="14">
        <v>0.01</v>
      </c>
      <c r="J1059" s="14">
        <v>500</v>
      </c>
      <c r="K1059" s="14" t="s">
        <v>410</v>
      </c>
      <c r="L1059" s="14" t="s">
        <v>411</v>
      </c>
      <c r="M1059" s="14" t="s">
        <v>412</v>
      </c>
      <c r="N1059" s="14" t="s">
        <v>413</v>
      </c>
      <c r="P1059" s="14" t="s">
        <v>39</v>
      </c>
      <c r="Q1059" s="14" t="s">
        <v>25</v>
      </c>
      <c r="R1059" s="14" t="s">
        <v>410</v>
      </c>
    </row>
    <row r="1060" spans="1:18" s="14" customFormat="1" x14ac:dyDescent="0.25">
      <c r="A1060" s="14" t="str">
        <f>"16043"</f>
        <v>16043</v>
      </c>
      <c r="B1060" s="14" t="str">
        <f>"06000"</f>
        <v>06000</v>
      </c>
      <c r="C1060" s="14" t="str">
        <f>"1700"</f>
        <v>1700</v>
      </c>
      <c r="D1060" s="14" t="str">
        <f>"16043"</f>
        <v>16043</v>
      </c>
      <c r="E1060" s="14" t="s">
        <v>559</v>
      </c>
      <c r="F1060" s="14" t="s">
        <v>409</v>
      </c>
      <c r="G1060" s="14" t="str">
        <f>""</f>
        <v/>
      </c>
      <c r="H1060" s="14" t="str">
        <f>" 20"</f>
        <v xml:space="preserve"> 20</v>
      </c>
      <c r="I1060" s="14">
        <v>500.01</v>
      </c>
      <c r="J1060" s="14">
        <v>9999999.9900000002</v>
      </c>
      <c r="K1060" s="14" t="s">
        <v>414</v>
      </c>
      <c r="L1060" s="14" t="s">
        <v>411</v>
      </c>
      <c r="M1060" s="14" t="s">
        <v>412</v>
      </c>
      <c r="P1060" s="14" t="s">
        <v>39</v>
      </c>
      <c r="Q1060" s="14" t="s">
        <v>25</v>
      </c>
      <c r="R1060" s="14" t="s">
        <v>410</v>
      </c>
    </row>
    <row r="1061" spans="1:18" s="14" customFormat="1" x14ac:dyDescent="0.25">
      <c r="A1061" s="14" t="str">
        <f>"16044"</f>
        <v>16044</v>
      </c>
      <c r="B1061" s="14" t="str">
        <f>"06000"</f>
        <v>06000</v>
      </c>
      <c r="C1061" s="14" t="str">
        <f>"1700"</f>
        <v>1700</v>
      </c>
      <c r="D1061" s="14" t="str">
        <f>"16044"</f>
        <v>16044</v>
      </c>
      <c r="E1061" s="14" t="s">
        <v>560</v>
      </c>
      <c r="F1061" s="14" t="s">
        <v>409</v>
      </c>
      <c r="G1061" s="14" t="str">
        <f>""</f>
        <v/>
      </c>
      <c r="H1061" s="14" t="str">
        <f>" 10"</f>
        <v xml:space="preserve"> 10</v>
      </c>
      <c r="I1061" s="14">
        <v>0.01</v>
      </c>
      <c r="J1061" s="14">
        <v>500</v>
      </c>
      <c r="K1061" s="14" t="s">
        <v>410</v>
      </c>
      <c r="L1061" s="14" t="s">
        <v>411</v>
      </c>
      <c r="M1061" s="14" t="s">
        <v>412</v>
      </c>
      <c r="N1061" s="14" t="s">
        <v>413</v>
      </c>
      <c r="P1061" s="14" t="s">
        <v>39</v>
      </c>
      <c r="Q1061" s="14" t="s">
        <v>25</v>
      </c>
      <c r="R1061" s="14" t="s">
        <v>410</v>
      </c>
    </row>
    <row r="1062" spans="1:18" s="14" customFormat="1" x14ac:dyDescent="0.25">
      <c r="A1062" s="14" t="str">
        <f>"16044"</f>
        <v>16044</v>
      </c>
      <c r="B1062" s="14" t="str">
        <f>"06000"</f>
        <v>06000</v>
      </c>
      <c r="C1062" s="14" t="str">
        <f>"1700"</f>
        <v>1700</v>
      </c>
      <c r="D1062" s="14" t="str">
        <f>"16044"</f>
        <v>16044</v>
      </c>
      <c r="E1062" s="14" t="s">
        <v>560</v>
      </c>
      <c r="F1062" s="14" t="s">
        <v>409</v>
      </c>
      <c r="G1062" s="14" t="str">
        <f>""</f>
        <v/>
      </c>
      <c r="H1062" s="14" t="str">
        <f>" 20"</f>
        <v xml:space="preserve"> 20</v>
      </c>
      <c r="I1062" s="14">
        <v>500.01</v>
      </c>
      <c r="J1062" s="14">
        <v>9999999.9900000002</v>
      </c>
      <c r="K1062" s="14" t="s">
        <v>414</v>
      </c>
      <c r="L1062" s="14" t="s">
        <v>411</v>
      </c>
      <c r="M1062" s="14" t="s">
        <v>412</v>
      </c>
      <c r="P1062" s="14" t="s">
        <v>39</v>
      </c>
      <c r="Q1062" s="14" t="s">
        <v>25</v>
      </c>
      <c r="R1062" s="14" t="s">
        <v>410</v>
      </c>
    </row>
    <row r="1063" spans="1:18" s="14" customFormat="1" x14ac:dyDescent="0.25">
      <c r="A1063" s="14" t="str">
        <f>"16047"</f>
        <v>16047</v>
      </c>
      <c r="B1063" s="14" t="str">
        <f>"05000"</f>
        <v>05000</v>
      </c>
      <c r="C1063" s="14" t="str">
        <f>"1700"</f>
        <v>1700</v>
      </c>
      <c r="D1063" s="14" t="str">
        <f>"16047"</f>
        <v>16047</v>
      </c>
      <c r="E1063" s="14" t="s">
        <v>561</v>
      </c>
      <c r="F1063" s="14" t="s">
        <v>366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47</v>
      </c>
      <c r="L1063" s="14" t="s">
        <v>37</v>
      </c>
      <c r="P1063" s="14" t="s">
        <v>31</v>
      </c>
      <c r="Q1063" s="14" t="s">
        <v>25</v>
      </c>
      <c r="R1063" s="14" t="s">
        <v>367</v>
      </c>
    </row>
    <row r="1064" spans="1:18" s="14" customFormat="1" x14ac:dyDescent="0.25">
      <c r="A1064" s="14" t="str">
        <f>"16048"</f>
        <v>16048</v>
      </c>
      <c r="B1064" s="14" t="str">
        <f>"05050"</f>
        <v>05050</v>
      </c>
      <c r="C1064" s="14" t="str">
        <f>"1700"</f>
        <v>1700</v>
      </c>
      <c r="D1064" s="14" t="str">
        <f>"16048"</f>
        <v>16048</v>
      </c>
      <c r="E1064" s="14" t="s">
        <v>562</v>
      </c>
      <c r="F1064" s="14" t="s">
        <v>563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381</v>
      </c>
      <c r="L1064" s="14" t="s">
        <v>382</v>
      </c>
      <c r="P1064" s="14" t="s">
        <v>31</v>
      </c>
      <c r="Q1064" s="14" t="s">
        <v>25</v>
      </c>
      <c r="R1064" s="14" t="s">
        <v>383</v>
      </c>
    </row>
    <row r="1065" spans="1:18" s="14" customFormat="1" x14ac:dyDescent="0.25">
      <c r="A1065" s="14" t="str">
        <f>"16049"</f>
        <v>16049</v>
      </c>
      <c r="B1065" s="14" t="str">
        <f>"05150"</f>
        <v>05150</v>
      </c>
      <c r="C1065" s="14" t="str">
        <f>"1100"</f>
        <v>1100</v>
      </c>
      <c r="D1065" s="14" t="str">
        <f>"16049"</f>
        <v>16049</v>
      </c>
      <c r="E1065" s="14" t="s">
        <v>564</v>
      </c>
      <c r="F1065" s="14" t="s">
        <v>402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405</v>
      </c>
      <c r="L1065" s="14" t="s">
        <v>404</v>
      </c>
      <c r="P1065" s="14" t="s">
        <v>39</v>
      </c>
      <c r="Q1065" s="14" t="s">
        <v>25</v>
      </c>
      <c r="R1065" s="14" t="s">
        <v>403</v>
      </c>
    </row>
    <row r="1066" spans="1:18" s="14" customFormat="1" x14ac:dyDescent="0.25">
      <c r="A1066" s="14" t="str">
        <f>"16050"</f>
        <v>16050</v>
      </c>
      <c r="B1066" s="14" t="str">
        <f>"05150"</f>
        <v>05150</v>
      </c>
      <c r="C1066" s="14" t="str">
        <f>"1100"</f>
        <v>1100</v>
      </c>
      <c r="D1066" s="14" t="str">
        <f>"16050"</f>
        <v>16050</v>
      </c>
      <c r="E1066" s="14" t="s">
        <v>565</v>
      </c>
      <c r="F1066" s="14" t="s">
        <v>402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405</v>
      </c>
      <c r="L1066" s="14" t="s">
        <v>404</v>
      </c>
      <c r="P1066" s="14" t="s">
        <v>39</v>
      </c>
      <c r="Q1066" s="14" t="s">
        <v>25</v>
      </c>
      <c r="R1066" s="14" t="s">
        <v>403</v>
      </c>
    </row>
    <row r="1067" spans="1:18" s="14" customFormat="1" x14ac:dyDescent="0.25">
      <c r="A1067" s="14" t="str">
        <f>"16051"</f>
        <v>16051</v>
      </c>
      <c r="B1067" s="14" t="str">
        <f>"05150"</f>
        <v>05150</v>
      </c>
      <c r="C1067" s="14" t="str">
        <f>"1800"</f>
        <v>1800</v>
      </c>
      <c r="D1067" s="14" t="str">
        <f>"16051"</f>
        <v>16051</v>
      </c>
      <c r="E1067" s="14" t="s">
        <v>566</v>
      </c>
      <c r="F1067" s="14" t="s">
        <v>402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405</v>
      </c>
      <c r="L1067" s="14" t="s">
        <v>404</v>
      </c>
      <c r="P1067" s="14" t="s">
        <v>39</v>
      </c>
      <c r="Q1067" s="14" t="s">
        <v>25</v>
      </c>
      <c r="R1067" s="14" t="s">
        <v>403</v>
      </c>
    </row>
    <row r="1068" spans="1:18" s="14" customFormat="1" x14ac:dyDescent="0.25">
      <c r="A1068" s="14" t="str">
        <f>"16052"</f>
        <v>16052</v>
      </c>
      <c r="B1068" s="14" t="str">
        <f>"05060"</f>
        <v>05060</v>
      </c>
      <c r="C1068" s="14" t="str">
        <f>"1700"</f>
        <v>1700</v>
      </c>
      <c r="D1068" s="14" t="str">
        <f>"05060B"</f>
        <v>05060B</v>
      </c>
      <c r="E1068" s="14" t="s">
        <v>567</v>
      </c>
      <c r="F1068" s="14" t="s">
        <v>380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382</v>
      </c>
      <c r="L1068" s="14" t="s">
        <v>381</v>
      </c>
      <c r="P1068" s="14" t="s">
        <v>31</v>
      </c>
      <c r="Q1068" s="14" t="s">
        <v>25</v>
      </c>
      <c r="R1068" s="14" t="s">
        <v>383</v>
      </c>
    </row>
    <row r="1069" spans="1:18" s="14" customFormat="1" x14ac:dyDescent="0.25">
      <c r="A1069" s="14" t="str">
        <f>"16052"</f>
        <v>16052</v>
      </c>
      <c r="B1069" s="14" t="str">
        <f>"05061"</f>
        <v>05061</v>
      </c>
      <c r="C1069" s="14" t="str">
        <f>"1700"</f>
        <v>1700</v>
      </c>
      <c r="D1069" s="14" t="str">
        <f>"05061"</f>
        <v>05061</v>
      </c>
      <c r="E1069" s="14" t="s">
        <v>567</v>
      </c>
      <c r="F1069" s="14" t="s">
        <v>568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382</v>
      </c>
      <c r="L1069" s="14" t="s">
        <v>381</v>
      </c>
      <c r="P1069" s="14" t="s">
        <v>31</v>
      </c>
      <c r="Q1069" s="14" t="s">
        <v>25</v>
      </c>
      <c r="R1069" s="14" t="s">
        <v>383</v>
      </c>
    </row>
    <row r="1070" spans="1:18" s="14" customFormat="1" x14ac:dyDescent="0.25">
      <c r="A1070" s="14" t="str">
        <f>"16053"</f>
        <v>16053</v>
      </c>
      <c r="B1070" s="14" t="str">
        <f>"05060"</f>
        <v>05060</v>
      </c>
      <c r="C1070" s="14" t="str">
        <f>"1700"</f>
        <v>1700</v>
      </c>
      <c r="D1070" s="14" t="str">
        <f>"16053"</f>
        <v>16053</v>
      </c>
      <c r="E1070" s="14" t="s">
        <v>569</v>
      </c>
      <c r="F1070" s="14" t="s">
        <v>380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382</v>
      </c>
      <c r="L1070" s="14" t="s">
        <v>381</v>
      </c>
      <c r="P1070" s="14" t="s">
        <v>31</v>
      </c>
      <c r="Q1070" s="14" t="s">
        <v>25</v>
      </c>
      <c r="R1070" s="14" t="s">
        <v>383</v>
      </c>
    </row>
    <row r="1071" spans="1:18" s="14" customFormat="1" x14ac:dyDescent="0.25">
      <c r="A1071" s="14" t="str">
        <f>"16056"</f>
        <v>16056</v>
      </c>
      <c r="B1071" s="14" t="str">
        <f>"06000"</f>
        <v>06000</v>
      </c>
      <c r="C1071" s="14" t="str">
        <f>"1700"</f>
        <v>1700</v>
      </c>
      <c r="D1071" s="14" t="str">
        <f>"16056"</f>
        <v>16056</v>
      </c>
      <c r="E1071" s="14" t="s">
        <v>570</v>
      </c>
      <c r="F1071" s="14" t="s">
        <v>409</v>
      </c>
      <c r="G1071" s="14" t="str">
        <f>""</f>
        <v/>
      </c>
      <c r="H1071" s="14" t="str">
        <f>" 10"</f>
        <v xml:space="preserve"> 10</v>
      </c>
      <c r="I1071" s="14">
        <v>0.01</v>
      </c>
      <c r="J1071" s="14">
        <v>500</v>
      </c>
      <c r="K1071" s="14" t="s">
        <v>410</v>
      </c>
      <c r="L1071" s="14" t="s">
        <v>411</v>
      </c>
      <c r="M1071" s="14" t="s">
        <v>412</v>
      </c>
      <c r="N1071" s="14" t="s">
        <v>413</v>
      </c>
      <c r="P1071" s="14" t="s">
        <v>39</v>
      </c>
      <c r="Q1071" s="14" t="s">
        <v>25</v>
      </c>
      <c r="R1071" s="14" t="s">
        <v>410</v>
      </c>
    </row>
    <row r="1072" spans="1:18" s="14" customFormat="1" x14ac:dyDescent="0.25">
      <c r="A1072" s="14" t="str">
        <f>"16056"</f>
        <v>16056</v>
      </c>
      <c r="B1072" s="14" t="str">
        <f>"06000"</f>
        <v>06000</v>
      </c>
      <c r="C1072" s="14" t="str">
        <f>"1700"</f>
        <v>1700</v>
      </c>
      <c r="D1072" s="14" t="str">
        <f>"16056"</f>
        <v>16056</v>
      </c>
      <c r="E1072" s="14" t="s">
        <v>570</v>
      </c>
      <c r="F1072" s="14" t="s">
        <v>409</v>
      </c>
      <c r="G1072" s="14" t="str">
        <f>""</f>
        <v/>
      </c>
      <c r="H1072" s="14" t="str">
        <f>" 20"</f>
        <v xml:space="preserve"> 20</v>
      </c>
      <c r="I1072" s="14">
        <v>500.01</v>
      </c>
      <c r="J1072" s="14">
        <v>9999999.9900000002</v>
      </c>
      <c r="K1072" s="14" t="s">
        <v>414</v>
      </c>
      <c r="L1072" s="14" t="s">
        <v>411</v>
      </c>
      <c r="M1072" s="14" t="s">
        <v>412</v>
      </c>
      <c r="P1072" s="14" t="s">
        <v>39</v>
      </c>
      <c r="Q1072" s="14" t="s">
        <v>25</v>
      </c>
      <c r="R1072" s="14" t="s">
        <v>410</v>
      </c>
    </row>
    <row r="1073" spans="1:18" s="14" customFormat="1" x14ac:dyDescent="0.25">
      <c r="A1073" s="14" t="str">
        <f>"16057"</f>
        <v>16057</v>
      </c>
      <c r="B1073" s="14" t="str">
        <f>"05110"</f>
        <v>05110</v>
      </c>
      <c r="C1073" s="14" t="str">
        <f>"1700"</f>
        <v>1700</v>
      </c>
      <c r="D1073" s="14" t="str">
        <f>"16057"</f>
        <v>16057</v>
      </c>
      <c r="E1073" s="14" t="s">
        <v>571</v>
      </c>
      <c r="F1073" s="14" t="s">
        <v>391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47</v>
      </c>
      <c r="L1073" s="14" t="s">
        <v>392</v>
      </c>
      <c r="P1073" s="14" t="s">
        <v>31</v>
      </c>
      <c r="Q1073" s="14" t="s">
        <v>25</v>
      </c>
      <c r="R1073" s="14" t="s">
        <v>392</v>
      </c>
    </row>
    <row r="1074" spans="1:18" s="14" customFormat="1" x14ac:dyDescent="0.25">
      <c r="A1074" s="14" t="str">
        <f>"16058"</f>
        <v>16058</v>
      </c>
      <c r="B1074" s="14" t="str">
        <f>"05110"</f>
        <v>05110</v>
      </c>
      <c r="C1074" s="14" t="str">
        <f>"1700"</f>
        <v>1700</v>
      </c>
      <c r="D1074" s="14" t="str">
        <f>"16058"</f>
        <v>16058</v>
      </c>
      <c r="E1074" s="14" t="s">
        <v>572</v>
      </c>
      <c r="F1074" s="14" t="s">
        <v>391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392</v>
      </c>
      <c r="L1074" s="14" t="s">
        <v>522</v>
      </c>
      <c r="P1074" s="14" t="s">
        <v>31</v>
      </c>
      <c r="Q1074" s="14" t="s">
        <v>25</v>
      </c>
      <c r="R1074" s="14" t="s">
        <v>392</v>
      </c>
    </row>
    <row r="1075" spans="1:18" s="14" customFormat="1" x14ac:dyDescent="0.25">
      <c r="A1075" s="14" t="str">
        <f>"16059"</f>
        <v>16059</v>
      </c>
      <c r="B1075" s="14" t="str">
        <f>"05000"</f>
        <v>05000</v>
      </c>
      <c r="C1075" s="14" t="str">
        <f>"1700"</f>
        <v>1700</v>
      </c>
      <c r="D1075" s="14" t="str">
        <f>"16059"</f>
        <v>16059</v>
      </c>
      <c r="E1075" s="14" t="s">
        <v>573</v>
      </c>
      <c r="F1075" s="14" t="s">
        <v>366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47</v>
      </c>
      <c r="L1075" s="14" t="s">
        <v>377</v>
      </c>
      <c r="P1075" s="14" t="s">
        <v>31</v>
      </c>
      <c r="Q1075" s="14" t="s">
        <v>25</v>
      </c>
      <c r="R1075" s="14" t="s">
        <v>377</v>
      </c>
    </row>
    <row r="1076" spans="1:18" s="14" customFormat="1" x14ac:dyDescent="0.25">
      <c r="A1076" s="14" t="str">
        <f>"16060"</f>
        <v>16060</v>
      </c>
      <c r="B1076" s="14" t="str">
        <f>"05050"</f>
        <v>05050</v>
      </c>
      <c r="C1076" s="14" t="str">
        <f>"1700"</f>
        <v>1700</v>
      </c>
      <c r="D1076" s="14" t="str">
        <f>"16060"</f>
        <v>16060</v>
      </c>
      <c r="E1076" s="14" t="s">
        <v>574</v>
      </c>
      <c r="F1076" s="14" t="s">
        <v>563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381</v>
      </c>
      <c r="L1076" s="14" t="s">
        <v>382</v>
      </c>
      <c r="P1076" s="14" t="s">
        <v>31</v>
      </c>
      <c r="Q1076" s="14" t="s">
        <v>25</v>
      </c>
      <c r="R1076" s="14" t="s">
        <v>383</v>
      </c>
    </row>
    <row r="1077" spans="1:18" s="14" customFormat="1" x14ac:dyDescent="0.25">
      <c r="A1077" s="14" t="str">
        <f>"16061"</f>
        <v>16061</v>
      </c>
      <c r="B1077" s="14" t="str">
        <f>"05080"</f>
        <v>05080</v>
      </c>
      <c r="C1077" s="14" t="str">
        <f>"1700"</f>
        <v>1700</v>
      </c>
      <c r="D1077" s="14" t="str">
        <f>"16061"</f>
        <v>16061</v>
      </c>
      <c r="E1077" s="14" t="s">
        <v>575</v>
      </c>
      <c r="F1077" s="14" t="s">
        <v>385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386</v>
      </c>
      <c r="L1077" s="14" t="s">
        <v>47</v>
      </c>
      <c r="M1077" s="14" t="s">
        <v>387</v>
      </c>
      <c r="P1077" s="14" t="s">
        <v>31</v>
      </c>
      <c r="Q1077" s="14" t="s">
        <v>25</v>
      </c>
      <c r="R1077" s="14" t="s">
        <v>388</v>
      </c>
    </row>
    <row r="1078" spans="1:18" s="14" customFormat="1" x14ac:dyDescent="0.25">
      <c r="A1078" s="14" t="str">
        <f>"16062"</f>
        <v>16062</v>
      </c>
      <c r="B1078" s="14" t="str">
        <f>"03050"</f>
        <v>03050</v>
      </c>
      <c r="C1078" s="14" t="str">
        <f>"1700"</f>
        <v>1700</v>
      </c>
      <c r="D1078" s="14" t="str">
        <f>"16062"</f>
        <v>16062</v>
      </c>
      <c r="E1078" s="14" t="s">
        <v>576</v>
      </c>
      <c r="F1078" s="14" t="s">
        <v>225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226</v>
      </c>
      <c r="L1078" s="14" t="s">
        <v>228</v>
      </c>
      <c r="P1078" s="14" t="s">
        <v>31</v>
      </c>
      <c r="Q1078" s="14" t="s">
        <v>25</v>
      </c>
      <c r="R1078" s="14" t="s">
        <v>229</v>
      </c>
    </row>
    <row r="1079" spans="1:18" s="14" customFormat="1" x14ac:dyDescent="0.25">
      <c r="A1079" s="14" t="str">
        <f>"16063"</f>
        <v>16063</v>
      </c>
      <c r="B1079" s="14" t="str">
        <f>"05000"</f>
        <v>05000</v>
      </c>
      <c r="C1079" s="14" t="str">
        <f>"1700"</f>
        <v>1700</v>
      </c>
      <c r="D1079" s="14" t="str">
        <f>""</f>
        <v/>
      </c>
      <c r="E1079" s="14" t="s">
        <v>577</v>
      </c>
      <c r="F1079" s="14" t="s">
        <v>366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47</v>
      </c>
      <c r="L1079" s="14" t="s">
        <v>37</v>
      </c>
      <c r="P1079" s="14" t="s">
        <v>31</v>
      </c>
      <c r="Q1079" s="14" t="s">
        <v>25</v>
      </c>
      <c r="R1079" s="14" t="s">
        <v>367</v>
      </c>
    </row>
    <row r="1080" spans="1:18" s="14" customFormat="1" x14ac:dyDescent="0.25">
      <c r="A1080" s="14" t="str">
        <f>"17001"</f>
        <v>17001</v>
      </c>
      <c r="B1080" s="14" t="str">
        <f>"01000"</f>
        <v>01000</v>
      </c>
      <c r="C1080" s="14" t="str">
        <f>"1200"</f>
        <v>1200</v>
      </c>
      <c r="D1080" s="14" t="str">
        <f>""</f>
        <v/>
      </c>
      <c r="E1080" s="14" t="s">
        <v>578</v>
      </c>
      <c r="F1080" s="14" t="s">
        <v>44</v>
      </c>
      <c r="G1080" s="14" t="str">
        <f>"GR0017001"</f>
        <v>GR0017001</v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37</v>
      </c>
      <c r="L1080" s="14" t="s">
        <v>38</v>
      </c>
      <c r="O1080" s="14" t="s">
        <v>579</v>
      </c>
      <c r="P1080" s="14" t="s">
        <v>39</v>
      </c>
      <c r="Q1080" s="14" t="s">
        <v>25</v>
      </c>
      <c r="R1080" s="14" t="s">
        <v>38</v>
      </c>
    </row>
    <row r="1081" spans="1:18" s="14" customFormat="1" x14ac:dyDescent="0.25">
      <c r="A1081" s="14" t="str">
        <f>"17002"</f>
        <v>17002</v>
      </c>
      <c r="B1081" s="14" t="str">
        <f>"01290"</f>
        <v>01290</v>
      </c>
      <c r="C1081" s="14" t="str">
        <f>"1300"</f>
        <v>1300</v>
      </c>
      <c r="D1081" s="14" t="str">
        <f>""</f>
        <v/>
      </c>
      <c r="E1081" s="14" t="s">
        <v>580</v>
      </c>
      <c r="F1081" s="14" t="s">
        <v>95</v>
      </c>
      <c r="G1081" s="14" t="str">
        <f>"GR0017002"</f>
        <v>GR0017002</v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37</v>
      </c>
      <c r="L1081" s="14" t="s">
        <v>38</v>
      </c>
      <c r="O1081" s="14" t="s">
        <v>37</v>
      </c>
      <c r="P1081" s="14" t="s">
        <v>39</v>
      </c>
      <c r="Q1081" s="14" t="s">
        <v>25</v>
      </c>
      <c r="R1081" s="14" t="s">
        <v>38</v>
      </c>
    </row>
    <row r="1082" spans="1:18" s="14" customFormat="1" x14ac:dyDescent="0.25">
      <c r="A1082" s="14" t="str">
        <f>"17003"</f>
        <v>17003</v>
      </c>
      <c r="B1082" s="14" t="str">
        <f>"01000"</f>
        <v>01000</v>
      </c>
      <c r="C1082" s="14" t="str">
        <f>"1200"</f>
        <v>1200</v>
      </c>
      <c r="D1082" s="14" t="str">
        <f>""</f>
        <v/>
      </c>
      <c r="E1082" s="14" t="s">
        <v>581</v>
      </c>
      <c r="F1082" s="14" t="s">
        <v>44</v>
      </c>
      <c r="G1082" s="14" t="str">
        <f>"GR0017003"</f>
        <v>GR0017003</v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37</v>
      </c>
      <c r="L1082" s="14" t="s">
        <v>34</v>
      </c>
      <c r="O1082" s="14" t="s">
        <v>38</v>
      </c>
      <c r="P1082" s="14" t="s">
        <v>39</v>
      </c>
      <c r="Q1082" s="14" t="s">
        <v>25</v>
      </c>
      <c r="R1082" s="14" t="s">
        <v>38</v>
      </c>
    </row>
    <row r="1083" spans="1:18" s="14" customFormat="1" x14ac:dyDescent="0.25">
      <c r="A1083" s="14" t="str">
        <f>"17004"</f>
        <v>17004</v>
      </c>
      <c r="B1083" s="14" t="str">
        <f>"01000"</f>
        <v>01000</v>
      </c>
      <c r="C1083" s="14" t="str">
        <f>"1700"</f>
        <v>1700</v>
      </c>
      <c r="D1083" s="14" t="str">
        <f>"17004"</f>
        <v>17004</v>
      </c>
      <c r="E1083" s="14" t="s">
        <v>582</v>
      </c>
      <c r="F1083" s="14" t="s">
        <v>44</v>
      </c>
      <c r="G1083" s="14" t="str">
        <f>"GR0017004"</f>
        <v>GR0017004</v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37</v>
      </c>
      <c r="L1083" s="14" t="s">
        <v>34</v>
      </c>
      <c r="O1083" s="14" t="s">
        <v>38</v>
      </c>
      <c r="P1083" s="14" t="s">
        <v>39</v>
      </c>
      <c r="Q1083" s="14" t="s">
        <v>25</v>
      </c>
      <c r="R1083" s="14" t="s">
        <v>38</v>
      </c>
    </row>
    <row r="1084" spans="1:18" s="14" customFormat="1" x14ac:dyDescent="0.25">
      <c r="A1084" s="14" t="str">
        <f>"18001"</f>
        <v>18001</v>
      </c>
      <c r="B1084" s="14" t="str">
        <f>"01000"</f>
        <v>01000</v>
      </c>
      <c r="C1084" s="14" t="str">
        <f>"1300"</f>
        <v>1300</v>
      </c>
      <c r="D1084" s="14" t="str">
        <f>"18001"</f>
        <v>18001</v>
      </c>
      <c r="E1084" s="14" t="s">
        <v>584</v>
      </c>
      <c r="F1084" s="14" t="s">
        <v>44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37</v>
      </c>
      <c r="L1084" s="14" t="s">
        <v>601</v>
      </c>
      <c r="P1084" s="14" t="s">
        <v>39</v>
      </c>
      <c r="Q1084" s="14" t="s">
        <v>25</v>
      </c>
      <c r="R1084" s="14" t="s">
        <v>38</v>
      </c>
    </row>
    <row r="1085" spans="1:18" s="14" customFormat="1" x14ac:dyDescent="0.25">
      <c r="A1085" s="14" t="str">
        <f>"18002"</f>
        <v>18002</v>
      </c>
      <c r="B1085" s="14" t="str">
        <f>"02010"</f>
        <v>02010</v>
      </c>
      <c r="C1085" s="14" t="str">
        <f>"1400"</f>
        <v>1400</v>
      </c>
      <c r="D1085" s="14" t="str">
        <f>"18002"</f>
        <v>18002</v>
      </c>
      <c r="E1085" s="14" t="s">
        <v>585</v>
      </c>
      <c r="F1085" s="14" t="s">
        <v>191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192</v>
      </c>
      <c r="L1085" s="14" t="s">
        <v>193</v>
      </c>
      <c r="M1085" s="14" t="s">
        <v>194</v>
      </c>
      <c r="P1085" s="14" t="s">
        <v>31</v>
      </c>
      <c r="Q1085" s="14" t="s">
        <v>25</v>
      </c>
      <c r="R1085" s="14" t="s">
        <v>192</v>
      </c>
    </row>
    <row r="1086" spans="1:18" s="14" customFormat="1" x14ac:dyDescent="0.25">
      <c r="A1086" s="14" t="str">
        <f>"18003"</f>
        <v>18003</v>
      </c>
      <c r="B1086" s="14" t="str">
        <f>"03130"</f>
        <v>03130</v>
      </c>
      <c r="C1086" s="14" t="str">
        <f>"1400"</f>
        <v>1400</v>
      </c>
      <c r="D1086" s="14" t="str">
        <f>"18003"</f>
        <v>18003</v>
      </c>
      <c r="E1086" s="14" t="s">
        <v>586</v>
      </c>
      <c r="F1086" s="14" t="s">
        <v>246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244</v>
      </c>
      <c r="P1086" s="14" t="s">
        <v>31</v>
      </c>
      <c r="Q1086" s="14" t="s">
        <v>25</v>
      </c>
      <c r="R1086" s="14" t="s">
        <v>245</v>
      </c>
    </row>
    <row r="1087" spans="1:18" s="14" customFormat="1" x14ac:dyDescent="0.25">
      <c r="A1087" s="14" t="str">
        <f>"18004"</f>
        <v>18004</v>
      </c>
      <c r="B1087" s="14" t="str">
        <f>"01090"</f>
        <v>01090</v>
      </c>
      <c r="C1087" s="14" t="str">
        <f>"1600"</f>
        <v>1600</v>
      </c>
      <c r="D1087" s="14" t="str">
        <f>"18004"</f>
        <v>18004</v>
      </c>
      <c r="E1087" s="14" t="s">
        <v>587</v>
      </c>
      <c r="F1087" s="14" t="s">
        <v>62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53</v>
      </c>
      <c r="L1087" s="14" t="s">
        <v>54</v>
      </c>
      <c r="M1087" s="14" t="s">
        <v>55</v>
      </c>
      <c r="P1087" s="14" t="s">
        <v>31</v>
      </c>
      <c r="Q1087" s="14" t="s">
        <v>25</v>
      </c>
      <c r="R1087" s="14" t="s">
        <v>54</v>
      </c>
    </row>
    <row r="1088" spans="1:18" s="14" customFormat="1" x14ac:dyDescent="0.25">
      <c r="A1088" s="14" t="str">
        <f>"18005"</f>
        <v>18005</v>
      </c>
      <c r="B1088" s="14" t="str">
        <f>"01160"</f>
        <v>01160</v>
      </c>
      <c r="C1088" s="14" t="str">
        <f>"1600"</f>
        <v>1600</v>
      </c>
      <c r="D1088" s="14" t="str">
        <f>"18005"</f>
        <v>18005</v>
      </c>
      <c r="E1088" s="14" t="s">
        <v>588</v>
      </c>
      <c r="F1088" s="14" t="s">
        <v>63</v>
      </c>
      <c r="G1088" s="14" t="str">
        <f>""</f>
        <v/>
      </c>
      <c r="H1088" s="14" t="str">
        <f>" 10"</f>
        <v xml:space="preserve"> 10</v>
      </c>
      <c r="I1088" s="14">
        <v>0.01</v>
      </c>
      <c r="J1088" s="14">
        <v>500</v>
      </c>
      <c r="K1088" s="14" t="s">
        <v>64</v>
      </c>
      <c r="P1088" s="14" t="s">
        <v>31</v>
      </c>
      <c r="Q1088" s="14" t="s">
        <v>25</v>
      </c>
      <c r="R1088" s="14" t="s">
        <v>55</v>
      </c>
    </row>
    <row r="1089" spans="1:18" s="14" customFormat="1" x14ac:dyDescent="0.25">
      <c r="A1089" s="14" t="str">
        <f>"18005"</f>
        <v>18005</v>
      </c>
      <c r="B1089" s="14" t="str">
        <f>"01160"</f>
        <v>01160</v>
      </c>
      <c r="C1089" s="14" t="str">
        <f>"1600"</f>
        <v>1600</v>
      </c>
      <c r="D1089" s="14" t="str">
        <f>"18005"</f>
        <v>18005</v>
      </c>
      <c r="E1089" s="14" t="s">
        <v>588</v>
      </c>
      <c r="F1089" s="14" t="s">
        <v>63</v>
      </c>
      <c r="G1089" s="14" t="str">
        <f>""</f>
        <v/>
      </c>
      <c r="H1089" s="14" t="str">
        <f>" 20"</f>
        <v xml:space="preserve"> 20</v>
      </c>
      <c r="I1089" s="14">
        <v>500.01</v>
      </c>
      <c r="J1089" s="14">
        <v>9999999.9900000002</v>
      </c>
      <c r="K1089" s="14" t="s">
        <v>55</v>
      </c>
      <c r="L1089" s="14" t="s">
        <v>53</v>
      </c>
      <c r="P1089" s="14" t="s">
        <v>31</v>
      </c>
      <c r="Q1089" s="14" t="s">
        <v>25</v>
      </c>
      <c r="R1089" s="14" t="s">
        <v>55</v>
      </c>
    </row>
    <row r="1090" spans="1:18" s="14" customFormat="1" x14ac:dyDescent="0.25">
      <c r="A1090" s="14" t="str">
        <f>"18006"</f>
        <v>18006</v>
      </c>
      <c r="B1090" s="14" t="str">
        <f>"01687"</f>
        <v>01687</v>
      </c>
      <c r="C1090" s="14" t="str">
        <f>"1600"</f>
        <v>1600</v>
      </c>
      <c r="D1090" s="14" t="str">
        <f>"18006"</f>
        <v>18006</v>
      </c>
      <c r="E1090" s="14" t="s">
        <v>589</v>
      </c>
      <c r="F1090" s="14" t="s">
        <v>590</v>
      </c>
      <c r="G1090" s="14" t="str">
        <f>""</f>
        <v/>
      </c>
      <c r="H1090" s="14" t="str">
        <f>" 10"</f>
        <v xml:space="preserve"> 10</v>
      </c>
      <c r="I1090" s="14">
        <v>0.01</v>
      </c>
      <c r="J1090" s="14">
        <v>500</v>
      </c>
      <c r="K1090" s="14" t="s">
        <v>146</v>
      </c>
      <c r="L1090" s="14" t="s">
        <v>147</v>
      </c>
      <c r="P1090" s="14" t="s">
        <v>39</v>
      </c>
      <c r="Q1090" s="14" t="s">
        <v>25</v>
      </c>
      <c r="R1090" s="14" t="s">
        <v>146</v>
      </c>
    </row>
    <row r="1091" spans="1:18" s="14" customFormat="1" x14ac:dyDescent="0.25">
      <c r="A1091" s="14" t="str">
        <f>"18006"</f>
        <v>18006</v>
      </c>
      <c r="B1091" s="14" t="str">
        <f>"01687"</f>
        <v>01687</v>
      </c>
      <c r="C1091" s="14" t="str">
        <f>"1600"</f>
        <v>1600</v>
      </c>
      <c r="D1091" s="14" t="str">
        <f>"18006"</f>
        <v>18006</v>
      </c>
      <c r="E1091" s="14" t="s">
        <v>589</v>
      </c>
      <c r="F1091" s="14" t="s">
        <v>590</v>
      </c>
      <c r="G1091" s="14" t="str">
        <f>""</f>
        <v/>
      </c>
      <c r="H1091" s="14" t="str">
        <f>" 20"</f>
        <v xml:space="preserve"> 20</v>
      </c>
      <c r="I1091" s="14">
        <v>500.01</v>
      </c>
      <c r="J1091" s="14">
        <v>9999999.9900000002</v>
      </c>
      <c r="K1091" s="14" t="s">
        <v>591</v>
      </c>
      <c r="L1091" s="14" t="s">
        <v>147</v>
      </c>
      <c r="P1091" s="14" t="s">
        <v>39</v>
      </c>
      <c r="Q1091" s="14" t="s">
        <v>25</v>
      </c>
      <c r="R1091" s="14" t="s">
        <v>146</v>
      </c>
    </row>
    <row r="1092" spans="1:18" s="14" customFormat="1" x14ac:dyDescent="0.25">
      <c r="A1092" s="14" t="str">
        <f>"18007"</f>
        <v>18007</v>
      </c>
      <c r="B1092" s="14" t="str">
        <f>"01090"</f>
        <v>01090</v>
      </c>
      <c r="C1092" s="14" t="str">
        <f>"1100"</f>
        <v>1100</v>
      </c>
      <c r="D1092" s="14" t="str">
        <f>"18007"</f>
        <v>18007</v>
      </c>
      <c r="E1092" s="14" t="s">
        <v>592</v>
      </c>
      <c r="F1092" s="14" t="s">
        <v>62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53</v>
      </c>
      <c r="L1092" s="14" t="s">
        <v>54</v>
      </c>
      <c r="M1092" s="14" t="s">
        <v>55</v>
      </c>
      <c r="P1092" s="14" t="s">
        <v>31</v>
      </c>
      <c r="Q1092" s="14" t="s">
        <v>25</v>
      </c>
      <c r="R1092" s="14" t="s">
        <v>54</v>
      </c>
    </row>
    <row r="1093" spans="1:18" s="14" customFormat="1" x14ac:dyDescent="0.25">
      <c r="A1093" s="14" t="str">
        <f>"18008"</f>
        <v>18008</v>
      </c>
      <c r="B1093" s="14" t="str">
        <f>"01090"</f>
        <v>01090</v>
      </c>
      <c r="C1093" s="14" t="str">
        <f>"1600"</f>
        <v>1600</v>
      </c>
      <c r="D1093" s="14" t="str">
        <f>"18008"</f>
        <v>18008</v>
      </c>
      <c r="E1093" s="14" t="s">
        <v>593</v>
      </c>
      <c r="F1093" s="14" t="s">
        <v>62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53</v>
      </c>
      <c r="L1093" s="14" t="s">
        <v>54</v>
      </c>
      <c r="M1093" s="14" t="s">
        <v>55</v>
      </c>
      <c r="P1093" s="14" t="s">
        <v>31</v>
      </c>
      <c r="Q1093" s="14" t="s">
        <v>25</v>
      </c>
      <c r="R1093" s="14" t="s">
        <v>54</v>
      </c>
    </row>
    <row r="1094" spans="1:18" s="14" customFormat="1" x14ac:dyDescent="0.25">
      <c r="A1094" s="14" t="str">
        <f>"18009"</f>
        <v>18009</v>
      </c>
      <c r="B1094" s="14" t="str">
        <f>"01090"</f>
        <v>01090</v>
      </c>
      <c r="C1094" s="14" t="str">
        <f>"1100"</f>
        <v>1100</v>
      </c>
      <c r="D1094" s="14" t="str">
        <f>"18009"</f>
        <v>18009</v>
      </c>
      <c r="E1094" s="14" t="s">
        <v>594</v>
      </c>
      <c r="F1094" s="14" t="s">
        <v>62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53</v>
      </c>
      <c r="L1094" s="14" t="s">
        <v>54</v>
      </c>
      <c r="M1094" s="14" t="s">
        <v>55</v>
      </c>
      <c r="P1094" s="14" t="s">
        <v>31</v>
      </c>
      <c r="Q1094" s="14" t="s">
        <v>25</v>
      </c>
      <c r="R1094" s="14" t="s">
        <v>54</v>
      </c>
    </row>
    <row r="1095" spans="1:18" s="14" customFormat="1" x14ac:dyDescent="0.25">
      <c r="A1095" s="14" t="str">
        <f>"18010"</f>
        <v>18010</v>
      </c>
      <c r="B1095" s="14" t="str">
        <f>"01687"</f>
        <v>01687</v>
      </c>
      <c r="C1095" s="14" t="str">
        <f>"1600"</f>
        <v>1600</v>
      </c>
      <c r="D1095" s="14" t="str">
        <f>"18010"</f>
        <v>18010</v>
      </c>
      <c r="E1095" s="14" t="s">
        <v>595</v>
      </c>
      <c r="F1095" s="14" t="s">
        <v>590</v>
      </c>
      <c r="G1095" s="14" t="str">
        <f>""</f>
        <v/>
      </c>
      <c r="H1095" s="14" t="str">
        <f>" 10"</f>
        <v xml:space="preserve"> 10</v>
      </c>
      <c r="I1095" s="14">
        <v>0.01</v>
      </c>
      <c r="J1095" s="14">
        <v>500</v>
      </c>
      <c r="K1095" s="14" t="s">
        <v>146</v>
      </c>
      <c r="L1095" s="14" t="s">
        <v>147</v>
      </c>
      <c r="P1095" s="14" t="s">
        <v>39</v>
      </c>
      <c r="Q1095" s="14" t="s">
        <v>25</v>
      </c>
      <c r="R1095" s="14" t="s">
        <v>146</v>
      </c>
    </row>
    <row r="1096" spans="1:18" s="14" customFormat="1" x14ac:dyDescent="0.25">
      <c r="A1096" s="14" t="str">
        <f>"18010"</f>
        <v>18010</v>
      </c>
      <c r="B1096" s="14" t="str">
        <f>"01687"</f>
        <v>01687</v>
      </c>
      <c r="C1096" s="14" t="str">
        <f>"1600"</f>
        <v>1600</v>
      </c>
      <c r="D1096" s="14" t="str">
        <f>"18010"</f>
        <v>18010</v>
      </c>
      <c r="E1096" s="14" t="s">
        <v>595</v>
      </c>
      <c r="F1096" s="14" t="s">
        <v>590</v>
      </c>
      <c r="G1096" s="14" t="str">
        <f>""</f>
        <v/>
      </c>
      <c r="H1096" s="14" t="str">
        <f>" 20"</f>
        <v xml:space="preserve"> 20</v>
      </c>
      <c r="I1096" s="14">
        <v>500.01</v>
      </c>
      <c r="J1096" s="14">
        <v>9999999.9900000002</v>
      </c>
      <c r="K1096" s="14" t="s">
        <v>591</v>
      </c>
      <c r="L1096" s="14" t="s">
        <v>147</v>
      </c>
      <c r="P1096" s="14" t="s">
        <v>39</v>
      </c>
      <c r="Q1096" s="14" t="s">
        <v>25</v>
      </c>
      <c r="R1096" s="14" t="s">
        <v>146</v>
      </c>
    </row>
    <row r="1097" spans="1:18" s="14" customFormat="1" x14ac:dyDescent="0.25">
      <c r="A1097" s="14" t="str">
        <f>"18013"</f>
        <v>18013</v>
      </c>
      <c r="B1097" s="14" t="str">
        <f>"01400"</f>
        <v>01400</v>
      </c>
      <c r="C1097" s="14" t="str">
        <f>"1600"</f>
        <v>1600</v>
      </c>
      <c r="D1097" s="14" t="str">
        <f>"18013"</f>
        <v>18013</v>
      </c>
      <c r="E1097" s="14" t="s">
        <v>596</v>
      </c>
      <c r="F1097" s="14" t="s">
        <v>117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69</v>
      </c>
      <c r="L1097" s="14" t="s">
        <v>70</v>
      </c>
      <c r="M1097" s="14" t="s">
        <v>71</v>
      </c>
      <c r="P1097" s="14" t="s">
        <v>31</v>
      </c>
      <c r="Q1097" s="14" t="s">
        <v>25</v>
      </c>
      <c r="R1097" s="14" t="s">
        <v>72</v>
      </c>
    </row>
    <row r="1098" spans="1:18" s="14" customFormat="1" x14ac:dyDescent="0.25">
      <c r="A1098" s="14" t="str">
        <f>"18014"</f>
        <v>18014</v>
      </c>
      <c r="B1098" s="14" t="str">
        <f>"01000"</f>
        <v>01000</v>
      </c>
      <c r="C1098" s="14" t="str">
        <f>"1300"</f>
        <v>1300</v>
      </c>
      <c r="D1098" s="14" t="str">
        <f>"18014"</f>
        <v>18014</v>
      </c>
      <c r="E1098" s="14" t="s">
        <v>597</v>
      </c>
      <c r="F1098" s="14" t="s">
        <v>44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37</v>
      </c>
      <c r="L1098" s="14" t="s">
        <v>34</v>
      </c>
      <c r="P1098" s="14" t="s">
        <v>39</v>
      </c>
      <c r="Q1098" s="14" t="s">
        <v>25</v>
      </c>
      <c r="R1098" s="14" t="s">
        <v>38</v>
      </c>
    </row>
    <row r="1099" spans="1:18" s="14" customFormat="1" x14ac:dyDescent="0.25">
      <c r="A1099" s="14" t="str">
        <f>"18015"</f>
        <v>18015</v>
      </c>
      <c r="B1099" s="14" t="str">
        <f>"01000"</f>
        <v>01000</v>
      </c>
      <c r="C1099" s="14" t="str">
        <f>"1300"</f>
        <v>1300</v>
      </c>
      <c r="D1099" s="14" t="str">
        <f>"18015"</f>
        <v>18015</v>
      </c>
      <c r="E1099" s="14" t="s">
        <v>598</v>
      </c>
      <c r="F1099" s="14" t="s">
        <v>44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37</v>
      </c>
      <c r="L1099" s="14" t="s">
        <v>38</v>
      </c>
      <c r="P1099" s="14" t="s">
        <v>39</v>
      </c>
      <c r="Q1099" s="14" t="s">
        <v>25</v>
      </c>
      <c r="R1099" s="14" t="s">
        <v>38</v>
      </c>
    </row>
    <row r="1100" spans="1:18" s="14" customFormat="1" x14ac:dyDescent="0.25">
      <c r="A1100" s="14" t="str">
        <f>"18016"</f>
        <v>18016</v>
      </c>
      <c r="B1100" s="14" t="str">
        <f>"01000"</f>
        <v>01000</v>
      </c>
      <c r="C1100" s="14" t="str">
        <f>"1300"</f>
        <v>1300</v>
      </c>
      <c r="D1100" s="14" t="str">
        <f>"18016"</f>
        <v>18016</v>
      </c>
      <c r="E1100" s="14" t="s">
        <v>599</v>
      </c>
      <c r="F1100" s="14" t="s">
        <v>44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37</v>
      </c>
      <c r="L1100" s="14" t="s">
        <v>34</v>
      </c>
      <c r="P1100" s="14" t="s">
        <v>39</v>
      </c>
      <c r="Q1100" s="14" t="s">
        <v>25</v>
      </c>
      <c r="R1100" s="14" t="s">
        <v>38</v>
      </c>
    </row>
    <row r="1101" spans="1:18" s="14" customFormat="1" x14ac:dyDescent="0.25">
      <c r="A1101" s="14" t="str">
        <f>"18017"</f>
        <v>18017</v>
      </c>
      <c r="B1101" s="14" t="str">
        <f>"01000"</f>
        <v>01000</v>
      </c>
      <c r="C1101" s="14" t="str">
        <f>"1300"</f>
        <v>1300</v>
      </c>
      <c r="D1101" s="14" t="str">
        <f>"18017"</f>
        <v>18017</v>
      </c>
      <c r="E1101" s="14" t="s">
        <v>600</v>
      </c>
      <c r="F1101" s="14" t="s">
        <v>44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37</v>
      </c>
      <c r="L1101" s="14" t="s">
        <v>601</v>
      </c>
      <c r="M1101" s="14" t="s">
        <v>38</v>
      </c>
      <c r="P1101" s="14" t="s">
        <v>39</v>
      </c>
      <c r="Q1101" s="14" t="s">
        <v>25</v>
      </c>
      <c r="R1101" s="14" t="s">
        <v>45</v>
      </c>
    </row>
    <row r="1102" spans="1:18" s="14" customFormat="1" x14ac:dyDescent="0.25">
      <c r="A1102" s="14" t="str">
        <f>"18018"</f>
        <v>18018</v>
      </c>
      <c r="B1102" s="14" t="str">
        <f>"01400"</f>
        <v>01400</v>
      </c>
      <c r="C1102" s="14" t="str">
        <f>"1300"</f>
        <v>1300</v>
      </c>
      <c r="D1102" s="14" t="str">
        <f>"18018"</f>
        <v>18018</v>
      </c>
      <c r="E1102" s="14" t="s">
        <v>602</v>
      </c>
      <c r="F1102" s="14" t="s">
        <v>117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69</v>
      </c>
      <c r="L1102" s="14" t="s">
        <v>70</v>
      </c>
      <c r="M1102" s="14" t="s">
        <v>71</v>
      </c>
      <c r="P1102" s="14" t="s">
        <v>31</v>
      </c>
      <c r="Q1102" s="14" t="s">
        <v>25</v>
      </c>
      <c r="R1102" s="14" t="s">
        <v>72</v>
      </c>
    </row>
    <row r="1103" spans="1:18" s="14" customFormat="1" x14ac:dyDescent="0.25">
      <c r="A1103" s="14" t="str">
        <f>"18019"</f>
        <v>18019</v>
      </c>
      <c r="B1103" s="14" t="str">
        <f>"01780"</f>
        <v>01780</v>
      </c>
      <c r="C1103" s="14" t="str">
        <f>"1300"</f>
        <v>1300</v>
      </c>
      <c r="D1103" s="14" t="str">
        <f>"18019"</f>
        <v>18019</v>
      </c>
      <c r="E1103" s="14" t="s">
        <v>603</v>
      </c>
      <c r="F1103" s="14" t="s">
        <v>175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112</v>
      </c>
      <c r="L1103" s="14" t="s">
        <v>113</v>
      </c>
      <c r="M1103" s="14" t="s">
        <v>114</v>
      </c>
      <c r="P1103" s="14" t="s">
        <v>31</v>
      </c>
      <c r="Q1103" s="14" t="s">
        <v>25</v>
      </c>
      <c r="R1103" s="14" t="s">
        <v>115</v>
      </c>
    </row>
    <row r="1104" spans="1:18" s="14" customFormat="1" x14ac:dyDescent="0.25">
      <c r="A1104" s="14" t="str">
        <f>"18020"</f>
        <v>18020</v>
      </c>
      <c r="B1104" s="14" t="str">
        <f>"01660"</f>
        <v>01660</v>
      </c>
      <c r="C1104" s="14" t="str">
        <f>"1300"</f>
        <v>1300</v>
      </c>
      <c r="D1104" s="14" t="str">
        <f>"18020"</f>
        <v>18020</v>
      </c>
      <c r="E1104" s="14" t="s">
        <v>604</v>
      </c>
      <c r="F1104" s="14" t="s">
        <v>145</v>
      </c>
      <c r="G1104" s="14" t="str">
        <f>""</f>
        <v/>
      </c>
      <c r="H1104" s="14" t="str">
        <f>" 10"</f>
        <v xml:space="preserve"> 10</v>
      </c>
      <c r="I1104" s="14">
        <v>0.01</v>
      </c>
      <c r="J1104" s="14">
        <v>500</v>
      </c>
      <c r="K1104" s="14" t="s">
        <v>146</v>
      </c>
      <c r="L1104" s="14" t="s">
        <v>147</v>
      </c>
      <c r="P1104" s="14" t="s">
        <v>39</v>
      </c>
      <c r="Q1104" s="14" t="s">
        <v>25</v>
      </c>
      <c r="R1104" s="14" t="s">
        <v>146</v>
      </c>
    </row>
    <row r="1105" spans="1:18" s="14" customFormat="1" x14ac:dyDescent="0.25">
      <c r="A1105" s="14" t="str">
        <f>"18020"</f>
        <v>18020</v>
      </c>
      <c r="B1105" s="14" t="str">
        <f>"01660"</f>
        <v>01660</v>
      </c>
      <c r="C1105" s="14" t="str">
        <f>"1300"</f>
        <v>1300</v>
      </c>
      <c r="D1105" s="14" t="str">
        <f>"18020"</f>
        <v>18020</v>
      </c>
      <c r="E1105" s="14" t="s">
        <v>604</v>
      </c>
      <c r="F1105" s="14" t="s">
        <v>145</v>
      </c>
      <c r="G1105" s="14" t="str">
        <f>""</f>
        <v/>
      </c>
      <c r="H1105" s="14" t="str">
        <f>" 20"</f>
        <v xml:space="preserve"> 20</v>
      </c>
      <c r="I1105" s="14">
        <v>500.01</v>
      </c>
      <c r="J1105" s="14">
        <v>9999999.9900000002</v>
      </c>
      <c r="K1105" s="14" t="s">
        <v>147</v>
      </c>
      <c r="L1105" s="14" t="s">
        <v>148</v>
      </c>
      <c r="P1105" s="14" t="s">
        <v>39</v>
      </c>
      <c r="Q1105" s="14" t="s">
        <v>25</v>
      </c>
      <c r="R1105" s="14" t="s">
        <v>146</v>
      </c>
    </row>
    <row r="1106" spans="1:18" s="14" customFormat="1" x14ac:dyDescent="0.25">
      <c r="A1106" s="14" t="str">
        <f>"18021"</f>
        <v>18021</v>
      </c>
      <c r="B1106" s="14" t="str">
        <f>"01300"</f>
        <v>01300</v>
      </c>
      <c r="C1106" s="14" t="str">
        <f>"1300"</f>
        <v>1300</v>
      </c>
      <c r="D1106" s="14" t="str">
        <f>"18021"</f>
        <v>18021</v>
      </c>
      <c r="E1106" s="14" t="s">
        <v>605</v>
      </c>
      <c r="F1106" s="14" t="s">
        <v>96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48</v>
      </c>
      <c r="L1106" s="14" t="s">
        <v>97</v>
      </c>
      <c r="M1106" s="14" t="s">
        <v>98</v>
      </c>
      <c r="P1106" s="14" t="s">
        <v>39</v>
      </c>
      <c r="Q1106" s="14" t="s">
        <v>25</v>
      </c>
      <c r="R1106" s="14" t="s">
        <v>49</v>
      </c>
    </row>
    <row r="1107" spans="1:18" s="14" customFormat="1" x14ac:dyDescent="0.25">
      <c r="A1107" s="14" t="str">
        <f>"18024"</f>
        <v>18024</v>
      </c>
      <c r="B1107" s="14" t="str">
        <f>"01660"</f>
        <v>01660</v>
      </c>
      <c r="C1107" s="14" t="str">
        <f>"1300"</f>
        <v>1300</v>
      </c>
      <c r="D1107" s="14" t="str">
        <f>"18024"</f>
        <v>18024</v>
      </c>
      <c r="E1107" s="14" t="s">
        <v>606</v>
      </c>
      <c r="F1107" s="14" t="s">
        <v>145</v>
      </c>
      <c r="G1107" s="14" t="str">
        <f>""</f>
        <v/>
      </c>
      <c r="H1107" s="14" t="str">
        <f>" 10"</f>
        <v xml:space="preserve"> 10</v>
      </c>
      <c r="I1107" s="14">
        <v>0.01</v>
      </c>
      <c r="J1107" s="14">
        <v>500</v>
      </c>
      <c r="K1107" s="14" t="s">
        <v>146</v>
      </c>
      <c r="L1107" s="14" t="s">
        <v>147</v>
      </c>
      <c r="P1107" s="14" t="s">
        <v>39</v>
      </c>
      <c r="Q1107" s="14" t="s">
        <v>25</v>
      </c>
      <c r="R1107" s="14" t="s">
        <v>146</v>
      </c>
    </row>
    <row r="1108" spans="1:18" s="14" customFormat="1" x14ac:dyDescent="0.25">
      <c r="A1108" s="14" t="str">
        <f>"18024"</f>
        <v>18024</v>
      </c>
      <c r="B1108" s="14" t="str">
        <f>"01660"</f>
        <v>01660</v>
      </c>
      <c r="C1108" s="14" t="str">
        <f>"1300"</f>
        <v>1300</v>
      </c>
      <c r="D1108" s="14" t="str">
        <f>"18024"</f>
        <v>18024</v>
      </c>
      <c r="E1108" s="14" t="s">
        <v>606</v>
      </c>
      <c r="F1108" s="14" t="s">
        <v>145</v>
      </c>
      <c r="G1108" s="14" t="str">
        <f>""</f>
        <v/>
      </c>
      <c r="H1108" s="14" t="str">
        <f>" 20"</f>
        <v xml:space="preserve"> 20</v>
      </c>
      <c r="I1108" s="14">
        <v>500.01</v>
      </c>
      <c r="J1108" s="14">
        <v>9999999.9900000002</v>
      </c>
      <c r="K1108" s="14" t="s">
        <v>147</v>
      </c>
      <c r="L1108" s="14" t="s">
        <v>148</v>
      </c>
      <c r="P1108" s="14" t="s">
        <v>39</v>
      </c>
      <c r="Q1108" s="14" t="s">
        <v>25</v>
      </c>
      <c r="R1108" s="14" t="s">
        <v>146</v>
      </c>
    </row>
    <row r="1109" spans="1:18" s="14" customFormat="1" x14ac:dyDescent="0.25">
      <c r="A1109" s="14" t="str">
        <f>"18032"</f>
        <v>18032</v>
      </c>
      <c r="B1109" s="14" t="str">
        <f>"01400"</f>
        <v>01400</v>
      </c>
      <c r="C1109" s="14" t="str">
        <f>"1300"</f>
        <v>1300</v>
      </c>
      <c r="D1109" s="14" t="str">
        <f>"18032"</f>
        <v>18032</v>
      </c>
      <c r="E1109" s="14" t="s">
        <v>607</v>
      </c>
      <c r="F1109" s="14" t="s">
        <v>117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69</v>
      </c>
      <c r="L1109" s="14" t="s">
        <v>70</v>
      </c>
      <c r="M1109" s="14" t="s">
        <v>71</v>
      </c>
      <c r="P1109" s="14" t="s">
        <v>31</v>
      </c>
      <c r="Q1109" s="14" t="s">
        <v>25</v>
      </c>
      <c r="R1109" s="14" t="s">
        <v>72</v>
      </c>
    </row>
    <row r="1110" spans="1:18" s="14" customFormat="1" x14ac:dyDescent="0.25">
      <c r="A1110" s="14" t="str">
        <f>"18038"</f>
        <v>18038</v>
      </c>
      <c r="B1110" s="14" t="str">
        <f>"03094"</f>
        <v>03094</v>
      </c>
      <c r="C1110" s="14" t="str">
        <f>"1400"</f>
        <v>1400</v>
      </c>
      <c r="D1110" s="14" t="str">
        <f>"18038"</f>
        <v>18038</v>
      </c>
      <c r="E1110" s="14" t="s">
        <v>240</v>
      </c>
      <c r="F1110" s="14" t="s">
        <v>240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241</v>
      </c>
      <c r="L1110" s="14" t="s">
        <v>231</v>
      </c>
      <c r="P1110" s="14" t="s">
        <v>31</v>
      </c>
      <c r="Q1110" s="14" t="s">
        <v>25</v>
      </c>
      <c r="R1110" s="14" t="s">
        <v>242</v>
      </c>
    </row>
    <row r="1111" spans="1:18" s="14" customFormat="1" x14ac:dyDescent="0.25">
      <c r="A1111" s="14" t="str">
        <f>"18039"</f>
        <v>18039</v>
      </c>
      <c r="B1111" s="14" t="str">
        <f>"03170"</f>
        <v>03170</v>
      </c>
      <c r="C1111" s="14" t="str">
        <f>"1400"</f>
        <v>1400</v>
      </c>
      <c r="D1111" s="14" t="str">
        <f>"18039"</f>
        <v>18039</v>
      </c>
      <c r="E1111" s="14" t="s">
        <v>608</v>
      </c>
      <c r="F1111" s="14" t="s">
        <v>251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252</v>
      </c>
      <c r="L1111" s="14" t="s">
        <v>253</v>
      </c>
      <c r="P1111" s="14" t="s">
        <v>31</v>
      </c>
      <c r="Q1111" s="14" t="s">
        <v>25</v>
      </c>
      <c r="R1111" s="14" t="s">
        <v>254</v>
      </c>
    </row>
    <row r="1112" spans="1:18" s="14" customFormat="1" x14ac:dyDescent="0.25">
      <c r="A1112" s="14" t="str">
        <f>"18041"</f>
        <v>18041</v>
      </c>
      <c r="B1112" s="14" t="str">
        <f>"03094"</f>
        <v>03094</v>
      </c>
      <c r="C1112" s="14" t="str">
        <f>"1400"</f>
        <v>1400</v>
      </c>
      <c r="D1112" s="14" t="str">
        <f>"18041"</f>
        <v>18041</v>
      </c>
      <c r="E1112" s="14" t="s">
        <v>609</v>
      </c>
      <c r="F1112" s="14" t="s">
        <v>240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241</v>
      </c>
      <c r="L1112" s="14" t="s">
        <v>231</v>
      </c>
      <c r="P1112" s="14" t="s">
        <v>31</v>
      </c>
      <c r="Q1112" s="14" t="s">
        <v>25</v>
      </c>
      <c r="R1112" s="14" t="s">
        <v>242</v>
      </c>
    </row>
    <row r="1113" spans="1:18" s="14" customFormat="1" x14ac:dyDescent="0.25">
      <c r="A1113" s="14" t="str">
        <f>"18042"</f>
        <v>18042</v>
      </c>
      <c r="B1113" s="14" t="str">
        <f>"03170"</f>
        <v>03170</v>
      </c>
      <c r="C1113" s="14" t="str">
        <f>"1400"</f>
        <v>1400</v>
      </c>
      <c r="D1113" s="14" t="str">
        <f>"18042"</f>
        <v>18042</v>
      </c>
      <c r="E1113" s="14" t="s">
        <v>610</v>
      </c>
      <c r="F1113" s="14" t="s">
        <v>251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252</v>
      </c>
      <c r="L1113" s="14" t="s">
        <v>253</v>
      </c>
      <c r="P1113" s="14" t="s">
        <v>31</v>
      </c>
      <c r="Q1113" s="14" t="s">
        <v>25</v>
      </c>
      <c r="R1113" s="14" t="s">
        <v>254</v>
      </c>
    </row>
    <row r="1114" spans="1:18" s="14" customFormat="1" x14ac:dyDescent="0.25">
      <c r="A1114" s="14" t="str">
        <f>"18044"</f>
        <v>18044</v>
      </c>
      <c r="B1114" s="14" t="str">
        <f>"04010"</f>
        <v>04010</v>
      </c>
      <c r="C1114" s="14" t="str">
        <f>"1400"</f>
        <v>1400</v>
      </c>
      <c r="D1114" s="14" t="str">
        <f>"18044"</f>
        <v>18044</v>
      </c>
      <c r="E1114" s="14" t="s">
        <v>611</v>
      </c>
      <c r="F1114" s="14" t="s">
        <v>361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30</v>
      </c>
      <c r="L1114" s="14" t="s">
        <v>42</v>
      </c>
      <c r="P1114" s="14" t="s">
        <v>24</v>
      </c>
      <c r="Q1114" s="14" t="s">
        <v>25</v>
      </c>
      <c r="R1114" s="14" t="s">
        <v>612</v>
      </c>
    </row>
    <row r="1115" spans="1:18" s="14" customFormat="1" x14ac:dyDescent="0.25">
      <c r="A1115" s="14" t="str">
        <f>"18048"</f>
        <v>18048</v>
      </c>
      <c r="B1115" s="14" t="str">
        <f>"05115"</f>
        <v>05115</v>
      </c>
      <c r="C1115" s="14" t="str">
        <f>"1700"</f>
        <v>1700</v>
      </c>
      <c r="D1115" s="14" t="str">
        <f>"18048"</f>
        <v>18048</v>
      </c>
      <c r="E1115" s="14" t="s">
        <v>613</v>
      </c>
      <c r="F1115" s="14" t="s">
        <v>393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394</v>
      </c>
      <c r="L1115" s="14" t="s">
        <v>395</v>
      </c>
      <c r="M1115" s="14" t="s">
        <v>396</v>
      </c>
      <c r="N1115" s="14" t="s">
        <v>90</v>
      </c>
      <c r="P1115" s="14" t="s">
        <v>31</v>
      </c>
      <c r="Q1115" s="14" t="s">
        <v>25</v>
      </c>
      <c r="R1115" s="14" t="s">
        <v>394</v>
      </c>
    </row>
    <row r="1116" spans="1:18" s="14" customFormat="1" x14ac:dyDescent="0.25">
      <c r="A1116" s="14" t="str">
        <f>"18049"</f>
        <v>18049</v>
      </c>
      <c r="B1116" s="14" t="str">
        <f>"01687"</f>
        <v>01687</v>
      </c>
      <c r="C1116" s="14" t="str">
        <f>"1600"</f>
        <v>1600</v>
      </c>
      <c r="D1116" s="14" t="str">
        <f>"18049"</f>
        <v>18049</v>
      </c>
      <c r="E1116" s="14" t="s">
        <v>614</v>
      </c>
      <c r="F1116" s="14" t="s">
        <v>590</v>
      </c>
      <c r="G1116" s="14" t="str">
        <f>""</f>
        <v/>
      </c>
      <c r="H1116" s="14" t="str">
        <f>" 10"</f>
        <v xml:space="preserve"> 10</v>
      </c>
      <c r="I1116" s="14">
        <v>0.01</v>
      </c>
      <c r="J1116" s="14">
        <v>500</v>
      </c>
      <c r="K1116" s="14" t="s">
        <v>146</v>
      </c>
      <c r="L1116" s="14" t="s">
        <v>147</v>
      </c>
      <c r="P1116" s="14" t="s">
        <v>39</v>
      </c>
      <c r="Q1116" s="14" t="s">
        <v>25</v>
      </c>
      <c r="R1116" s="14" t="s">
        <v>146</v>
      </c>
    </row>
    <row r="1117" spans="1:18" s="14" customFormat="1" x14ac:dyDescent="0.25">
      <c r="A1117" s="14" t="str">
        <f>"18049"</f>
        <v>18049</v>
      </c>
      <c r="B1117" s="14" t="str">
        <f>"01687"</f>
        <v>01687</v>
      </c>
      <c r="C1117" s="14" t="str">
        <f>"1600"</f>
        <v>1600</v>
      </c>
      <c r="D1117" s="14" t="str">
        <f>"18049"</f>
        <v>18049</v>
      </c>
      <c r="E1117" s="14" t="s">
        <v>614</v>
      </c>
      <c r="F1117" s="14" t="s">
        <v>590</v>
      </c>
      <c r="G1117" s="14" t="str">
        <f>""</f>
        <v/>
      </c>
      <c r="H1117" s="14" t="str">
        <f>" 20"</f>
        <v xml:space="preserve"> 20</v>
      </c>
      <c r="I1117" s="14">
        <v>500.01</v>
      </c>
      <c r="J1117" s="14">
        <v>9999999.9900000002</v>
      </c>
      <c r="K1117" s="14" t="s">
        <v>591</v>
      </c>
      <c r="L1117" s="14" t="s">
        <v>147</v>
      </c>
      <c r="P1117" s="14" t="s">
        <v>39</v>
      </c>
      <c r="Q1117" s="14" t="s">
        <v>25</v>
      </c>
      <c r="R1117" s="14" t="s">
        <v>146</v>
      </c>
    </row>
    <row r="1118" spans="1:18" s="14" customFormat="1" x14ac:dyDescent="0.25">
      <c r="A1118" s="14" t="str">
        <f>"18054"</f>
        <v>18054</v>
      </c>
      <c r="B1118" s="14" t="str">
        <f>"01662"</f>
        <v>01662</v>
      </c>
      <c r="C1118" s="14" t="str">
        <f>"1100"</f>
        <v>1100</v>
      </c>
      <c r="D1118" s="14" t="str">
        <f>"01662"</f>
        <v>01662</v>
      </c>
      <c r="E1118" s="14" t="s">
        <v>615</v>
      </c>
      <c r="F1118" s="14" t="s">
        <v>615</v>
      </c>
      <c r="G1118" s="14" t="str">
        <f>""</f>
        <v/>
      </c>
      <c r="H1118" s="14" t="str">
        <f>" 10"</f>
        <v xml:space="preserve"> 10</v>
      </c>
      <c r="I1118" s="14">
        <v>0.01</v>
      </c>
      <c r="J1118" s="14">
        <v>500</v>
      </c>
      <c r="K1118" s="14" t="s">
        <v>146</v>
      </c>
      <c r="L1118" s="14" t="s">
        <v>147</v>
      </c>
      <c r="P1118" s="14" t="s">
        <v>39</v>
      </c>
      <c r="Q1118" s="14" t="s">
        <v>25</v>
      </c>
      <c r="R1118" s="14" t="s">
        <v>146</v>
      </c>
    </row>
    <row r="1119" spans="1:18" s="14" customFormat="1" x14ac:dyDescent="0.25">
      <c r="A1119" s="14" t="str">
        <f>"18054"</f>
        <v>18054</v>
      </c>
      <c r="B1119" s="14" t="str">
        <f>"01662"</f>
        <v>01662</v>
      </c>
      <c r="C1119" s="14" t="str">
        <f>"1100"</f>
        <v>1100</v>
      </c>
      <c r="D1119" s="14" t="str">
        <f>"01662"</f>
        <v>01662</v>
      </c>
      <c r="E1119" s="14" t="s">
        <v>615</v>
      </c>
      <c r="F1119" s="14" t="s">
        <v>615</v>
      </c>
      <c r="G1119" s="14" t="str">
        <f>""</f>
        <v/>
      </c>
      <c r="H1119" s="14" t="str">
        <f>" 20"</f>
        <v xml:space="preserve"> 20</v>
      </c>
      <c r="I1119" s="14">
        <v>500.01</v>
      </c>
      <c r="J1119" s="14">
        <v>9999999.9900000002</v>
      </c>
      <c r="K1119" s="14" t="s">
        <v>591</v>
      </c>
      <c r="L1119" s="14" t="s">
        <v>147</v>
      </c>
      <c r="P1119" s="14" t="s">
        <v>39</v>
      </c>
      <c r="Q1119" s="14" t="s">
        <v>25</v>
      </c>
      <c r="R1119" s="14" t="s">
        <v>146</v>
      </c>
    </row>
    <row r="1120" spans="1:18" s="14" customFormat="1" x14ac:dyDescent="0.25">
      <c r="A1120" s="14" t="str">
        <f>"18054"</f>
        <v>18054</v>
      </c>
      <c r="B1120" s="14" t="str">
        <f>"01663"</f>
        <v>01663</v>
      </c>
      <c r="C1120" s="14" t="str">
        <f>"1100"</f>
        <v>1100</v>
      </c>
      <c r="D1120" s="14" t="str">
        <f>"01663"</f>
        <v>01663</v>
      </c>
      <c r="E1120" s="14" t="s">
        <v>615</v>
      </c>
      <c r="F1120" s="14" t="s">
        <v>616</v>
      </c>
      <c r="G1120" s="14" t="str">
        <f>""</f>
        <v/>
      </c>
      <c r="H1120" s="14" t="str">
        <f>" 10"</f>
        <v xml:space="preserve"> 10</v>
      </c>
      <c r="I1120" s="14">
        <v>0.01</v>
      </c>
      <c r="J1120" s="14">
        <v>500</v>
      </c>
      <c r="K1120" s="14" t="s">
        <v>146</v>
      </c>
      <c r="L1120" s="14" t="s">
        <v>147</v>
      </c>
      <c r="P1120" s="14" t="s">
        <v>39</v>
      </c>
      <c r="Q1120" s="14" t="s">
        <v>25</v>
      </c>
      <c r="R1120" s="14" t="s">
        <v>146</v>
      </c>
    </row>
    <row r="1121" spans="1:18" s="14" customFormat="1" x14ac:dyDescent="0.25">
      <c r="A1121" s="14" t="str">
        <f>"18054"</f>
        <v>18054</v>
      </c>
      <c r="B1121" s="14" t="str">
        <f>"01663"</f>
        <v>01663</v>
      </c>
      <c r="C1121" s="14" t="str">
        <f>"1100"</f>
        <v>1100</v>
      </c>
      <c r="D1121" s="14" t="str">
        <f>"01663"</f>
        <v>01663</v>
      </c>
      <c r="E1121" s="14" t="s">
        <v>615</v>
      </c>
      <c r="F1121" s="14" t="s">
        <v>616</v>
      </c>
      <c r="G1121" s="14" t="str">
        <f>""</f>
        <v/>
      </c>
      <c r="H1121" s="14" t="str">
        <f>" 20"</f>
        <v xml:space="preserve"> 20</v>
      </c>
      <c r="I1121" s="14">
        <v>500.01</v>
      </c>
      <c r="J1121" s="14">
        <v>9999999.9900000002</v>
      </c>
      <c r="K1121" s="14" t="s">
        <v>591</v>
      </c>
      <c r="L1121" s="14" t="s">
        <v>147</v>
      </c>
      <c r="P1121" s="14" t="s">
        <v>39</v>
      </c>
      <c r="Q1121" s="14" t="s">
        <v>25</v>
      </c>
      <c r="R1121" s="14" t="s">
        <v>146</v>
      </c>
    </row>
    <row r="1122" spans="1:18" s="14" customFormat="1" x14ac:dyDescent="0.25">
      <c r="A1122" s="14" t="str">
        <f>"18054"</f>
        <v>18054</v>
      </c>
      <c r="B1122" s="14" t="str">
        <f>"01664"</f>
        <v>01664</v>
      </c>
      <c r="C1122" s="14" t="str">
        <f>"1100"</f>
        <v>1100</v>
      </c>
      <c r="D1122" s="14" t="str">
        <f>"01664"</f>
        <v>01664</v>
      </c>
      <c r="E1122" s="14" t="s">
        <v>615</v>
      </c>
      <c r="F1122" s="14" t="s">
        <v>617</v>
      </c>
      <c r="G1122" s="14" t="str">
        <f>""</f>
        <v/>
      </c>
      <c r="H1122" s="14" t="str">
        <f>" 10"</f>
        <v xml:space="preserve"> 10</v>
      </c>
      <c r="I1122" s="14">
        <v>0.01</v>
      </c>
      <c r="J1122" s="14">
        <v>500</v>
      </c>
      <c r="K1122" s="14" t="s">
        <v>146</v>
      </c>
      <c r="L1122" s="14" t="s">
        <v>147</v>
      </c>
      <c r="P1122" s="14" t="s">
        <v>39</v>
      </c>
      <c r="Q1122" s="14" t="s">
        <v>25</v>
      </c>
      <c r="R1122" s="14" t="s">
        <v>146</v>
      </c>
    </row>
    <row r="1123" spans="1:18" s="14" customFormat="1" x14ac:dyDescent="0.25">
      <c r="A1123" s="14" t="str">
        <f>"18054"</f>
        <v>18054</v>
      </c>
      <c r="B1123" s="14" t="str">
        <f>"01664"</f>
        <v>01664</v>
      </c>
      <c r="C1123" s="14" t="str">
        <f>"1100"</f>
        <v>1100</v>
      </c>
      <c r="D1123" s="14" t="str">
        <f>"01664"</f>
        <v>01664</v>
      </c>
      <c r="E1123" s="14" t="s">
        <v>615</v>
      </c>
      <c r="F1123" s="14" t="s">
        <v>617</v>
      </c>
      <c r="G1123" s="14" t="str">
        <f>""</f>
        <v/>
      </c>
      <c r="H1123" s="14" t="str">
        <f>" 20"</f>
        <v xml:space="preserve"> 20</v>
      </c>
      <c r="I1123" s="14">
        <v>500.01</v>
      </c>
      <c r="J1123" s="14">
        <v>9999999.9900000002</v>
      </c>
      <c r="K1123" s="14" t="s">
        <v>591</v>
      </c>
      <c r="L1123" s="14" t="s">
        <v>147</v>
      </c>
      <c r="P1123" s="14" t="s">
        <v>39</v>
      </c>
      <c r="Q1123" s="14" t="s">
        <v>25</v>
      </c>
      <c r="R1123" s="14" t="s">
        <v>146</v>
      </c>
    </row>
    <row r="1124" spans="1:18" s="14" customFormat="1" x14ac:dyDescent="0.25">
      <c r="A1124" s="14" t="str">
        <f>"18054"</f>
        <v>18054</v>
      </c>
      <c r="B1124" s="14" t="str">
        <f>"01665"</f>
        <v>01665</v>
      </c>
      <c r="C1124" s="14" t="str">
        <f>"1100"</f>
        <v>1100</v>
      </c>
      <c r="D1124" s="14" t="str">
        <f>"01665"</f>
        <v>01665</v>
      </c>
      <c r="E1124" s="14" t="s">
        <v>615</v>
      </c>
      <c r="F1124" s="14" t="s">
        <v>618</v>
      </c>
      <c r="G1124" s="14" t="str">
        <f>""</f>
        <v/>
      </c>
      <c r="H1124" s="14" t="str">
        <f>" 10"</f>
        <v xml:space="preserve"> 10</v>
      </c>
      <c r="I1124" s="14">
        <v>0.01</v>
      </c>
      <c r="J1124" s="14">
        <v>500</v>
      </c>
      <c r="K1124" s="14" t="s">
        <v>146</v>
      </c>
      <c r="L1124" s="14" t="s">
        <v>147</v>
      </c>
      <c r="P1124" s="14" t="s">
        <v>39</v>
      </c>
      <c r="Q1124" s="14" t="s">
        <v>25</v>
      </c>
      <c r="R1124" s="14" t="s">
        <v>146</v>
      </c>
    </row>
    <row r="1125" spans="1:18" s="14" customFormat="1" x14ac:dyDescent="0.25">
      <c r="A1125" s="14" t="str">
        <f>"18054"</f>
        <v>18054</v>
      </c>
      <c r="B1125" s="14" t="str">
        <f>"01665"</f>
        <v>01665</v>
      </c>
      <c r="C1125" s="14" t="str">
        <f>"1100"</f>
        <v>1100</v>
      </c>
      <c r="D1125" s="14" t="str">
        <f>"01665"</f>
        <v>01665</v>
      </c>
      <c r="E1125" s="14" t="s">
        <v>615</v>
      </c>
      <c r="F1125" s="14" t="s">
        <v>618</v>
      </c>
      <c r="G1125" s="14" t="str">
        <f>""</f>
        <v/>
      </c>
      <c r="H1125" s="14" t="str">
        <f>" 20"</f>
        <v xml:space="preserve"> 20</v>
      </c>
      <c r="I1125" s="14">
        <v>500.01</v>
      </c>
      <c r="J1125" s="14">
        <v>9999999.9900000002</v>
      </c>
      <c r="K1125" s="14" t="s">
        <v>591</v>
      </c>
      <c r="L1125" s="14" t="s">
        <v>147</v>
      </c>
      <c r="P1125" s="14" t="s">
        <v>39</v>
      </c>
      <c r="Q1125" s="14" t="s">
        <v>25</v>
      </c>
      <c r="R1125" s="14" t="s">
        <v>146</v>
      </c>
    </row>
    <row r="1126" spans="1:18" s="14" customFormat="1" x14ac:dyDescent="0.25">
      <c r="A1126" s="14" t="str">
        <f>"18054"</f>
        <v>18054</v>
      </c>
      <c r="B1126" s="14" t="str">
        <f>"01666"</f>
        <v>01666</v>
      </c>
      <c r="C1126" s="14" t="str">
        <f>"1100"</f>
        <v>1100</v>
      </c>
      <c r="D1126" s="14" t="str">
        <f>"01666"</f>
        <v>01666</v>
      </c>
      <c r="E1126" s="14" t="s">
        <v>615</v>
      </c>
      <c r="F1126" s="14" t="s">
        <v>619</v>
      </c>
      <c r="G1126" s="14" t="str">
        <f>""</f>
        <v/>
      </c>
      <c r="H1126" s="14" t="str">
        <f>" 10"</f>
        <v xml:space="preserve"> 10</v>
      </c>
      <c r="I1126" s="14">
        <v>0.01</v>
      </c>
      <c r="J1126" s="14">
        <v>500</v>
      </c>
      <c r="K1126" s="14" t="s">
        <v>146</v>
      </c>
      <c r="L1126" s="14" t="s">
        <v>147</v>
      </c>
      <c r="P1126" s="14" t="s">
        <v>39</v>
      </c>
      <c r="Q1126" s="14" t="s">
        <v>25</v>
      </c>
      <c r="R1126" s="14" t="s">
        <v>146</v>
      </c>
    </row>
    <row r="1127" spans="1:18" s="14" customFormat="1" x14ac:dyDescent="0.25">
      <c r="A1127" s="14" t="str">
        <f>"18054"</f>
        <v>18054</v>
      </c>
      <c r="B1127" s="14" t="str">
        <f>"01666"</f>
        <v>01666</v>
      </c>
      <c r="C1127" s="14" t="str">
        <f>"1100"</f>
        <v>1100</v>
      </c>
      <c r="D1127" s="14" t="str">
        <f>"01666"</f>
        <v>01666</v>
      </c>
      <c r="E1127" s="14" t="s">
        <v>615</v>
      </c>
      <c r="F1127" s="14" t="s">
        <v>619</v>
      </c>
      <c r="G1127" s="14" t="str">
        <f>""</f>
        <v/>
      </c>
      <c r="H1127" s="14" t="str">
        <f>" 20"</f>
        <v xml:space="preserve"> 20</v>
      </c>
      <c r="I1127" s="14">
        <v>500.01</v>
      </c>
      <c r="J1127" s="14">
        <v>9999999.9900000002</v>
      </c>
      <c r="K1127" s="14" t="s">
        <v>591</v>
      </c>
      <c r="L1127" s="14" t="s">
        <v>147</v>
      </c>
      <c r="P1127" s="14" t="s">
        <v>39</v>
      </c>
      <c r="Q1127" s="14" t="s">
        <v>25</v>
      </c>
      <c r="R1127" s="14" t="s">
        <v>146</v>
      </c>
    </row>
    <row r="1128" spans="1:18" s="14" customFormat="1" x14ac:dyDescent="0.25">
      <c r="A1128" s="14" t="str">
        <f>"18054"</f>
        <v>18054</v>
      </c>
      <c r="B1128" s="14" t="str">
        <f>"01667"</f>
        <v>01667</v>
      </c>
      <c r="C1128" s="14" t="str">
        <f>"1100"</f>
        <v>1100</v>
      </c>
      <c r="D1128" s="14" t="str">
        <f>"01667"</f>
        <v>01667</v>
      </c>
      <c r="E1128" s="14" t="s">
        <v>615</v>
      </c>
      <c r="F1128" s="14" t="s">
        <v>620</v>
      </c>
      <c r="G1128" s="14" t="str">
        <f>""</f>
        <v/>
      </c>
      <c r="H1128" s="14" t="str">
        <f>" 10"</f>
        <v xml:space="preserve"> 10</v>
      </c>
      <c r="I1128" s="14">
        <v>0.01</v>
      </c>
      <c r="J1128" s="14">
        <v>500</v>
      </c>
      <c r="K1128" s="14" t="s">
        <v>146</v>
      </c>
      <c r="L1128" s="14" t="s">
        <v>147</v>
      </c>
      <c r="P1128" s="14" t="s">
        <v>39</v>
      </c>
      <c r="Q1128" s="14" t="s">
        <v>25</v>
      </c>
      <c r="R1128" s="14" t="s">
        <v>146</v>
      </c>
    </row>
    <row r="1129" spans="1:18" s="14" customFormat="1" x14ac:dyDescent="0.25">
      <c r="A1129" s="14" t="str">
        <f>"18054"</f>
        <v>18054</v>
      </c>
      <c r="B1129" s="14" t="str">
        <f>"01667"</f>
        <v>01667</v>
      </c>
      <c r="C1129" s="14" t="str">
        <f>"1100"</f>
        <v>1100</v>
      </c>
      <c r="D1129" s="14" t="str">
        <f>"01667"</f>
        <v>01667</v>
      </c>
      <c r="E1129" s="14" t="s">
        <v>615</v>
      </c>
      <c r="F1129" s="14" t="s">
        <v>620</v>
      </c>
      <c r="G1129" s="14" t="str">
        <f>""</f>
        <v/>
      </c>
      <c r="H1129" s="14" t="str">
        <f>" 20"</f>
        <v xml:space="preserve"> 20</v>
      </c>
      <c r="I1129" s="14">
        <v>500.01</v>
      </c>
      <c r="J1129" s="14">
        <v>9999999.9900000002</v>
      </c>
      <c r="K1129" s="14" t="s">
        <v>591</v>
      </c>
      <c r="L1129" s="14" t="s">
        <v>147</v>
      </c>
      <c r="P1129" s="14" t="s">
        <v>39</v>
      </c>
      <c r="Q1129" s="14" t="s">
        <v>25</v>
      </c>
      <c r="R1129" s="14" t="s">
        <v>146</v>
      </c>
    </row>
    <row r="1130" spans="1:18" s="14" customFormat="1" x14ac:dyDescent="0.25">
      <c r="A1130" s="14" t="str">
        <f>"18054"</f>
        <v>18054</v>
      </c>
      <c r="B1130" s="14" t="str">
        <f>"01668"</f>
        <v>01668</v>
      </c>
      <c r="C1130" s="14" t="str">
        <f>"1100"</f>
        <v>1100</v>
      </c>
      <c r="D1130" s="14" t="str">
        <f>"01668"</f>
        <v>01668</v>
      </c>
      <c r="E1130" s="14" t="s">
        <v>615</v>
      </c>
      <c r="F1130" s="14" t="s">
        <v>621</v>
      </c>
      <c r="G1130" s="14" t="str">
        <f>""</f>
        <v/>
      </c>
      <c r="H1130" s="14" t="str">
        <f>" 10"</f>
        <v xml:space="preserve"> 10</v>
      </c>
      <c r="I1130" s="14">
        <v>0.01</v>
      </c>
      <c r="J1130" s="14">
        <v>500</v>
      </c>
      <c r="K1130" s="14" t="s">
        <v>146</v>
      </c>
      <c r="L1130" s="14" t="s">
        <v>147</v>
      </c>
      <c r="P1130" s="14" t="s">
        <v>39</v>
      </c>
      <c r="Q1130" s="14" t="s">
        <v>25</v>
      </c>
      <c r="R1130" s="14" t="s">
        <v>146</v>
      </c>
    </row>
    <row r="1131" spans="1:18" s="14" customFormat="1" x14ac:dyDescent="0.25">
      <c r="A1131" s="14" t="str">
        <f>"18054"</f>
        <v>18054</v>
      </c>
      <c r="B1131" s="14" t="str">
        <f>"01668"</f>
        <v>01668</v>
      </c>
      <c r="C1131" s="14" t="str">
        <f>"1100"</f>
        <v>1100</v>
      </c>
      <c r="D1131" s="14" t="str">
        <f>"01668"</f>
        <v>01668</v>
      </c>
      <c r="E1131" s="14" t="s">
        <v>615</v>
      </c>
      <c r="F1131" s="14" t="s">
        <v>621</v>
      </c>
      <c r="G1131" s="14" t="str">
        <f>""</f>
        <v/>
      </c>
      <c r="H1131" s="14" t="str">
        <f>" 20"</f>
        <v xml:space="preserve"> 20</v>
      </c>
      <c r="I1131" s="14">
        <v>500.01</v>
      </c>
      <c r="J1131" s="14">
        <v>9999999.9900000002</v>
      </c>
      <c r="K1131" s="14" t="s">
        <v>591</v>
      </c>
      <c r="L1131" s="14" t="s">
        <v>147</v>
      </c>
      <c r="P1131" s="14" t="s">
        <v>39</v>
      </c>
      <c r="Q1131" s="14" t="s">
        <v>25</v>
      </c>
      <c r="R1131" s="14" t="s">
        <v>146</v>
      </c>
    </row>
    <row r="1132" spans="1:18" s="14" customFormat="1" x14ac:dyDescent="0.25">
      <c r="A1132" s="14" t="str">
        <f>"18054"</f>
        <v>18054</v>
      </c>
      <c r="B1132" s="14" t="str">
        <f>"01669"</f>
        <v>01669</v>
      </c>
      <c r="C1132" s="14" t="str">
        <f>"1100"</f>
        <v>1100</v>
      </c>
      <c r="D1132" s="14" t="str">
        <f>"01669"</f>
        <v>01669</v>
      </c>
      <c r="E1132" s="14" t="s">
        <v>615</v>
      </c>
      <c r="F1132" s="14" t="s">
        <v>622</v>
      </c>
      <c r="G1132" s="14" t="str">
        <f>""</f>
        <v/>
      </c>
      <c r="H1132" s="14" t="str">
        <f>" 10"</f>
        <v xml:space="preserve"> 10</v>
      </c>
      <c r="I1132" s="14">
        <v>0.01</v>
      </c>
      <c r="J1132" s="14">
        <v>500</v>
      </c>
      <c r="K1132" s="14" t="s">
        <v>146</v>
      </c>
      <c r="L1132" s="14" t="s">
        <v>147</v>
      </c>
      <c r="P1132" s="14" t="s">
        <v>39</v>
      </c>
      <c r="Q1132" s="14" t="s">
        <v>25</v>
      </c>
      <c r="R1132" s="14" t="s">
        <v>146</v>
      </c>
    </row>
    <row r="1133" spans="1:18" s="14" customFormat="1" x14ac:dyDescent="0.25">
      <c r="A1133" s="14" t="str">
        <f>"18054"</f>
        <v>18054</v>
      </c>
      <c r="B1133" s="14" t="str">
        <f>"01669"</f>
        <v>01669</v>
      </c>
      <c r="C1133" s="14" t="str">
        <f>"1100"</f>
        <v>1100</v>
      </c>
      <c r="D1133" s="14" t="str">
        <f>"01669"</f>
        <v>01669</v>
      </c>
      <c r="E1133" s="14" t="s">
        <v>615</v>
      </c>
      <c r="F1133" s="14" t="s">
        <v>622</v>
      </c>
      <c r="G1133" s="14" t="str">
        <f>""</f>
        <v/>
      </c>
      <c r="H1133" s="14" t="str">
        <f>" 20"</f>
        <v xml:space="preserve"> 20</v>
      </c>
      <c r="I1133" s="14">
        <v>500.01</v>
      </c>
      <c r="J1133" s="14">
        <v>9999999.9900000002</v>
      </c>
      <c r="K1133" s="14" t="s">
        <v>591</v>
      </c>
      <c r="L1133" s="14" t="s">
        <v>147</v>
      </c>
      <c r="P1133" s="14" t="s">
        <v>39</v>
      </c>
      <c r="Q1133" s="14" t="s">
        <v>25</v>
      </c>
      <c r="R1133" s="14" t="s">
        <v>146</v>
      </c>
    </row>
    <row r="1134" spans="1:18" s="14" customFormat="1" x14ac:dyDescent="0.25">
      <c r="A1134" s="14" t="str">
        <f>"18054"</f>
        <v>18054</v>
      </c>
      <c r="B1134" s="14" t="str">
        <f>"01671"</f>
        <v>01671</v>
      </c>
      <c r="C1134" s="14" t="str">
        <f>"1100"</f>
        <v>1100</v>
      </c>
      <c r="D1134" s="14" t="str">
        <f>"01671"</f>
        <v>01671</v>
      </c>
      <c r="E1134" s="14" t="s">
        <v>615</v>
      </c>
      <c r="F1134" s="14" t="s">
        <v>623</v>
      </c>
      <c r="G1134" s="14" t="str">
        <f>""</f>
        <v/>
      </c>
      <c r="H1134" s="14" t="str">
        <f>" 10"</f>
        <v xml:space="preserve"> 10</v>
      </c>
      <c r="I1134" s="14">
        <v>0.01</v>
      </c>
      <c r="J1134" s="14">
        <v>500</v>
      </c>
      <c r="K1134" s="14" t="s">
        <v>146</v>
      </c>
      <c r="L1134" s="14" t="s">
        <v>147</v>
      </c>
      <c r="P1134" s="14" t="s">
        <v>39</v>
      </c>
      <c r="Q1134" s="14" t="s">
        <v>25</v>
      </c>
      <c r="R1134" s="14" t="s">
        <v>146</v>
      </c>
    </row>
    <row r="1135" spans="1:18" s="14" customFormat="1" x14ac:dyDescent="0.25">
      <c r="A1135" s="14" t="str">
        <f>"18054"</f>
        <v>18054</v>
      </c>
      <c r="B1135" s="14" t="str">
        <f>"01671"</f>
        <v>01671</v>
      </c>
      <c r="C1135" s="14" t="str">
        <f>"1100"</f>
        <v>1100</v>
      </c>
      <c r="D1135" s="14" t="str">
        <f>"01671"</f>
        <v>01671</v>
      </c>
      <c r="E1135" s="14" t="s">
        <v>615</v>
      </c>
      <c r="F1135" s="14" t="s">
        <v>623</v>
      </c>
      <c r="G1135" s="14" t="str">
        <f>""</f>
        <v/>
      </c>
      <c r="H1135" s="14" t="str">
        <f>" 20"</f>
        <v xml:space="preserve"> 20</v>
      </c>
      <c r="I1135" s="14">
        <v>500.01</v>
      </c>
      <c r="J1135" s="14">
        <v>9999999.9900000002</v>
      </c>
      <c r="K1135" s="14" t="s">
        <v>591</v>
      </c>
      <c r="L1135" s="14" t="s">
        <v>147</v>
      </c>
      <c r="P1135" s="14" t="s">
        <v>39</v>
      </c>
      <c r="Q1135" s="14" t="s">
        <v>25</v>
      </c>
      <c r="R1135" s="14" t="s">
        <v>146</v>
      </c>
    </row>
    <row r="1136" spans="1:18" s="14" customFormat="1" x14ac:dyDescent="0.25">
      <c r="A1136" s="14" t="str">
        <f>"18054"</f>
        <v>18054</v>
      </c>
      <c r="B1136" s="14" t="str">
        <f>"01672"</f>
        <v>01672</v>
      </c>
      <c r="C1136" s="14" t="str">
        <f>"1100"</f>
        <v>1100</v>
      </c>
      <c r="D1136" s="14" t="str">
        <f>"01672"</f>
        <v>01672</v>
      </c>
      <c r="E1136" s="14" t="s">
        <v>615</v>
      </c>
      <c r="F1136" s="14" t="s">
        <v>624</v>
      </c>
      <c r="G1136" s="14" t="str">
        <f>""</f>
        <v/>
      </c>
      <c r="H1136" s="14" t="str">
        <f>" 10"</f>
        <v xml:space="preserve"> 10</v>
      </c>
      <c r="I1136" s="14">
        <v>0.01</v>
      </c>
      <c r="J1136" s="14">
        <v>500</v>
      </c>
      <c r="K1136" s="14" t="s">
        <v>146</v>
      </c>
      <c r="L1136" s="14" t="s">
        <v>147</v>
      </c>
      <c r="P1136" s="14" t="s">
        <v>39</v>
      </c>
      <c r="Q1136" s="14" t="s">
        <v>25</v>
      </c>
      <c r="R1136" s="14" t="s">
        <v>146</v>
      </c>
    </row>
    <row r="1137" spans="1:18" s="14" customFormat="1" x14ac:dyDescent="0.25">
      <c r="A1137" s="14" t="str">
        <f>"18054"</f>
        <v>18054</v>
      </c>
      <c r="B1137" s="14" t="str">
        <f>"01672"</f>
        <v>01672</v>
      </c>
      <c r="C1137" s="14" t="str">
        <f>"1100"</f>
        <v>1100</v>
      </c>
      <c r="D1137" s="14" t="str">
        <f>"01672"</f>
        <v>01672</v>
      </c>
      <c r="E1137" s="14" t="s">
        <v>615</v>
      </c>
      <c r="F1137" s="14" t="s">
        <v>624</v>
      </c>
      <c r="G1137" s="14" t="str">
        <f>""</f>
        <v/>
      </c>
      <c r="H1137" s="14" t="str">
        <f>" 20"</f>
        <v xml:space="preserve"> 20</v>
      </c>
      <c r="I1137" s="14">
        <v>500.01</v>
      </c>
      <c r="J1137" s="14">
        <v>9999999.9900000002</v>
      </c>
      <c r="K1137" s="14" t="s">
        <v>591</v>
      </c>
      <c r="L1137" s="14" t="s">
        <v>147</v>
      </c>
      <c r="P1137" s="14" t="s">
        <v>39</v>
      </c>
      <c r="Q1137" s="14" t="s">
        <v>25</v>
      </c>
      <c r="R1137" s="14" t="s">
        <v>146</v>
      </c>
    </row>
    <row r="1138" spans="1:18" s="14" customFormat="1" x14ac:dyDescent="0.25">
      <c r="A1138" s="14" t="str">
        <f>"18054"</f>
        <v>18054</v>
      </c>
      <c r="B1138" s="14" t="str">
        <f>"01674"</f>
        <v>01674</v>
      </c>
      <c r="C1138" s="14" t="str">
        <f>"1100"</f>
        <v>1100</v>
      </c>
      <c r="D1138" s="14" t="str">
        <f>"01674"</f>
        <v>01674</v>
      </c>
      <c r="E1138" s="14" t="s">
        <v>615</v>
      </c>
      <c r="F1138" s="14" t="s">
        <v>625</v>
      </c>
      <c r="G1138" s="14" t="str">
        <f>""</f>
        <v/>
      </c>
      <c r="H1138" s="14" t="str">
        <f>" 10"</f>
        <v xml:space="preserve"> 10</v>
      </c>
      <c r="I1138" s="14">
        <v>0.01</v>
      </c>
      <c r="J1138" s="14">
        <v>500</v>
      </c>
      <c r="K1138" s="14" t="s">
        <v>146</v>
      </c>
      <c r="L1138" s="14" t="s">
        <v>147</v>
      </c>
      <c r="P1138" s="14" t="s">
        <v>39</v>
      </c>
      <c r="Q1138" s="14" t="s">
        <v>25</v>
      </c>
      <c r="R1138" s="14" t="s">
        <v>146</v>
      </c>
    </row>
    <row r="1139" spans="1:18" s="14" customFormat="1" x14ac:dyDescent="0.25">
      <c r="A1139" s="14" t="str">
        <f>"18054"</f>
        <v>18054</v>
      </c>
      <c r="B1139" s="14" t="str">
        <f>"01674"</f>
        <v>01674</v>
      </c>
      <c r="C1139" s="14" t="str">
        <f>"1100"</f>
        <v>1100</v>
      </c>
      <c r="D1139" s="14" t="str">
        <f>"01674"</f>
        <v>01674</v>
      </c>
      <c r="E1139" s="14" t="s">
        <v>615</v>
      </c>
      <c r="F1139" s="14" t="s">
        <v>625</v>
      </c>
      <c r="G1139" s="14" t="str">
        <f>""</f>
        <v/>
      </c>
      <c r="H1139" s="14" t="str">
        <f>" 20"</f>
        <v xml:space="preserve"> 20</v>
      </c>
      <c r="I1139" s="14">
        <v>500.01</v>
      </c>
      <c r="J1139" s="14">
        <v>9999999.9900000002</v>
      </c>
      <c r="K1139" s="14" t="s">
        <v>591</v>
      </c>
      <c r="L1139" s="14" t="s">
        <v>147</v>
      </c>
      <c r="P1139" s="14" t="s">
        <v>39</v>
      </c>
      <c r="Q1139" s="14" t="s">
        <v>25</v>
      </c>
      <c r="R1139" s="14" t="s">
        <v>146</v>
      </c>
    </row>
    <row r="1140" spans="1:18" s="14" customFormat="1" x14ac:dyDescent="0.25">
      <c r="A1140" s="14" t="str">
        <f>"18054"</f>
        <v>18054</v>
      </c>
      <c r="B1140" s="14" t="str">
        <f>"01675"</f>
        <v>01675</v>
      </c>
      <c r="C1140" s="14" t="str">
        <f>"1100"</f>
        <v>1100</v>
      </c>
      <c r="D1140" s="14" t="str">
        <f>"01675"</f>
        <v>01675</v>
      </c>
      <c r="E1140" s="14" t="s">
        <v>615</v>
      </c>
      <c r="F1140" s="14" t="s">
        <v>626</v>
      </c>
      <c r="G1140" s="14" t="str">
        <f>""</f>
        <v/>
      </c>
      <c r="H1140" s="14" t="str">
        <f>" 10"</f>
        <v xml:space="preserve"> 10</v>
      </c>
      <c r="I1140" s="14">
        <v>0.01</v>
      </c>
      <c r="J1140" s="14">
        <v>500</v>
      </c>
      <c r="K1140" s="14" t="s">
        <v>146</v>
      </c>
      <c r="L1140" s="14" t="s">
        <v>147</v>
      </c>
      <c r="P1140" s="14" t="s">
        <v>39</v>
      </c>
      <c r="Q1140" s="14" t="s">
        <v>25</v>
      </c>
      <c r="R1140" s="14" t="s">
        <v>146</v>
      </c>
    </row>
    <row r="1141" spans="1:18" s="14" customFormat="1" x14ac:dyDescent="0.25">
      <c r="A1141" s="14" t="str">
        <f>"18054"</f>
        <v>18054</v>
      </c>
      <c r="B1141" s="14" t="str">
        <f>"01675"</f>
        <v>01675</v>
      </c>
      <c r="C1141" s="14" t="str">
        <f>"1100"</f>
        <v>1100</v>
      </c>
      <c r="D1141" s="14" t="str">
        <f>"01675"</f>
        <v>01675</v>
      </c>
      <c r="E1141" s="14" t="s">
        <v>615</v>
      </c>
      <c r="F1141" s="14" t="s">
        <v>626</v>
      </c>
      <c r="G1141" s="14" t="str">
        <f>""</f>
        <v/>
      </c>
      <c r="H1141" s="14" t="str">
        <f>" 20"</f>
        <v xml:space="preserve"> 20</v>
      </c>
      <c r="I1141" s="14">
        <v>500.01</v>
      </c>
      <c r="J1141" s="14">
        <v>9999999.9900000002</v>
      </c>
      <c r="K1141" s="14" t="s">
        <v>591</v>
      </c>
      <c r="L1141" s="14" t="s">
        <v>147</v>
      </c>
      <c r="P1141" s="14" t="s">
        <v>39</v>
      </c>
      <c r="Q1141" s="14" t="s">
        <v>25</v>
      </c>
      <c r="R1141" s="14" t="s">
        <v>146</v>
      </c>
    </row>
    <row r="1142" spans="1:18" s="14" customFormat="1" x14ac:dyDescent="0.25">
      <c r="A1142" s="14" t="str">
        <f>"18054"</f>
        <v>18054</v>
      </c>
      <c r="B1142" s="14" t="str">
        <f>"01676"</f>
        <v>01676</v>
      </c>
      <c r="C1142" s="14" t="str">
        <f>"1100"</f>
        <v>1100</v>
      </c>
      <c r="D1142" s="14" t="str">
        <f>"01676"</f>
        <v>01676</v>
      </c>
      <c r="E1142" s="14" t="s">
        <v>615</v>
      </c>
      <c r="F1142" s="14" t="s">
        <v>627</v>
      </c>
      <c r="G1142" s="14" t="str">
        <f>""</f>
        <v/>
      </c>
      <c r="H1142" s="14" t="str">
        <f>" 10"</f>
        <v xml:space="preserve"> 10</v>
      </c>
      <c r="I1142" s="14">
        <v>0.01</v>
      </c>
      <c r="J1142" s="14">
        <v>500</v>
      </c>
      <c r="K1142" s="14" t="s">
        <v>146</v>
      </c>
      <c r="L1142" s="14" t="s">
        <v>147</v>
      </c>
      <c r="P1142" s="14" t="s">
        <v>39</v>
      </c>
      <c r="Q1142" s="14" t="s">
        <v>25</v>
      </c>
      <c r="R1142" s="14" t="s">
        <v>146</v>
      </c>
    </row>
    <row r="1143" spans="1:18" s="14" customFormat="1" x14ac:dyDescent="0.25">
      <c r="A1143" s="14" t="str">
        <f>"18054"</f>
        <v>18054</v>
      </c>
      <c r="B1143" s="14" t="str">
        <f>"01676"</f>
        <v>01676</v>
      </c>
      <c r="C1143" s="14" t="str">
        <f>"1100"</f>
        <v>1100</v>
      </c>
      <c r="D1143" s="14" t="str">
        <f>"01676"</f>
        <v>01676</v>
      </c>
      <c r="E1143" s="14" t="s">
        <v>615</v>
      </c>
      <c r="F1143" s="14" t="s">
        <v>627</v>
      </c>
      <c r="G1143" s="14" t="str">
        <f>""</f>
        <v/>
      </c>
      <c r="H1143" s="14" t="str">
        <f>" 20"</f>
        <v xml:space="preserve"> 20</v>
      </c>
      <c r="I1143" s="14">
        <v>500.01</v>
      </c>
      <c r="J1143" s="14">
        <v>9999999.9900000002</v>
      </c>
      <c r="K1143" s="14" t="s">
        <v>591</v>
      </c>
      <c r="L1143" s="14" t="s">
        <v>147</v>
      </c>
      <c r="P1143" s="14" t="s">
        <v>39</v>
      </c>
      <c r="Q1143" s="14" t="s">
        <v>25</v>
      </c>
      <c r="R1143" s="14" t="s">
        <v>146</v>
      </c>
    </row>
    <row r="1144" spans="1:18" s="14" customFormat="1" x14ac:dyDescent="0.25">
      <c r="A1144" s="14" t="str">
        <f>"18054"</f>
        <v>18054</v>
      </c>
      <c r="B1144" s="14" t="str">
        <f>"01678"</f>
        <v>01678</v>
      </c>
      <c r="C1144" s="14" t="str">
        <f>"1100"</f>
        <v>1100</v>
      </c>
      <c r="D1144" s="14" t="str">
        <f>"01678"</f>
        <v>01678</v>
      </c>
      <c r="E1144" s="14" t="s">
        <v>615</v>
      </c>
      <c r="F1144" s="14" t="s">
        <v>628</v>
      </c>
      <c r="G1144" s="14" t="str">
        <f>""</f>
        <v/>
      </c>
      <c r="H1144" s="14" t="str">
        <f>" 10"</f>
        <v xml:space="preserve"> 10</v>
      </c>
      <c r="I1144" s="14">
        <v>0.01</v>
      </c>
      <c r="J1144" s="14">
        <v>500</v>
      </c>
      <c r="K1144" s="14" t="s">
        <v>146</v>
      </c>
      <c r="L1144" s="14" t="s">
        <v>147</v>
      </c>
      <c r="P1144" s="14" t="s">
        <v>39</v>
      </c>
      <c r="Q1144" s="14" t="s">
        <v>25</v>
      </c>
      <c r="R1144" s="14" t="s">
        <v>146</v>
      </c>
    </row>
    <row r="1145" spans="1:18" s="14" customFormat="1" x14ac:dyDescent="0.25">
      <c r="A1145" s="14" t="str">
        <f>"18054"</f>
        <v>18054</v>
      </c>
      <c r="B1145" s="14" t="str">
        <f>"01678"</f>
        <v>01678</v>
      </c>
      <c r="C1145" s="14" t="str">
        <f>"1100"</f>
        <v>1100</v>
      </c>
      <c r="D1145" s="14" t="str">
        <f>"01678"</f>
        <v>01678</v>
      </c>
      <c r="E1145" s="14" t="s">
        <v>615</v>
      </c>
      <c r="F1145" s="14" t="s">
        <v>628</v>
      </c>
      <c r="G1145" s="14" t="str">
        <f>""</f>
        <v/>
      </c>
      <c r="H1145" s="14" t="str">
        <f>" 20"</f>
        <v xml:space="preserve"> 20</v>
      </c>
      <c r="I1145" s="14">
        <v>500.01</v>
      </c>
      <c r="J1145" s="14">
        <v>9999999.9900000002</v>
      </c>
      <c r="K1145" s="14" t="s">
        <v>591</v>
      </c>
      <c r="L1145" s="14" t="s">
        <v>147</v>
      </c>
      <c r="P1145" s="14" t="s">
        <v>39</v>
      </c>
      <c r="Q1145" s="14" t="s">
        <v>25</v>
      </c>
      <c r="R1145" s="14" t="s">
        <v>146</v>
      </c>
    </row>
    <row r="1146" spans="1:18" s="14" customFormat="1" x14ac:dyDescent="0.25">
      <c r="A1146" s="14" t="str">
        <f>"18054"</f>
        <v>18054</v>
      </c>
      <c r="B1146" s="14" t="str">
        <f>"01679"</f>
        <v>01679</v>
      </c>
      <c r="C1146" s="14" t="str">
        <f>"1100"</f>
        <v>1100</v>
      </c>
      <c r="D1146" s="14" t="str">
        <f>"01679"</f>
        <v>01679</v>
      </c>
      <c r="E1146" s="14" t="s">
        <v>615</v>
      </c>
      <c r="F1146" s="14" t="s">
        <v>629</v>
      </c>
      <c r="G1146" s="14" t="str">
        <f>""</f>
        <v/>
      </c>
      <c r="H1146" s="14" t="str">
        <f>" 10"</f>
        <v xml:space="preserve"> 10</v>
      </c>
      <c r="I1146" s="14">
        <v>0.01</v>
      </c>
      <c r="J1146" s="14">
        <v>500</v>
      </c>
      <c r="K1146" s="14" t="s">
        <v>146</v>
      </c>
      <c r="L1146" s="14" t="s">
        <v>147</v>
      </c>
      <c r="P1146" s="14" t="s">
        <v>39</v>
      </c>
      <c r="Q1146" s="14" t="s">
        <v>25</v>
      </c>
      <c r="R1146" s="14" t="s">
        <v>146</v>
      </c>
    </row>
    <row r="1147" spans="1:18" s="14" customFormat="1" x14ac:dyDescent="0.25">
      <c r="A1147" s="14" t="str">
        <f>"18054"</f>
        <v>18054</v>
      </c>
      <c r="B1147" s="14" t="str">
        <f>"01679"</f>
        <v>01679</v>
      </c>
      <c r="C1147" s="14" t="str">
        <f>"1100"</f>
        <v>1100</v>
      </c>
      <c r="D1147" s="14" t="str">
        <f>"01679"</f>
        <v>01679</v>
      </c>
      <c r="E1147" s="14" t="s">
        <v>615</v>
      </c>
      <c r="F1147" s="14" t="s">
        <v>629</v>
      </c>
      <c r="G1147" s="14" t="str">
        <f>""</f>
        <v/>
      </c>
      <c r="H1147" s="14" t="str">
        <f>" 20"</f>
        <v xml:space="preserve"> 20</v>
      </c>
      <c r="I1147" s="14">
        <v>500.01</v>
      </c>
      <c r="J1147" s="14">
        <v>9999999.9900000002</v>
      </c>
      <c r="K1147" s="14" t="s">
        <v>591</v>
      </c>
      <c r="L1147" s="14" t="s">
        <v>147</v>
      </c>
      <c r="P1147" s="14" t="s">
        <v>39</v>
      </c>
      <c r="Q1147" s="14" t="s">
        <v>25</v>
      </c>
      <c r="R1147" s="14" t="s">
        <v>146</v>
      </c>
    </row>
    <row r="1148" spans="1:18" s="14" customFormat="1" x14ac:dyDescent="0.25">
      <c r="A1148" s="14" t="str">
        <f>"18054"</f>
        <v>18054</v>
      </c>
      <c r="B1148" s="14" t="str">
        <f>"01681"</f>
        <v>01681</v>
      </c>
      <c r="C1148" s="14" t="str">
        <f>"1100"</f>
        <v>1100</v>
      </c>
      <c r="D1148" s="14" t="str">
        <f>"01681"</f>
        <v>01681</v>
      </c>
      <c r="E1148" s="14" t="s">
        <v>615</v>
      </c>
      <c r="F1148" s="14" t="s">
        <v>630</v>
      </c>
      <c r="G1148" s="14" t="str">
        <f>""</f>
        <v/>
      </c>
      <c r="H1148" s="14" t="str">
        <f>" 10"</f>
        <v xml:space="preserve"> 10</v>
      </c>
      <c r="I1148" s="14">
        <v>0.01</v>
      </c>
      <c r="J1148" s="14">
        <v>500</v>
      </c>
      <c r="K1148" s="14" t="s">
        <v>146</v>
      </c>
      <c r="L1148" s="14" t="s">
        <v>147</v>
      </c>
      <c r="P1148" s="14" t="s">
        <v>39</v>
      </c>
      <c r="Q1148" s="14" t="s">
        <v>25</v>
      </c>
      <c r="R1148" s="14" t="s">
        <v>146</v>
      </c>
    </row>
    <row r="1149" spans="1:18" s="14" customFormat="1" x14ac:dyDescent="0.25">
      <c r="A1149" s="14" t="str">
        <f>"18054"</f>
        <v>18054</v>
      </c>
      <c r="B1149" s="14" t="str">
        <f>"01681"</f>
        <v>01681</v>
      </c>
      <c r="C1149" s="14" t="str">
        <f>"1100"</f>
        <v>1100</v>
      </c>
      <c r="D1149" s="14" t="str">
        <f>"01681"</f>
        <v>01681</v>
      </c>
      <c r="E1149" s="14" t="s">
        <v>615</v>
      </c>
      <c r="F1149" s="14" t="s">
        <v>630</v>
      </c>
      <c r="G1149" s="14" t="str">
        <f>""</f>
        <v/>
      </c>
      <c r="H1149" s="14" t="str">
        <f>" 20"</f>
        <v xml:space="preserve"> 20</v>
      </c>
      <c r="I1149" s="14">
        <v>500.01</v>
      </c>
      <c r="J1149" s="14">
        <v>9999999.9900000002</v>
      </c>
      <c r="K1149" s="14" t="s">
        <v>591</v>
      </c>
      <c r="L1149" s="14" t="s">
        <v>147</v>
      </c>
      <c r="P1149" s="14" t="s">
        <v>39</v>
      </c>
      <c r="Q1149" s="14" t="s">
        <v>25</v>
      </c>
      <c r="R1149" s="14" t="s">
        <v>146</v>
      </c>
    </row>
    <row r="1150" spans="1:18" s="14" customFormat="1" x14ac:dyDescent="0.25">
      <c r="A1150" s="14" t="str">
        <f>"18054"</f>
        <v>18054</v>
      </c>
      <c r="B1150" s="14" t="str">
        <f>"01683"</f>
        <v>01683</v>
      </c>
      <c r="C1150" s="14" t="str">
        <f>"1100"</f>
        <v>1100</v>
      </c>
      <c r="D1150" s="14" t="str">
        <f>"01683"</f>
        <v>01683</v>
      </c>
      <c r="E1150" s="14" t="s">
        <v>615</v>
      </c>
      <c r="F1150" s="14" t="s">
        <v>631</v>
      </c>
      <c r="G1150" s="14" t="str">
        <f>""</f>
        <v/>
      </c>
      <c r="H1150" s="14" t="str">
        <f>" 10"</f>
        <v xml:space="preserve"> 10</v>
      </c>
      <c r="I1150" s="14">
        <v>0.01</v>
      </c>
      <c r="J1150" s="14">
        <v>500</v>
      </c>
      <c r="K1150" s="14" t="s">
        <v>146</v>
      </c>
      <c r="L1150" s="14" t="s">
        <v>147</v>
      </c>
      <c r="P1150" s="14" t="s">
        <v>39</v>
      </c>
      <c r="Q1150" s="14" t="s">
        <v>25</v>
      </c>
      <c r="R1150" s="14" t="s">
        <v>146</v>
      </c>
    </row>
    <row r="1151" spans="1:18" s="14" customFormat="1" x14ac:dyDescent="0.25">
      <c r="A1151" s="14" t="str">
        <f>"18054"</f>
        <v>18054</v>
      </c>
      <c r="B1151" s="14" t="str">
        <f>"01683"</f>
        <v>01683</v>
      </c>
      <c r="C1151" s="14" t="str">
        <f>"1100"</f>
        <v>1100</v>
      </c>
      <c r="D1151" s="14" t="str">
        <f>"01683"</f>
        <v>01683</v>
      </c>
      <c r="E1151" s="14" t="s">
        <v>615</v>
      </c>
      <c r="F1151" s="14" t="s">
        <v>631</v>
      </c>
      <c r="G1151" s="14" t="str">
        <f>""</f>
        <v/>
      </c>
      <c r="H1151" s="14" t="str">
        <f>" 20"</f>
        <v xml:space="preserve"> 20</v>
      </c>
      <c r="I1151" s="14">
        <v>500.01</v>
      </c>
      <c r="J1151" s="14">
        <v>9999999.9900000002</v>
      </c>
      <c r="K1151" s="14" t="s">
        <v>591</v>
      </c>
      <c r="L1151" s="14" t="s">
        <v>147</v>
      </c>
      <c r="P1151" s="14" t="s">
        <v>39</v>
      </c>
      <c r="Q1151" s="14" t="s">
        <v>25</v>
      </c>
      <c r="R1151" s="14" t="s">
        <v>146</v>
      </c>
    </row>
    <row r="1152" spans="1:18" s="14" customFormat="1" x14ac:dyDescent="0.25">
      <c r="A1152" s="14" t="str">
        <f>"18054"</f>
        <v>18054</v>
      </c>
      <c r="B1152" s="14" t="str">
        <f>"01684"</f>
        <v>01684</v>
      </c>
      <c r="C1152" s="14" t="str">
        <f>"1100"</f>
        <v>1100</v>
      </c>
      <c r="D1152" s="14" t="str">
        <f>"01684"</f>
        <v>01684</v>
      </c>
      <c r="E1152" s="14" t="s">
        <v>615</v>
      </c>
      <c r="F1152" s="14" t="s">
        <v>632</v>
      </c>
      <c r="G1152" s="14" t="str">
        <f>""</f>
        <v/>
      </c>
      <c r="H1152" s="14" t="str">
        <f>" 10"</f>
        <v xml:space="preserve"> 10</v>
      </c>
      <c r="I1152" s="14">
        <v>0.01</v>
      </c>
      <c r="J1152" s="14">
        <v>500</v>
      </c>
      <c r="K1152" s="14" t="s">
        <v>146</v>
      </c>
      <c r="L1152" s="14" t="s">
        <v>147</v>
      </c>
      <c r="P1152" s="14" t="s">
        <v>39</v>
      </c>
      <c r="Q1152" s="14" t="s">
        <v>25</v>
      </c>
      <c r="R1152" s="14" t="s">
        <v>146</v>
      </c>
    </row>
    <row r="1153" spans="1:18" s="14" customFormat="1" x14ac:dyDescent="0.25">
      <c r="A1153" s="14" t="str">
        <f>"18054"</f>
        <v>18054</v>
      </c>
      <c r="B1153" s="14" t="str">
        <f>"01684"</f>
        <v>01684</v>
      </c>
      <c r="C1153" s="14" t="str">
        <f>"1100"</f>
        <v>1100</v>
      </c>
      <c r="D1153" s="14" t="str">
        <f>"01684"</f>
        <v>01684</v>
      </c>
      <c r="E1153" s="14" t="s">
        <v>615</v>
      </c>
      <c r="F1153" s="14" t="s">
        <v>632</v>
      </c>
      <c r="G1153" s="14" t="str">
        <f>""</f>
        <v/>
      </c>
      <c r="H1153" s="14" t="str">
        <f>" 20"</f>
        <v xml:space="preserve"> 20</v>
      </c>
      <c r="I1153" s="14">
        <v>500.01</v>
      </c>
      <c r="J1153" s="14">
        <v>9999999.9900000002</v>
      </c>
      <c r="K1153" s="14" t="s">
        <v>591</v>
      </c>
      <c r="L1153" s="14" t="s">
        <v>147</v>
      </c>
      <c r="P1153" s="14" t="s">
        <v>39</v>
      </c>
      <c r="Q1153" s="14" t="s">
        <v>25</v>
      </c>
      <c r="R1153" s="14" t="s">
        <v>146</v>
      </c>
    </row>
    <row r="1154" spans="1:18" s="14" customFormat="1" x14ac:dyDescent="0.25">
      <c r="A1154" s="14" t="str">
        <f>"18054"</f>
        <v>18054</v>
      </c>
      <c r="B1154" s="14" t="str">
        <f>"01685"</f>
        <v>01685</v>
      </c>
      <c r="C1154" s="14" t="str">
        <f>"1100"</f>
        <v>1100</v>
      </c>
      <c r="D1154" s="14" t="str">
        <f>"01685"</f>
        <v>01685</v>
      </c>
      <c r="E1154" s="14" t="s">
        <v>615</v>
      </c>
      <c r="F1154" s="14" t="s">
        <v>633</v>
      </c>
      <c r="G1154" s="14" t="str">
        <f>""</f>
        <v/>
      </c>
      <c r="H1154" s="14" t="str">
        <f>" 10"</f>
        <v xml:space="preserve"> 10</v>
      </c>
      <c r="I1154" s="14">
        <v>0.01</v>
      </c>
      <c r="J1154" s="14">
        <v>500</v>
      </c>
      <c r="K1154" s="14" t="s">
        <v>146</v>
      </c>
      <c r="L1154" s="14" t="s">
        <v>147</v>
      </c>
      <c r="P1154" s="14" t="s">
        <v>39</v>
      </c>
      <c r="Q1154" s="14" t="s">
        <v>25</v>
      </c>
      <c r="R1154" s="14" t="s">
        <v>146</v>
      </c>
    </row>
    <row r="1155" spans="1:18" s="14" customFormat="1" x14ac:dyDescent="0.25">
      <c r="A1155" s="14" t="str">
        <f>"18054"</f>
        <v>18054</v>
      </c>
      <c r="B1155" s="14" t="str">
        <f>"01685"</f>
        <v>01685</v>
      </c>
      <c r="C1155" s="14" t="str">
        <f>"1100"</f>
        <v>1100</v>
      </c>
      <c r="D1155" s="14" t="str">
        <f>"01685"</f>
        <v>01685</v>
      </c>
      <c r="E1155" s="14" t="s">
        <v>615</v>
      </c>
      <c r="F1155" s="14" t="s">
        <v>633</v>
      </c>
      <c r="G1155" s="14" t="str">
        <f>""</f>
        <v/>
      </c>
      <c r="H1155" s="14" t="str">
        <f>" 20"</f>
        <v xml:space="preserve"> 20</v>
      </c>
      <c r="I1155" s="14">
        <v>500.01</v>
      </c>
      <c r="J1155" s="14">
        <v>9999999.9900000002</v>
      </c>
      <c r="K1155" s="14" t="s">
        <v>591</v>
      </c>
      <c r="L1155" s="14" t="s">
        <v>147</v>
      </c>
      <c r="P1155" s="14" t="s">
        <v>39</v>
      </c>
      <c r="Q1155" s="14" t="s">
        <v>25</v>
      </c>
      <c r="R1155" s="14" t="s">
        <v>146</v>
      </c>
    </row>
    <row r="1156" spans="1:18" s="14" customFormat="1" x14ac:dyDescent="0.25">
      <c r="A1156" s="14" t="str">
        <f>"18054"</f>
        <v>18054</v>
      </c>
      <c r="B1156" s="14" t="str">
        <f>"01688"</f>
        <v>01688</v>
      </c>
      <c r="C1156" s="14" t="str">
        <f>"1100"</f>
        <v>1100</v>
      </c>
      <c r="D1156" s="14" t="str">
        <f>"01688"</f>
        <v>01688</v>
      </c>
      <c r="E1156" s="14" t="s">
        <v>615</v>
      </c>
      <c r="F1156" s="14" t="s">
        <v>634</v>
      </c>
      <c r="G1156" s="14" t="str">
        <f>""</f>
        <v/>
      </c>
      <c r="H1156" s="14" t="str">
        <f>" 10"</f>
        <v xml:space="preserve"> 10</v>
      </c>
      <c r="I1156" s="14">
        <v>0.01</v>
      </c>
      <c r="J1156" s="14">
        <v>500</v>
      </c>
      <c r="K1156" s="14" t="s">
        <v>146</v>
      </c>
      <c r="L1156" s="14" t="s">
        <v>147</v>
      </c>
      <c r="P1156" s="14" t="s">
        <v>39</v>
      </c>
      <c r="Q1156" s="14" t="s">
        <v>25</v>
      </c>
      <c r="R1156" s="14" t="s">
        <v>146</v>
      </c>
    </row>
    <row r="1157" spans="1:18" s="14" customFormat="1" x14ac:dyDescent="0.25">
      <c r="A1157" s="14" t="str">
        <f>"18054"</f>
        <v>18054</v>
      </c>
      <c r="B1157" s="14" t="str">
        <f>"01688"</f>
        <v>01688</v>
      </c>
      <c r="C1157" s="14" t="str">
        <f>"1100"</f>
        <v>1100</v>
      </c>
      <c r="D1157" s="14" t="str">
        <f>"01688"</f>
        <v>01688</v>
      </c>
      <c r="E1157" s="14" t="s">
        <v>615</v>
      </c>
      <c r="F1157" s="14" t="s">
        <v>634</v>
      </c>
      <c r="G1157" s="14" t="str">
        <f>""</f>
        <v/>
      </c>
      <c r="H1157" s="14" t="str">
        <f>" 20"</f>
        <v xml:space="preserve"> 20</v>
      </c>
      <c r="I1157" s="14">
        <v>500.01</v>
      </c>
      <c r="J1157" s="14">
        <v>9999999.9900000002</v>
      </c>
      <c r="K1157" s="14" t="s">
        <v>591</v>
      </c>
      <c r="L1157" s="14" t="s">
        <v>147</v>
      </c>
      <c r="P1157" s="14" t="s">
        <v>39</v>
      </c>
      <c r="Q1157" s="14" t="s">
        <v>25</v>
      </c>
      <c r="R1157" s="14" t="s">
        <v>146</v>
      </c>
    </row>
    <row r="1158" spans="1:18" s="14" customFormat="1" x14ac:dyDescent="0.25">
      <c r="A1158" s="14" t="str">
        <f>"18054"</f>
        <v>18054</v>
      </c>
      <c r="B1158" s="14" t="str">
        <f>"01691"</f>
        <v>01691</v>
      </c>
      <c r="C1158" s="14" t="str">
        <f>"1100"</f>
        <v>1100</v>
      </c>
      <c r="D1158" s="14" t="str">
        <f>"01691"</f>
        <v>01691</v>
      </c>
      <c r="E1158" s="14" t="s">
        <v>615</v>
      </c>
      <c r="F1158" s="14" t="s">
        <v>635</v>
      </c>
      <c r="G1158" s="14" t="str">
        <f>""</f>
        <v/>
      </c>
      <c r="H1158" s="14" t="str">
        <f>" 10"</f>
        <v xml:space="preserve"> 10</v>
      </c>
      <c r="I1158" s="14">
        <v>0.01</v>
      </c>
      <c r="J1158" s="14">
        <v>500</v>
      </c>
      <c r="K1158" s="14" t="s">
        <v>146</v>
      </c>
      <c r="L1158" s="14" t="s">
        <v>147</v>
      </c>
      <c r="P1158" s="14" t="s">
        <v>39</v>
      </c>
      <c r="Q1158" s="14" t="s">
        <v>25</v>
      </c>
      <c r="R1158" s="14" t="s">
        <v>146</v>
      </c>
    </row>
    <row r="1159" spans="1:18" s="14" customFormat="1" x14ac:dyDescent="0.25">
      <c r="A1159" s="14" t="str">
        <f>"18054"</f>
        <v>18054</v>
      </c>
      <c r="B1159" s="14" t="str">
        <f>"01691"</f>
        <v>01691</v>
      </c>
      <c r="C1159" s="14" t="str">
        <f>"1100"</f>
        <v>1100</v>
      </c>
      <c r="D1159" s="14" t="str">
        <f>"01691"</f>
        <v>01691</v>
      </c>
      <c r="E1159" s="14" t="s">
        <v>615</v>
      </c>
      <c r="F1159" s="14" t="s">
        <v>635</v>
      </c>
      <c r="G1159" s="14" t="str">
        <f>""</f>
        <v/>
      </c>
      <c r="H1159" s="14" t="str">
        <f>" 20"</f>
        <v xml:space="preserve"> 20</v>
      </c>
      <c r="I1159" s="14">
        <v>500.01</v>
      </c>
      <c r="J1159" s="14">
        <v>9999999.9900000002</v>
      </c>
      <c r="K1159" s="14" t="s">
        <v>591</v>
      </c>
      <c r="L1159" s="14" t="s">
        <v>147</v>
      </c>
      <c r="P1159" s="14" t="s">
        <v>39</v>
      </c>
      <c r="Q1159" s="14" t="s">
        <v>25</v>
      </c>
      <c r="R1159" s="14" t="s">
        <v>146</v>
      </c>
    </row>
    <row r="1160" spans="1:18" s="14" customFormat="1" x14ac:dyDescent="0.25">
      <c r="A1160" s="14" t="str">
        <f>"18054"</f>
        <v>18054</v>
      </c>
      <c r="B1160" s="14" t="str">
        <f>"01692"</f>
        <v>01692</v>
      </c>
      <c r="C1160" s="14" t="str">
        <f>"1100"</f>
        <v>1100</v>
      </c>
      <c r="D1160" s="14" t="str">
        <f>"01692"</f>
        <v>01692</v>
      </c>
      <c r="E1160" s="14" t="s">
        <v>615</v>
      </c>
      <c r="F1160" s="14" t="s">
        <v>636</v>
      </c>
      <c r="G1160" s="14" t="str">
        <f>""</f>
        <v/>
      </c>
      <c r="H1160" s="14" t="str">
        <f>" 10"</f>
        <v xml:space="preserve"> 10</v>
      </c>
      <c r="I1160" s="14">
        <v>0.01</v>
      </c>
      <c r="J1160" s="14">
        <v>500</v>
      </c>
      <c r="K1160" s="14" t="s">
        <v>146</v>
      </c>
      <c r="L1160" s="14" t="s">
        <v>147</v>
      </c>
      <c r="P1160" s="14" t="s">
        <v>39</v>
      </c>
      <c r="Q1160" s="14" t="s">
        <v>25</v>
      </c>
      <c r="R1160" s="14" t="s">
        <v>146</v>
      </c>
    </row>
    <row r="1161" spans="1:18" s="14" customFormat="1" x14ac:dyDescent="0.25">
      <c r="A1161" s="14" t="str">
        <f>"18054"</f>
        <v>18054</v>
      </c>
      <c r="B1161" s="14" t="str">
        <f>"01692"</f>
        <v>01692</v>
      </c>
      <c r="C1161" s="14" t="str">
        <f>"1100"</f>
        <v>1100</v>
      </c>
      <c r="D1161" s="14" t="str">
        <f>"01692"</f>
        <v>01692</v>
      </c>
      <c r="E1161" s="14" t="s">
        <v>615</v>
      </c>
      <c r="F1161" s="14" t="s">
        <v>636</v>
      </c>
      <c r="G1161" s="14" t="str">
        <f>""</f>
        <v/>
      </c>
      <c r="H1161" s="14" t="str">
        <f>" 20"</f>
        <v xml:space="preserve"> 20</v>
      </c>
      <c r="I1161" s="14">
        <v>500.01</v>
      </c>
      <c r="J1161" s="14">
        <v>9999999.9900000002</v>
      </c>
      <c r="K1161" s="14" t="s">
        <v>591</v>
      </c>
      <c r="L1161" s="14" t="s">
        <v>147</v>
      </c>
      <c r="P1161" s="14" t="s">
        <v>39</v>
      </c>
      <c r="Q1161" s="14" t="s">
        <v>25</v>
      </c>
      <c r="R1161" s="14" t="s">
        <v>146</v>
      </c>
    </row>
    <row r="1162" spans="1:18" s="14" customFormat="1" x14ac:dyDescent="0.25">
      <c r="A1162" s="14" t="str">
        <f>"18054"</f>
        <v>18054</v>
      </c>
      <c r="B1162" s="14" t="str">
        <f>"01696"</f>
        <v>01696</v>
      </c>
      <c r="C1162" s="14" t="str">
        <f>"1100"</f>
        <v>1100</v>
      </c>
      <c r="D1162" s="14" t="str">
        <f>"01696"</f>
        <v>01696</v>
      </c>
      <c r="E1162" s="14" t="s">
        <v>615</v>
      </c>
      <c r="F1162" s="14" t="s">
        <v>637</v>
      </c>
      <c r="G1162" s="14" t="str">
        <f>""</f>
        <v/>
      </c>
      <c r="H1162" s="14" t="str">
        <f>" 10"</f>
        <v xml:space="preserve"> 10</v>
      </c>
      <c r="I1162" s="14">
        <v>0.01</v>
      </c>
      <c r="J1162" s="14">
        <v>500</v>
      </c>
      <c r="K1162" s="14" t="s">
        <v>146</v>
      </c>
      <c r="L1162" s="14" t="s">
        <v>147</v>
      </c>
      <c r="P1162" s="14" t="s">
        <v>39</v>
      </c>
      <c r="Q1162" s="14" t="s">
        <v>25</v>
      </c>
      <c r="R1162" s="14" t="s">
        <v>146</v>
      </c>
    </row>
    <row r="1163" spans="1:18" s="14" customFormat="1" x14ac:dyDescent="0.25">
      <c r="A1163" s="14" t="str">
        <f>"18054"</f>
        <v>18054</v>
      </c>
      <c r="B1163" s="14" t="str">
        <f>"01696"</f>
        <v>01696</v>
      </c>
      <c r="C1163" s="14" t="str">
        <f>"1100"</f>
        <v>1100</v>
      </c>
      <c r="D1163" s="14" t="str">
        <f>"01696"</f>
        <v>01696</v>
      </c>
      <c r="E1163" s="14" t="s">
        <v>615</v>
      </c>
      <c r="F1163" s="14" t="s">
        <v>637</v>
      </c>
      <c r="G1163" s="14" t="str">
        <f>""</f>
        <v/>
      </c>
      <c r="H1163" s="14" t="str">
        <f>" 20"</f>
        <v xml:space="preserve"> 20</v>
      </c>
      <c r="I1163" s="14">
        <v>500.01</v>
      </c>
      <c r="J1163" s="14">
        <v>9999999.9900000002</v>
      </c>
      <c r="K1163" s="14" t="s">
        <v>591</v>
      </c>
      <c r="L1163" s="14" t="s">
        <v>147</v>
      </c>
      <c r="P1163" s="14" t="s">
        <v>39</v>
      </c>
      <c r="Q1163" s="14" t="s">
        <v>25</v>
      </c>
      <c r="R1163" s="14" t="s">
        <v>146</v>
      </c>
    </row>
    <row r="1164" spans="1:18" s="14" customFormat="1" x14ac:dyDescent="0.25">
      <c r="A1164" s="14" t="str">
        <f>"18054"</f>
        <v>18054</v>
      </c>
      <c r="B1164" s="14" t="str">
        <f>"01697"</f>
        <v>01697</v>
      </c>
      <c r="C1164" s="14" t="str">
        <f>"1100"</f>
        <v>1100</v>
      </c>
      <c r="D1164" s="14" t="str">
        <f>"01697"</f>
        <v>01697</v>
      </c>
      <c r="E1164" s="14" t="s">
        <v>615</v>
      </c>
      <c r="F1164" s="14" t="s">
        <v>638</v>
      </c>
      <c r="G1164" s="14" t="str">
        <f>""</f>
        <v/>
      </c>
      <c r="H1164" s="14" t="str">
        <f>" 10"</f>
        <v xml:space="preserve"> 10</v>
      </c>
      <c r="I1164" s="14">
        <v>0.01</v>
      </c>
      <c r="J1164" s="14">
        <v>500</v>
      </c>
      <c r="K1164" s="14" t="s">
        <v>146</v>
      </c>
      <c r="L1164" s="14" t="s">
        <v>147</v>
      </c>
      <c r="P1164" s="14" t="s">
        <v>39</v>
      </c>
      <c r="Q1164" s="14" t="s">
        <v>25</v>
      </c>
      <c r="R1164" s="14" t="s">
        <v>146</v>
      </c>
    </row>
    <row r="1165" spans="1:18" s="14" customFormat="1" x14ac:dyDescent="0.25">
      <c r="A1165" s="14" t="str">
        <f>"18054"</f>
        <v>18054</v>
      </c>
      <c r="B1165" s="14" t="str">
        <f>"01697"</f>
        <v>01697</v>
      </c>
      <c r="C1165" s="14" t="str">
        <f>"1100"</f>
        <v>1100</v>
      </c>
      <c r="D1165" s="14" t="str">
        <f>"01697"</f>
        <v>01697</v>
      </c>
      <c r="E1165" s="14" t="s">
        <v>615</v>
      </c>
      <c r="F1165" s="14" t="s">
        <v>638</v>
      </c>
      <c r="G1165" s="14" t="str">
        <f>""</f>
        <v/>
      </c>
      <c r="H1165" s="14" t="str">
        <f>" 20"</f>
        <v xml:space="preserve"> 20</v>
      </c>
      <c r="I1165" s="14">
        <v>500.01</v>
      </c>
      <c r="J1165" s="14">
        <v>9999999.9900000002</v>
      </c>
      <c r="K1165" s="14" t="s">
        <v>591</v>
      </c>
      <c r="L1165" s="14" t="s">
        <v>147</v>
      </c>
      <c r="P1165" s="14" t="s">
        <v>39</v>
      </c>
      <c r="Q1165" s="14" t="s">
        <v>25</v>
      </c>
      <c r="R1165" s="14" t="s">
        <v>146</v>
      </c>
    </row>
    <row r="1166" spans="1:18" s="14" customFormat="1" x14ac:dyDescent="0.25">
      <c r="A1166" s="14" t="str">
        <f>"18054"</f>
        <v>18054</v>
      </c>
      <c r="B1166" s="14" t="str">
        <f>"01699"</f>
        <v>01699</v>
      </c>
      <c r="C1166" s="14" t="str">
        <f>"1100"</f>
        <v>1100</v>
      </c>
      <c r="D1166" s="14" t="str">
        <f>"01699"</f>
        <v>01699</v>
      </c>
      <c r="E1166" s="14" t="s">
        <v>615</v>
      </c>
      <c r="F1166" s="14" t="s">
        <v>639</v>
      </c>
      <c r="G1166" s="14" t="str">
        <f>""</f>
        <v/>
      </c>
      <c r="H1166" s="14" t="str">
        <f>" 10"</f>
        <v xml:space="preserve"> 10</v>
      </c>
      <c r="I1166" s="14">
        <v>0.01</v>
      </c>
      <c r="J1166" s="14">
        <v>500</v>
      </c>
      <c r="K1166" s="14" t="s">
        <v>146</v>
      </c>
      <c r="L1166" s="14" t="s">
        <v>147</v>
      </c>
      <c r="P1166" s="14" t="s">
        <v>39</v>
      </c>
      <c r="Q1166" s="14" t="s">
        <v>25</v>
      </c>
      <c r="R1166" s="14" t="s">
        <v>146</v>
      </c>
    </row>
    <row r="1167" spans="1:18" s="14" customFormat="1" x14ac:dyDescent="0.25">
      <c r="A1167" s="14" t="str">
        <f>"18054"</f>
        <v>18054</v>
      </c>
      <c r="B1167" s="14" t="str">
        <f>"01699"</f>
        <v>01699</v>
      </c>
      <c r="C1167" s="14" t="str">
        <f>"1100"</f>
        <v>1100</v>
      </c>
      <c r="D1167" s="14" t="str">
        <f>"01699"</f>
        <v>01699</v>
      </c>
      <c r="E1167" s="14" t="s">
        <v>615</v>
      </c>
      <c r="F1167" s="14" t="s">
        <v>639</v>
      </c>
      <c r="G1167" s="14" t="str">
        <f>""</f>
        <v/>
      </c>
      <c r="H1167" s="14" t="str">
        <f>" 20"</f>
        <v xml:space="preserve"> 20</v>
      </c>
      <c r="I1167" s="14">
        <v>500.01</v>
      </c>
      <c r="J1167" s="14">
        <v>9999999.9900000002</v>
      </c>
      <c r="K1167" s="14" t="s">
        <v>591</v>
      </c>
      <c r="L1167" s="14" t="s">
        <v>147</v>
      </c>
      <c r="P1167" s="14" t="s">
        <v>39</v>
      </c>
      <c r="Q1167" s="14" t="s">
        <v>25</v>
      </c>
      <c r="R1167" s="14" t="s">
        <v>146</v>
      </c>
    </row>
    <row r="1168" spans="1:18" s="14" customFormat="1" x14ac:dyDescent="0.25">
      <c r="A1168" s="14" t="str">
        <f>"18054"</f>
        <v>18054</v>
      </c>
      <c r="B1168" s="14" t="str">
        <f>"01712"</f>
        <v>01712</v>
      </c>
      <c r="C1168" s="14" t="str">
        <f>"1100"</f>
        <v>1100</v>
      </c>
      <c r="D1168" s="14" t="str">
        <f>"01712"</f>
        <v>01712</v>
      </c>
      <c r="E1168" s="14" t="s">
        <v>615</v>
      </c>
      <c r="F1168" s="14" t="s">
        <v>640</v>
      </c>
      <c r="G1168" s="14" t="str">
        <f>""</f>
        <v/>
      </c>
      <c r="H1168" s="14" t="str">
        <f>" 10"</f>
        <v xml:space="preserve"> 10</v>
      </c>
      <c r="I1168" s="14">
        <v>0.01</v>
      </c>
      <c r="J1168" s="14">
        <v>500</v>
      </c>
      <c r="K1168" s="14" t="s">
        <v>146</v>
      </c>
      <c r="L1168" s="14" t="s">
        <v>147</v>
      </c>
      <c r="P1168" s="14" t="s">
        <v>39</v>
      </c>
      <c r="Q1168" s="14" t="s">
        <v>25</v>
      </c>
      <c r="R1168" s="14" t="s">
        <v>146</v>
      </c>
    </row>
    <row r="1169" spans="1:18" s="14" customFormat="1" x14ac:dyDescent="0.25">
      <c r="A1169" s="14" t="str">
        <f>"18054"</f>
        <v>18054</v>
      </c>
      <c r="B1169" s="14" t="str">
        <f>"01712"</f>
        <v>01712</v>
      </c>
      <c r="C1169" s="14" t="str">
        <f>"1100"</f>
        <v>1100</v>
      </c>
      <c r="D1169" s="14" t="str">
        <f>"01712"</f>
        <v>01712</v>
      </c>
      <c r="E1169" s="14" t="s">
        <v>615</v>
      </c>
      <c r="F1169" s="14" t="s">
        <v>640</v>
      </c>
      <c r="G1169" s="14" t="str">
        <f>""</f>
        <v/>
      </c>
      <c r="H1169" s="14" t="str">
        <f>" 20"</f>
        <v xml:space="preserve"> 20</v>
      </c>
      <c r="I1169" s="14">
        <v>500.01</v>
      </c>
      <c r="J1169" s="14">
        <v>9999999.9900000002</v>
      </c>
      <c r="K1169" s="14" t="s">
        <v>591</v>
      </c>
      <c r="L1169" s="14" t="s">
        <v>147</v>
      </c>
      <c r="P1169" s="14" t="s">
        <v>39</v>
      </c>
      <c r="Q1169" s="14" t="s">
        <v>25</v>
      </c>
      <c r="R1169" s="14" t="s">
        <v>146</v>
      </c>
    </row>
    <row r="1170" spans="1:18" s="14" customFormat="1" x14ac:dyDescent="0.25">
      <c r="A1170" s="14" t="str">
        <f>"18054"</f>
        <v>18054</v>
      </c>
      <c r="B1170" s="14" t="str">
        <f>"01713"</f>
        <v>01713</v>
      </c>
      <c r="C1170" s="14" t="str">
        <f>"1100"</f>
        <v>1100</v>
      </c>
      <c r="D1170" s="14" t="str">
        <f>"01713"</f>
        <v>01713</v>
      </c>
      <c r="E1170" s="14" t="s">
        <v>615</v>
      </c>
      <c r="F1170" s="14" t="s">
        <v>641</v>
      </c>
      <c r="G1170" s="14" t="str">
        <f>""</f>
        <v/>
      </c>
      <c r="H1170" s="14" t="str">
        <f>" 10"</f>
        <v xml:space="preserve"> 10</v>
      </c>
      <c r="I1170" s="14">
        <v>0.01</v>
      </c>
      <c r="J1170" s="14">
        <v>500</v>
      </c>
      <c r="K1170" s="14" t="s">
        <v>146</v>
      </c>
      <c r="L1170" s="14" t="s">
        <v>147</v>
      </c>
      <c r="P1170" s="14" t="s">
        <v>39</v>
      </c>
      <c r="Q1170" s="14" t="s">
        <v>25</v>
      </c>
      <c r="R1170" s="14" t="s">
        <v>146</v>
      </c>
    </row>
    <row r="1171" spans="1:18" s="14" customFormat="1" x14ac:dyDescent="0.25">
      <c r="A1171" s="14" t="str">
        <f>"18054"</f>
        <v>18054</v>
      </c>
      <c r="B1171" s="14" t="str">
        <f>"01713"</f>
        <v>01713</v>
      </c>
      <c r="C1171" s="14" t="str">
        <f>"1100"</f>
        <v>1100</v>
      </c>
      <c r="D1171" s="14" t="str">
        <f>"01713"</f>
        <v>01713</v>
      </c>
      <c r="E1171" s="14" t="s">
        <v>615</v>
      </c>
      <c r="F1171" s="14" t="s">
        <v>641</v>
      </c>
      <c r="G1171" s="14" t="str">
        <f>""</f>
        <v/>
      </c>
      <c r="H1171" s="14" t="str">
        <f>" 20"</f>
        <v xml:space="preserve"> 20</v>
      </c>
      <c r="I1171" s="14">
        <v>500.01</v>
      </c>
      <c r="J1171" s="14">
        <v>9999999.9900000002</v>
      </c>
      <c r="K1171" s="14" t="s">
        <v>591</v>
      </c>
      <c r="L1171" s="14" t="s">
        <v>147</v>
      </c>
      <c r="P1171" s="14" t="s">
        <v>39</v>
      </c>
      <c r="Q1171" s="14" t="s">
        <v>25</v>
      </c>
      <c r="R1171" s="14" t="s">
        <v>146</v>
      </c>
    </row>
    <row r="1172" spans="1:18" s="14" customFormat="1" x14ac:dyDescent="0.25">
      <c r="A1172" s="14" t="str">
        <f>"18054"</f>
        <v>18054</v>
      </c>
      <c r="B1172" s="14" t="str">
        <f>"01714"</f>
        <v>01714</v>
      </c>
      <c r="C1172" s="14" t="str">
        <f>"1100"</f>
        <v>1100</v>
      </c>
      <c r="D1172" s="14" t="str">
        <f>"01714"</f>
        <v>01714</v>
      </c>
      <c r="E1172" s="14" t="s">
        <v>615</v>
      </c>
      <c r="F1172" s="14" t="s">
        <v>642</v>
      </c>
      <c r="G1172" s="14" t="str">
        <f>""</f>
        <v/>
      </c>
      <c r="H1172" s="14" t="str">
        <f>" 10"</f>
        <v xml:space="preserve"> 10</v>
      </c>
      <c r="I1172" s="14">
        <v>0.01</v>
      </c>
      <c r="J1172" s="14">
        <v>500</v>
      </c>
      <c r="K1172" s="14" t="s">
        <v>146</v>
      </c>
      <c r="L1172" s="14" t="s">
        <v>147</v>
      </c>
      <c r="P1172" s="14" t="s">
        <v>39</v>
      </c>
      <c r="Q1172" s="14" t="s">
        <v>25</v>
      </c>
      <c r="R1172" s="14" t="s">
        <v>146</v>
      </c>
    </row>
    <row r="1173" spans="1:18" s="14" customFormat="1" x14ac:dyDescent="0.25">
      <c r="A1173" s="14" t="str">
        <f>"18054"</f>
        <v>18054</v>
      </c>
      <c r="B1173" s="14" t="str">
        <f>"01714"</f>
        <v>01714</v>
      </c>
      <c r="C1173" s="14" t="str">
        <f>"1100"</f>
        <v>1100</v>
      </c>
      <c r="D1173" s="14" t="str">
        <f>"01714"</f>
        <v>01714</v>
      </c>
      <c r="E1173" s="14" t="s">
        <v>615</v>
      </c>
      <c r="F1173" s="14" t="s">
        <v>642</v>
      </c>
      <c r="G1173" s="14" t="str">
        <f>""</f>
        <v/>
      </c>
      <c r="H1173" s="14" t="str">
        <f>" 20"</f>
        <v xml:space="preserve"> 20</v>
      </c>
      <c r="I1173" s="14">
        <v>500.01</v>
      </c>
      <c r="J1173" s="14">
        <v>9999999.9900000002</v>
      </c>
      <c r="K1173" s="14" t="s">
        <v>591</v>
      </c>
      <c r="L1173" s="14" t="s">
        <v>147</v>
      </c>
      <c r="P1173" s="14" t="s">
        <v>39</v>
      </c>
      <c r="Q1173" s="14" t="s">
        <v>25</v>
      </c>
      <c r="R1173" s="14" t="s">
        <v>146</v>
      </c>
    </row>
    <row r="1174" spans="1:18" s="14" customFormat="1" x14ac:dyDescent="0.25">
      <c r="A1174" s="14" t="str">
        <f>"18054"</f>
        <v>18054</v>
      </c>
      <c r="B1174" s="14" t="str">
        <f>"01715"</f>
        <v>01715</v>
      </c>
      <c r="C1174" s="14" t="str">
        <f>"1100"</f>
        <v>1100</v>
      </c>
      <c r="D1174" s="14" t="str">
        <f>"01715"</f>
        <v>01715</v>
      </c>
      <c r="E1174" s="14" t="s">
        <v>615</v>
      </c>
      <c r="F1174" s="14" t="s">
        <v>643</v>
      </c>
      <c r="G1174" s="14" t="str">
        <f>""</f>
        <v/>
      </c>
      <c r="H1174" s="14" t="str">
        <f>" 10"</f>
        <v xml:space="preserve"> 10</v>
      </c>
      <c r="I1174" s="14">
        <v>0.01</v>
      </c>
      <c r="J1174" s="14">
        <v>500</v>
      </c>
      <c r="K1174" s="14" t="s">
        <v>146</v>
      </c>
      <c r="L1174" s="14" t="s">
        <v>147</v>
      </c>
      <c r="P1174" s="14" t="s">
        <v>39</v>
      </c>
      <c r="Q1174" s="14" t="s">
        <v>25</v>
      </c>
      <c r="R1174" s="14" t="s">
        <v>146</v>
      </c>
    </row>
    <row r="1175" spans="1:18" s="14" customFormat="1" x14ac:dyDescent="0.25">
      <c r="A1175" s="14" t="str">
        <f>"18054"</f>
        <v>18054</v>
      </c>
      <c r="B1175" s="14" t="str">
        <f>"01715"</f>
        <v>01715</v>
      </c>
      <c r="C1175" s="14" t="str">
        <f>"1100"</f>
        <v>1100</v>
      </c>
      <c r="D1175" s="14" t="str">
        <f>"01715"</f>
        <v>01715</v>
      </c>
      <c r="E1175" s="14" t="s">
        <v>615</v>
      </c>
      <c r="F1175" s="14" t="s">
        <v>643</v>
      </c>
      <c r="G1175" s="14" t="str">
        <f>""</f>
        <v/>
      </c>
      <c r="H1175" s="14" t="str">
        <f>" 20"</f>
        <v xml:space="preserve"> 20</v>
      </c>
      <c r="I1175" s="14">
        <v>500.01</v>
      </c>
      <c r="J1175" s="14">
        <v>9999999.9900000002</v>
      </c>
      <c r="K1175" s="14" t="s">
        <v>591</v>
      </c>
      <c r="L1175" s="14" t="s">
        <v>147</v>
      </c>
      <c r="P1175" s="14" t="s">
        <v>39</v>
      </c>
      <c r="Q1175" s="14" t="s">
        <v>25</v>
      </c>
      <c r="R1175" s="14" t="s">
        <v>146</v>
      </c>
    </row>
    <row r="1176" spans="1:18" s="14" customFormat="1" x14ac:dyDescent="0.25">
      <c r="A1176" s="14" t="str">
        <f>"18054"</f>
        <v>18054</v>
      </c>
      <c r="B1176" s="14" t="str">
        <f>"01716"</f>
        <v>01716</v>
      </c>
      <c r="C1176" s="14" t="str">
        <f>"1100"</f>
        <v>1100</v>
      </c>
      <c r="D1176" s="14" t="str">
        <f>"01716"</f>
        <v>01716</v>
      </c>
      <c r="E1176" s="14" t="s">
        <v>615</v>
      </c>
      <c r="F1176" s="14" t="s">
        <v>644</v>
      </c>
      <c r="G1176" s="14" t="str">
        <f>""</f>
        <v/>
      </c>
      <c r="H1176" s="14" t="str">
        <f>" 10"</f>
        <v xml:space="preserve"> 10</v>
      </c>
      <c r="I1176" s="14">
        <v>0.01</v>
      </c>
      <c r="J1176" s="14">
        <v>500</v>
      </c>
      <c r="K1176" s="14" t="s">
        <v>146</v>
      </c>
      <c r="L1176" s="14" t="s">
        <v>147</v>
      </c>
      <c r="P1176" s="14" t="s">
        <v>39</v>
      </c>
      <c r="Q1176" s="14" t="s">
        <v>25</v>
      </c>
      <c r="R1176" s="14" t="s">
        <v>146</v>
      </c>
    </row>
    <row r="1177" spans="1:18" s="14" customFormat="1" x14ac:dyDescent="0.25">
      <c r="A1177" s="14" t="str">
        <f>"18054"</f>
        <v>18054</v>
      </c>
      <c r="B1177" s="14" t="str">
        <f>"01716"</f>
        <v>01716</v>
      </c>
      <c r="C1177" s="14" t="str">
        <f>"1100"</f>
        <v>1100</v>
      </c>
      <c r="D1177" s="14" t="str">
        <f>"01716"</f>
        <v>01716</v>
      </c>
      <c r="E1177" s="14" t="s">
        <v>615</v>
      </c>
      <c r="F1177" s="14" t="s">
        <v>644</v>
      </c>
      <c r="G1177" s="14" t="str">
        <f>""</f>
        <v/>
      </c>
      <c r="H1177" s="14" t="str">
        <f>" 20"</f>
        <v xml:space="preserve"> 20</v>
      </c>
      <c r="I1177" s="14">
        <v>500.01</v>
      </c>
      <c r="J1177" s="14">
        <v>9999999.9900000002</v>
      </c>
      <c r="K1177" s="14" t="s">
        <v>591</v>
      </c>
      <c r="L1177" s="14" t="s">
        <v>147</v>
      </c>
      <c r="P1177" s="14" t="s">
        <v>39</v>
      </c>
      <c r="Q1177" s="14" t="s">
        <v>25</v>
      </c>
      <c r="R1177" s="14" t="s">
        <v>146</v>
      </c>
    </row>
    <row r="1178" spans="1:18" s="14" customFormat="1" x14ac:dyDescent="0.25">
      <c r="A1178" s="14" t="str">
        <f>"18054"</f>
        <v>18054</v>
      </c>
      <c r="B1178" s="14" t="str">
        <f>"01717"</f>
        <v>01717</v>
      </c>
      <c r="C1178" s="14" t="str">
        <f>"1100"</f>
        <v>1100</v>
      </c>
      <c r="D1178" s="14" t="str">
        <f>"01717"</f>
        <v>01717</v>
      </c>
      <c r="E1178" s="14" t="s">
        <v>615</v>
      </c>
      <c r="F1178" s="14" t="s">
        <v>645</v>
      </c>
      <c r="G1178" s="14" t="str">
        <f>""</f>
        <v/>
      </c>
      <c r="H1178" s="14" t="str">
        <f>" 10"</f>
        <v xml:space="preserve"> 10</v>
      </c>
      <c r="I1178" s="14">
        <v>0.01</v>
      </c>
      <c r="J1178" s="14">
        <v>500</v>
      </c>
      <c r="K1178" s="14" t="s">
        <v>146</v>
      </c>
      <c r="L1178" s="14" t="s">
        <v>147</v>
      </c>
      <c r="P1178" s="14" t="s">
        <v>39</v>
      </c>
      <c r="Q1178" s="14" t="s">
        <v>25</v>
      </c>
      <c r="R1178" s="14" t="s">
        <v>146</v>
      </c>
    </row>
    <row r="1179" spans="1:18" s="14" customFormat="1" x14ac:dyDescent="0.25">
      <c r="A1179" s="14" t="str">
        <f>"18054"</f>
        <v>18054</v>
      </c>
      <c r="B1179" s="14" t="str">
        <f>"01717"</f>
        <v>01717</v>
      </c>
      <c r="C1179" s="14" t="str">
        <f>"1100"</f>
        <v>1100</v>
      </c>
      <c r="D1179" s="14" t="str">
        <f>"01717"</f>
        <v>01717</v>
      </c>
      <c r="E1179" s="14" t="s">
        <v>615</v>
      </c>
      <c r="F1179" s="14" t="s">
        <v>645</v>
      </c>
      <c r="G1179" s="14" t="str">
        <f>""</f>
        <v/>
      </c>
      <c r="H1179" s="14" t="str">
        <f>" 20"</f>
        <v xml:space="preserve"> 20</v>
      </c>
      <c r="I1179" s="14">
        <v>500.01</v>
      </c>
      <c r="J1179" s="14">
        <v>9999999.9900000002</v>
      </c>
      <c r="K1179" s="14" t="s">
        <v>591</v>
      </c>
      <c r="L1179" s="14" t="s">
        <v>147</v>
      </c>
      <c r="P1179" s="14" t="s">
        <v>39</v>
      </c>
      <c r="Q1179" s="14" t="s">
        <v>25</v>
      </c>
      <c r="R1179" s="14" t="s">
        <v>146</v>
      </c>
    </row>
    <row r="1180" spans="1:18" s="14" customFormat="1" x14ac:dyDescent="0.25">
      <c r="A1180" s="14" t="str">
        <f>"18056"</f>
        <v>18056</v>
      </c>
      <c r="B1180" s="14" t="str">
        <f>"01780"</f>
        <v>01780</v>
      </c>
      <c r="C1180" s="14" t="str">
        <f>"1600"</f>
        <v>1600</v>
      </c>
      <c r="D1180" s="14" t="str">
        <f>"18056"</f>
        <v>18056</v>
      </c>
      <c r="E1180" s="14" t="s">
        <v>646</v>
      </c>
      <c r="F1180" s="14" t="s">
        <v>175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647</v>
      </c>
      <c r="L1180" s="14" t="s">
        <v>112</v>
      </c>
      <c r="M1180" s="14" t="s">
        <v>113</v>
      </c>
      <c r="N1180" s="14" t="s">
        <v>114</v>
      </c>
      <c r="P1180" s="14" t="s">
        <v>31</v>
      </c>
      <c r="Q1180" s="14" t="s">
        <v>25</v>
      </c>
      <c r="R1180" s="14" t="s">
        <v>115</v>
      </c>
    </row>
    <row r="1181" spans="1:18" s="14" customFormat="1" x14ac:dyDescent="0.25">
      <c r="A1181" s="14" t="str">
        <f>"18057"</f>
        <v>18057</v>
      </c>
      <c r="B1181" s="14" t="str">
        <f>"03000"</f>
        <v>03000</v>
      </c>
      <c r="C1181" s="14" t="str">
        <f>"1400"</f>
        <v>1400</v>
      </c>
      <c r="D1181" s="14" t="str">
        <f>"18057"</f>
        <v>18057</v>
      </c>
      <c r="E1181" s="14" t="s">
        <v>648</v>
      </c>
      <c r="F1181" s="14" t="s">
        <v>217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34</v>
      </c>
      <c r="P1181" s="14" t="s">
        <v>31</v>
      </c>
      <c r="Q1181" s="14" t="s">
        <v>25</v>
      </c>
      <c r="R1181" s="14" t="s">
        <v>35</v>
      </c>
    </row>
    <row r="1182" spans="1:18" s="14" customFormat="1" x14ac:dyDescent="0.25">
      <c r="A1182" s="14" t="str">
        <f>"18061"</f>
        <v>18061</v>
      </c>
      <c r="B1182" s="14" t="str">
        <f>"01200"</f>
        <v>01200</v>
      </c>
      <c r="C1182" s="14" t="str">
        <f>"1800"</f>
        <v>1800</v>
      </c>
      <c r="D1182" s="14" t="str">
        <f>"18061"</f>
        <v>18061</v>
      </c>
      <c r="E1182" s="14" t="s">
        <v>649</v>
      </c>
      <c r="F1182" s="14" t="s">
        <v>68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69</v>
      </c>
      <c r="L1182" s="14" t="s">
        <v>650</v>
      </c>
      <c r="M1182" s="14" t="s">
        <v>70</v>
      </c>
      <c r="N1182" s="14" t="s">
        <v>71</v>
      </c>
      <c r="P1182" s="14" t="s">
        <v>31</v>
      </c>
      <c r="Q1182" s="14" t="s">
        <v>25</v>
      </c>
      <c r="R1182" s="14" t="s">
        <v>650</v>
      </c>
    </row>
    <row r="1183" spans="1:18" s="14" customFormat="1" x14ac:dyDescent="0.25">
      <c r="A1183" s="14" t="str">
        <f>"18063"</f>
        <v>18063</v>
      </c>
      <c r="B1183" s="14" t="str">
        <f>"01370"</f>
        <v>01370</v>
      </c>
      <c r="C1183" s="14" t="str">
        <f>"1300"</f>
        <v>1300</v>
      </c>
      <c r="D1183" s="14" t="str">
        <f>"18063"</f>
        <v>18063</v>
      </c>
      <c r="E1183" s="14" t="s">
        <v>651</v>
      </c>
      <c r="F1183" s="14" t="s">
        <v>108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69</v>
      </c>
      <c r="L1183" s="14" t="s">
        <v>109</v>
      </c>
      <c r="M1183" s="14" t="s">
        <v>70</v>
      </c>
      <c r="N1183" s="14" t="s">
        <v>71</v>
      </c>
      <c r="P1183" s="14" t="s">
        <v>31</v>
      </c>
      <c r="Q1183" s="14" t="s">
        <v>25</v>
      </c>
      <c r="R1183" s="14" t="s">
        <v>109</v>
      </c>
    </row>
    <row r="1184" spans="1:18" s="14" customFormat="1" x14ac:dyDescent="0.25">
      <c r="A1184" s="14" t="str">
        <f>"18064"</f>
        <v>18064</v>
      </c>
      <c r="B1184" s="14" t="str">
        <f>"01160"</f>
        <v>01160</v>
      </c>
      <c r="C1184" s="14" t="str">
        <f>"1100"</f>
        <v>1100</v>
      </c>
      <c r="D1184" s="14" t="str">
        <f>"18064"</f>
        <v>18064</v>
      </c>
      <c r="E1184" s="14" t="s">
        <v>652</v>
      </c>
      <c r="F1184" s="14" t="s">
        <v>63</v>
      </c>
      <c r="G1184" s="14" t="str">
        <f>""</f>
        <v/>
      </c>
      <c r="H1184" s="14" t="str">
        <f>" 10"</f>
        <v xml:space="preserve"> 10</v>
      </c>
      <c r="I1184" s="14">
        <v>0.01</v>
      </c>
      <c r="J1184" s="14">
        <v>500</v>
      </c>
      <c r="K1184" s="14" t="s">
        <v>64</v>
      </c>
      <c r="P1184" s="14" t="s">
        <v>31</v>
      </c>
      <c r="Q1184" s="14" t="s">
        <v>25</v>
      </c>
      <c r="R1184" s="14" t="s">
        <v>55</v>
      </c>
    </row>
    <row r="1185" spans="1:18" s="14" customFormat="1" x14ac:dyDescent="0.25">
      <c r="A1185" s="14" t="str">
        <f>"18064"</f>
        <v>18064</v>
      </c>
      <c r="B1185" s="14" t="str">
        <f>"01160"</f>
        <v>01160</v>
      </c>
      <c r="C1185" s="14" t="str">
        <f>"1100"</f>
        <v>1100</v>
      </c>
      <c r="D1185" s="14" t="str">
        <f>"18064"</f>
        <v>18064</v>
      </c>
      <c r="E1185" s="14" t="s">
        <v>652</v>
      </c>
      <c r="F1185" s="14" t="s">
        <v>63</v>
      </c>
      <c r="G1185" s="14" t="str">
        <f>""</f>
        <v/>
      </c>
      <c r="H1185" s="14" t="str">
        <f>" 20"</f>
        <v xml:space="preserve"> 20</v>
      </c>
      <c r="I1185" s="14">
        <v>500.01</v>
      </c>
      <c r="J1185" s="14">
        <v>9999999.9900000002</v>
      </c>
      <c r="K1185" s="14" t="s">
        <v>55</v>
      </c>
      <c r="L1185" s="14" t="s">
        <v>53</v>
      </c>
      <c r="M1185" s="14" t="s">
        <v>54</v>
      </c>
      <c r="P1185" s="14" t="s">
        <v>31</v>
      </c>
      <c r="Q1185" s="14" t="s">
        <v>25</v>
      </c>
      <c r="R1185" s="14" t="s">
        <v>55</v>
      </c>
    </row>
    <row r="1186" spans="1:18" s="14" customFormat="1" x14ac:dyDescent="0.25">
      <c r="A1186" s="14" t="str">
        <f>"18065"</f>
        <v>18065</v>
      </c>
      <c r="B1186" s="14" t="str">
        <f>"01400"</f>
        <v>01400</v>
      </c>
      <c r="C1186" s="14" t="str">
        <f>"1300"</f>
        <v>1300</v>
      </c>
      <c r="D1186" s="14" t="str">
        <f>"18065"</f>
        <v>18065</v>
      </c>
      <c r="E1186" s="14" t="s">
        <v>653</v>
      </c>
      <c r="F1186" s="14" t="s">
        <v>117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69</v>
      </c>
      <c r="L1186" s="14" t="s">
        <v>70</v>
      </c>
      <c r="M1186" s="14" t="s">
        <v>71</v>
      </c>
      <c r="P1186" s="14" t="s">
        <v>31</v>
      </c>
      <c r="Q1186" s="14" t="s">
        <v>25</v>
      </c>
      <c r="R1186" s="14" t="s">
        <v>72</v>
      </c>
    </row>
    <row r="1187" spans="1:18" s="14" customFormat="1" x14ac:dyDescent="0.25">
      <c r="A1187" s="14" t="str">
        <f>"18067"</f>
        <v>18067</v>
      </c>
      <c r="B1187" s="14" t="str">
        <f>"01000"</f>
        <v>01000</v>
      </c>
      <c r="C1187" s="14" t="str">
        <f>"1300"</f>
        <v>1300</v>
      </c>
      <c r="D1187" s="14" t="str">
        <f>"18067"</f>
        <v>18067</v>
      </c>
      <c r="E1187" s="14" t="s">
        <v>654</v>
      </c>
      <c r="F1187" s="14" t="s">
        <v>44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37</v>
      </c>
      <c r="L1187" s="14" t="s">
        <v>601</v>
      </c>
      <c r="P1187" s="14" t="s">
        <v>39</v>
      </c>
      <c r="Q1187" s="14" t="s">
        <v>25</v>
      </c>
      <c r="R1187" s="14" t="s">
        <v>38</v>
      </c>
    </row>
    <row r="1188" spans="1:18" s="14" customFormat="1" x14ac:dyDescent="0.25">
      <c r="A1188" s="14" t="str">
        <f>"18068"</f>
        <v>18068</v>
      </c>
      <c r="B1188" s="14" t="str">
        <f>"01000"</f>
        <v>01000</v>
      </c>
      <c r="C1188" s="14" t="str">
        <f>"1300"</f>
        <v>1300</v>
      </c>
      <c r="D1188" s="14" t="str">
        <f>"18068"</f>
        <v>18068</v>
      </c>
      <c r="E1188" s="14" t="s">
        <v>655</v>
      </c>
      <c r="F1188" s="14" t="s">
        <v>44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37</v>
      </c>
      <c r="L1188" s="14" t="s">
        <v>601</v>
      </c>
      <c r="P1188" s="14" t="s">
        <v>39</v>
      </c>
      <c r="Q1188" s="14" t="s">
        <v>25</v>
      </c>
      <c r="R1188" s="14" t="s">
        <v>38</v>
      </c>
    </row>
    <row r="1189" spans="1:18" s="14" customFormat="1" x14ac:dyDescent="0.25">
      <c r="A1189" s="14" t="str">
        <f>"18071"</f>
        <v>18071</v>
      </c>
      <c r="B1189" s="14" t="str">
        <f>"01030"</f>
        <v>01030</v>
      </c>
      <c r="C1189" s="14" t="str">
        <f>"1600"</f>
        <v>1600</v>
      </c>
      <c r="D1189" s="14" t="str">
        <f>"18071"</f>
        <v>18071</v>
      </c>
      <c r="E1189" s="14" t="s">
        <v>656</v>
      </c>
      <c r="F1189" s="14" t="s">
        <v>52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53</v>
      </c>
      <c r="L1189" s="14" t="s">
        <v>54</v>
      </c>
      <c r="M1189" s="14" t="s">
        <v>55</v>
      </c>
      <c r="P1189" s="14" t="s">
        <v>31</v>
      </c>
      <c r="Q1189" s="14" t="s">
        <v>25</v>
      </c>
      <c r="R1189" s="14" t="s">
        <v>54</v>
      </c>
    </row>
    <row r="1190" spans="1:18" s="14" customFormat="1" x14ac:dyDescent="0.25">
      <c r="A1190" s="14" t="str">
        <f>"18073"</f>
        <v>18073</v>
      </c>
      <c r="B1190" s="14" t="str">
        <f>"01035"</f>
        <v>01035</v>
      </c>
      <c r="C1190" s="14" t="str">
        <f>"1600"</f>
        <v>1600</v>
      </c>
      <c r="D1190" s="14" t="str">
        <f>"18073"</f>
        <v>18073</v>
      </c>
      <c r="E1190" s="14" t="s">
        <v>657</v>
      </c>
      <c r="F1190" s="14" t="s">
        <v>56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53</v>
      </c>
      <c r="L1190" s="14" t="s">
        <v>54</v>
      </c>
      <c r="M1190" s="14" t="s">
        <v>55</v>
      </c>
      <c r="P1190" s="14" t="s">
        <v>31</v>
      </c>
      <c r="Q1190" s="14" t="s">
        <v>25</v>
      </c>
      <c r="R1190" s="14" t="s">
        <v>54</v>
      </c>
    </row>
    <row r="1191" spans="1:18" s="14" customFormat="1" x14ac:dyDescent="0.25">
      <c r="A1191" s="14" t="str">
        <f>"18076"</f>
        <v>18076</v>
      </c>
      <c r="B1191" s="14" t="str">
        <f>"01687"</f>
        <v>01687</v>
      </c>
      <c r="C1191" s="14" t="str">
        <f>"1600"</f>
        <v>1600</v>
      </c>
      <c r="D1191" s="14" t="str">
        <f>"18076"</f>
        <v>18076</v>
      </c>
      <c r="E1191" s="14" t="s">
        <v>658</v>
      </c>
      <c r="F1191" s="14" t="s">
        <v>590</v>
      </c>
      <c r="G1191" s="14" t="str">
        <f>"GN0018076"</f>
        <v>GN0018076</v>
      </c>
      <c r="H1191" s="14" t="str">
        <f>" 10"</f>
        <v xml:space="preserve"> 10</v>
      </c>
      <c r="I1191" s="14">
        <v>0.01</v>
      </c>
      <c r="J1191" s="14">
        <v>500</v>
      </c>
      <c r="K1191" s="14" t="s">
        <v>146</v>
      </c>
      <c r="L1191" s="14" t="s">
        <v>147</v>
      </c>
      <c r="P1191" s="14" t="s">
        <v>39</v>
      </c>
      <c r="Q1191" s="14" t="s">
        <v>25</v>
      </c>
      <c r="R1191" s="14" t="s">
        <v>146</v>
      </c>
    </row>
    <row r="1192" spans="1:18" s="14" customFormat="1" x14ac:dyDescent="0.25">
      <c r="A1192" s="14" t="str">
        <f>"18076"</f>
        <v>18076</v>
      </c>
      <c r="B1192" s="14" t="str">
        <f>"01687"</f>
        <v>01687</v>
      </c>
      <c r="C1192" s="14" t="str">
        <f>"1600"</f>
        <v>1600</v>
      </c>
      <c r="D1192" s="14" t="str">
        <f>"18076"</f>
        <v>18076</v>
      </c>
      <c r="E1192" s="14" t="s">
        <v>658</v>
      </c>
      <c r="F1192" s="14" t="s">
        <v>590</v>
      </c>
      <c r="G1192" s="14" t="str">
        <f>"GN0018076"</f>
        <v>GN0018076</v>
      </c>
      <c r="H1192" s="14" t="str">
        <f>" 20"</f>
        <v xml:space="preserve"> 20</v>
      </c>
      <c r="I1192" s="14">
        <v>500.01</v>
      </c>
      <c r="J1192" s="14">
        <v>9999999.9900000002</v>
      </c>
      <c r="K1192" s="14" t="s">
        <v>591</v>
      </c>
      <c r="L1192" s="14" t="s">
        <v>147</v>
      </c>
      <c r="P1192" s="14" t="s">
        <v>39</v>
      </c>
      <c r="Q1192" s="14" t="s">
        <v>25</v>
      </c>
      <c r="R1192" s="14" t="s">
        <v>146</v>
      </c>
    </row>
    <row r="1193" spans="1:18" s="14" customFormat="1" x14ac:dyDescent="0.25">
      <c r="A1193" s="14" t="str">
        <f>"18080"</f>
        <v>18080</v>
      </c>
      <c r="B1193" s="14" t="str">
        <f>"01285"</f>
        <v>01285</v>
      </c>
      <c r="C1193" s="14" t="str">
        <f>"1700"</f>
        <v>1700</v>
      </c>
      <c r="D1193" s="14" t="str">
        <f>"18080"</f>
        <v>18080</v>
      </c>
      <c r="E1193" s="14" t="s">
        <v>659</v>
      </c>
      <c r="F1193" s="14" t="s">
        <v>92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37</v>
      </c>
      <c r="L1193" s="14" t="s">
        <v>93</v>
      </c>
      <c r="P1193" s="14" t="s">
        <v>39</v>
      </c>
      <c r="Q1193" s="14" t="s">
        <v>25</v>
      </c>
      <c r="R1193" s="14" t="s">
        <v>38</v>
      </c>
    </row>
    <row r="1194" spans="1:18" s="14" customFormat="1" x14ac:dyDescent="0.25">
      <c r="A1194" s="14" t="str">
        <f>"18081"</f>
        <v>18081</v>
      </c>
      <c r="B1194" s="14" t="str">
        <f>"01670"</f>
        <v>01670</v>
      </c>
      <c r="C1194" s="14" t="str">
        <f>"1600"</f>
        <v>1600</v>
      </c>
      <c r="D1194" s="14" t="str">
        <f>"18081"</f>
        <v>18081</v>
      </c>
      <c r="E1194" s="14" t="s">
        <v>660</v>
      </c>
      <c r="F1194" s="14" t="s">
        <v>151</v>
      </c>
      <c r="G1194" s="14" t="str">
        <f>""</f>
        <v/>
      </c>
      <c r="H1194" s="14" t="str">
        <f>" 10"</f>
        <v xml:space="preserve"> 10</v>
      </c>
      <c r="I1194" s="14">
        <v>0.01</v>
      </c>
      <c r="J1194" s="14">
        <v>500</v>
      </c>
      <c r="K1194" s="14" t="s">
        <v>146</v>
      </c>
      <c r="L1194" s="14" t="s">
        <v>147</v>
      </c>
      <c r="P1194" s="14" t="s">
        <v>39</v>
      </c>
      <c r="Q1194" s="14" t="s">
        <v>25</v>
      </c>
      <c r="R1194" s="14" t="s">
        <v>146</v>
      </c>
    </row>
    <row r="1195" spans="1:18" s="14" customFormat="1" x14ac:dyDescent="0.25">
      <c r="A1195" s="14" t="str">
        <f>"18081"</f>
        <v>18081</v>
      </c>
      <c r="B1195" s="14" t="str">
        <f>"01670"</f>
        <v>01670</v>
      </c>
      <c r="C1195" s="14" t="str">
        <f>"1600"</f>
        <v>1600</v>
      </c>
      <c r="D1195" s="14" t="str">
        <f>"18081"</f>
        <v>18081</v>
      </c>
      <c r="E1195" s="14" t="s">
        <v>660</v>
      </c>
      <c r="F1195" s="14" t="s">
        <v>151</v>
      </c>
      <c r="G1195" s="14" t="str">
        <f>""</f>
        <v/>
      </c>
      <c r="H1195" s="14" t="str">
        <f>" 20"</f>
        <v xml:space="preserve"> 20</v>
      </c>
      <c r="I1195" s="14">
        <v>500.01</v>
      </c>
      <c r="J1195" s="14">
        <v>9999999.9900000002</v>
      </c>
      <c r="K1195" s="14" t="s">
        <v>147</v>
      </c>
      <c r="L1195" s="14" t="s">
        <v>661</v>
      </c>
      <c r="P1195" s="14" t="s">
        <v>39</v>
      </c>
      <c r="Q1195" s="14" t="s">
        <v>25</v>
      </c>
      <c r="R1195" s="14" t="s">
        <v>146</v>
      </c>
    </row>
    <row r="1196" spans="1:18" s="14" customFormat="1" x14ac:dyDescent="0.25">
      <c r="A1196" s="14" t="str">
        <f>"18082"</f>
        <v>18082</v>
      </c>
      <c r="B1196" s="14" t="str">
        <f>"01330"</f>
        <v>01330</v>
      </c>
      <c r="C1196" s="14" t="str">
        <f>"1200"</f>
        <v>1200</v>
      </c>
      <c r="D1196" s="14" t="str">
        <f>"18082"</f>
        <v>18082</v>
      </c>
      <c r="E1196" s="14" t="s">
        <v>662</v>
      </c>
      <c r="F1196" s="14" t="s">
        <v>105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48</v>
      </c>
      <c r="L1196" s="14" t="s">
        <v>97</v>
      </c>
      <c r="M1196" s="14" t="s">
        <v>98</v>
      </c>
      <c r="P1196" s="14" t="s">
        <v>39</v>
      </c>
      <c r="Q1196" s="14" t="s">
        <v>25</v>
      </c>
      <c r="R1196" s="14" t="s">
        <v>663</v>
      </c>
    </row>
    <row r="1197" spans="1:18" s="14" customFormat="1" x14ac:dyDescent="0.25">
      <c r="A1197" s="14" t="str">
        <f>"18084"</f>
        <v>18084</v>
      </c>
      <c r="B1197" s="14" t="str">
        <f>"01780"</f>
        <v>01780</v>
      </c>
      <c r="C1197" s="14" t="str">
        <f>"1600"</f>
        <v>1600</v>
      </c>
      <c r="D1197" s="14" t="str">
        <f>"18084"</f>
        <v>18084</v>
      </c>
      <c r="E1197" s="14" t="s">
        <v>664</v>
      </c>
      <c r="F1197" s="14" t="s">
        <v>175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647</v>
      </c>
      <c r="L1197" s="14" t="s">
        <v>112</v>
      </c>
      <c r="M1197" s="14" t="s">
        <v>113</v>
      </c>
      <c r="N1197" s="14" t="s">
        <v>114</v>
      </c>
      <c r="P1197" s="14" t="s">
        <v>31</v>
      </c>
      <c r="Q1197" s="14" t="s">
        <v>25</v>
      </c>
      <c r="R1197" s="14" t="s">
        <v>115</v>
      </c>
    </row>
    <row r="1198" spans="1:18" s="14" customFormat="1" x14ac:dyDescent="0.25">
      <c r="A1198" s="14" t="str">
        <f>"18090"</f>
        <v>18090</v>
      </c>
      <c r="B1198" s="14" t="str">
        <f>"01225"</f>
        <v>01225</v>
      </c>
      <c r="C1198" s="14" t="str">
        <f>"1300"</f>
        <v>1300</v>
      </c>
      <c r="D1198" s="14" t="str">
        <f>"18090"</f>
        <v>18090</v>
      </c>
      <c r="E1198" s="14" t="s">
        <v>665</v>
      </c>
      <c r="F1198" s="14" t="s">
        <v>73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50</v>
      </c>
      <c r="L1198" s="14" t="s">
        <v>37</v>
      </c>
      <c r="P1198" s="14" t="s">
        <v>31</v>
      </c>
      <c r="Q1198" s="14" t="s">
        <v>25</v>
      </c>
      <c r="R1198" s="14" t="s">
        <v>74</v>
      </c>
    </row>
    <row r="1199" spans="1:18" s="14" customFormat="1" x14ac:dyDescent="0.25">
      <c r="A1199" s="14" t="str">
        <f>"18092"</f>
        <v>18092</v>
      </c>
      <c r="B1199" s="14" t="str">
        <f>"05151"</f>
        <v>05151</v>
      </c>
      <c r="C1199" s="14" t="str">
        <f>"1100"</f>
        <v>1100</v>
      </c>
      <c r="D1199" s="14" t="str">
        <f>"05151A"</f>
        <v>05151A</v>
      </c>
      <c r="E1199" s="14" t="s">
        <v>666</v>
      </c>
      <c r="F1199" s="14" t="s">
        <v>666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404</v>
      </c>
      <c r="L1199" s="14" t="s">
        <v>405</v>
      </c>
      <c r="P1199" s="14" t="s">
        <v>39</v>
      </c>
      <c r="Q1199" s="14" t="s">
        <v>25</v>
      </c>
      <c r="R1199" s="14" t="s">
        <v>403</v>
      </c>
    </row>
    <row r="1200" spans="1:18" s="14" customFormat="1" x14ac:dyDescent="0.25">
      <c r="A1200" s="14" t="str">
        <f>"18092"</f>
        <v>18092</v>
      </c>
      <c r="B1200" s="14" t="str">
        <f>"05152"</f>
        <v>05152</v>
      </c>
      <c r="C1200" s="14" t="str">
        <f>"1700"</f>
        <v>1700</v>
      </c>
      <c r="D1200" s="14" t="str">
        <f>"05152A"</f>
        <v>05152A</v>
      </c>
      <c r="E1200" s="14" t="s">
        <v>666</v>
      </c>
      <c r="F1200" s="14" t="s">
        <v>667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404</v>
      </c>
      <c r="L1200" s="14" t="s">
        <v>405</v>
      </c>
      <c r="P1200" s="14" t="s">
        <v>39</v>
      </c>
      <c r="Q1200" s="14" t="s">
        <v>25</v>
      </c>
      <c r="R1200" s="14" t="s">
        <v>403</v>
      </c>
    </row>
    <row r="1201" spans="1:18" s="14" customFormat="1" x14ac:dyDescent="0.25">
      <c r="A1201" s="14" t="str">
        <f>"18095"</f>
        <v>18095</v>
      </c>
      <c r="B1201" s="14" t="str">
        <f>"01400"</f>
        <v>01400</v>
      </c>
      <c r="C1201" s="14" t="str">
        <f>"1600"</f>
        <v>1600</v>
      </c>
      <c r="D1201" s="14" t="str">
        <f>"18095"</f>
        <v>18095</v>
      </c>
      <c r="E1201" s="14" t="s">
        <v>668</v>
      </c>
      <c r="F1201" s="14" t="s">
        <v>117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69</v>
      </c>
      <c r="L1201" s="14" t="s">
        <v>70</v>
      </c>
      <c r="M1201" s="14" t="s">
        <v>71</v>
      </c>
      <c r="P1201" s="14" t="s">
        <v>31</v>
      </c>
      <c r="Q1201" s="14" t="s">
        <v>25</v>
      </c>
      <c r="R1201" s="14" t="s">
        <v>72</v>
      </c>
    </row>
    <row r="1202" spans="1:18" s="14" customFormat="1" x14ac:dyDescent="0.25">
      <c r="A1202" s="14" t="str">
        <f>"18098"</f>
        <v>18098</v>
      </c>
      <c r="B1202" s="14" t="str">
        <f>"03150"</f>
        <v>03150</v>
      </c>
      <c r="C1202" s="14" t="str">
        <f>"1500"</f>
        <v>1500</v>
      </c>
      <c r="D1202" s="14" t="str">
        <f>"18098"</f>
        <v>18098</v>
      </c>
      <c r="E1202" s="14" t="s">
        <v>249</v>
      </c>
      <c r="F1202" s="14" t="s">
        <v>249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236</v>
      </c>
      <c r="L1202" s="14" t="s">
        <v>237</v>
      </c>
      <c r="M1202" s="14" t="s">
        <v>238</v>
      </c>
      <c r="P1202" s="14" t="s">
        <v>239</v>
      </c>
      <c r="Q1202" s="14" t="s">
        <v>25</v>
      </c>
      <c r="R1202" s="14" t="s">
        <v>1930</v>
      </c>
    </row>
    <row r="1203" spans="1:18" s="14" customFormat="1" x14ac:dyDescent="0.25">
      <c r="A1203" s="14" t="str">
        <f>"18100"</f>
        <v>18100</v>
      </c>
      <c r="B1203" s="14" t="str">
        <f>"01225"</f>
        <v>01225</v>
      </c>
      <c r="C1203" s="14" t="str">
        <f>"1300"</f>
        <v>1300</v>
      </c>
      <c r="D1203" s="14" t="str">
        <f>"18100"</f>
        <v>18100</v>
      </c>
      <c r="E1203" s="14" t="s">
        <v>669</v>
      </c>
      <c r="F1203" s="14" t="s">
        <v>73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50</v>
      </c>
      <c r="L1203" s="14" t="s">
        <v>37</v>
      </c>
      <c r="P1203" s="14" t="s">
        <v>31</v>
      </c>
      <c r="Q1203" s="14" t="s">
        <v>25</v>
      </c>
      <c r="R1203" s="14" t="s">
        <v>50</v>
      </c>
    </row>
    <row r="1204" spans="1:18" s="14" customFormat="1" x14ac:dyDescent="0.25">
      <c r="A1204" s="14" t="str">
        <f>"18101"</f>
        <v>18101</v>
      </c>
      <c r="B1204" s="14" t="str">
        <f>"02000"</f>
        <v>02000</v>
      </c>
      <c r="C1204" s="14" t="str">
        <f>"1400"</f>
        <v>1400</v>
      </c>
      <c r="D1204" s="14" t="str">
        <f>"18101"</f>
        <v>18101</v>
      </c>
      <c r="E1204" s="14" t="s">
        <v>670</v>
      </c>
      <c r="F1204" s="14" t="s">
        <v>189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28</v>
      </c>
      <c r="L1204" s="14" t="s">
        <v>210</v>
      </c>
      <c r="P1204" s="14" t="s">
        <v>31</v>
      </c>
      <c r="Q1204" s="14" t="s">
        <v>25</v>
      </c>
      <c r="R1204" s="14" t="s">
        <v>32</v>
      </c>
    </row>
    <row r="1205" spans="1:18" s="14" customFormat="1" x14ac:dyDescent="0.25">
      <c r="A1205" s="14" t="str">
        <f>"18102"</f>
        <v>18102</v>
      </c>
      <c r="B1205" s="14" t="str">
        <f>"01687"</f>
        <v>01687</v>
      </c>
      <c r="C1205" s="14" t="str">
        <f>"1600"</f>
        <v>1600</v>
      </c>
      <c r="D1205" s="14" t="str">
        <f>"18102"</f>
        <v>18102</v>
      </c>
      <c r="E1205" s="14" t="s">
        <v>671</v>
      </c>
      <c r="F1205" s="14" t="s">
        <v>590</v>
      </c>
      <c r="G1205" s="14" t="str">
        <f>""</f>
        <v/>
      </c>
      <c r="H1205" s="14" t="str">
        <f>" 10"</f>
        <v xml:space="preserve"> 10</v>
      </c>
      <c r="I1205" s="14">
        <v>0.01</v>
      </c>
      <c r="J1205" s="14">
        <v>500</v>
      </c>
      <c r="K1205" s="14" t="s">
        <v>146</v>
      </c>
      <c r="L1205" s="14" t="s">
        <v>147</v>
      </c>
      <c r="P1205" s="14" t="s">
        <v>39</v>
      </c>
      <c r="Q1205" s="14" t="s">
        <v>25</v>
      </c>
      <c r="R1205" s="14" t="s">
        <v>146</v>
      </c>
    </row>
    <row r="1206" spans="1:18" s="14" customFormat="1" x14ac:dyDescent="0.25">
      <c r="A1206" s="14" t="str">
        <f>"18102"</f>
        <v>18102</v>
      </c>
      <c r="B1206" s="14" t="str">
        <f>"01687"</f>
        <v>01687</v>
      </c>
      <c r="C1206" s="14" t="str">
        <f>"1600"</f>
        <v>1600</v>
      </c>
      <c r="D1206" s="14" t="str">
        <f>"18102"</f>
        <v>18102</v>
      </c>
      <c r="E1206" s="14" t="s">
        <v>671</v>
      </c>
      <c r="F1206" s="14" t="s">
        <v>590</v>
      </c>
      <c r="G1206" s="14" t="str">
        <f>""</f>
        <v/>
      </c>
      <c r="H1206" s="14" t="str">
        <f>" 20"</f>
        <v xml:space="preserve"> 20</v>
      </c>
      <c r="I1206" s="14">
        <v>500.01</v>
      </c>
      <c r="J1206" s="14">
        <v>9999999.9900000002</v>
      </c>
      <c r="K1206" s="14" t="s">
        <v>591</v>
      </c>
      <c r="L1206" s="14" t="s">
        <v>147</v>
      </c>
      <c r="P1206" s="14" t="s">
        <v>39</v>
      </c>
      <c r="Q1206" s="14" t="s">
        <v>25</v>
      </c>
      <c r="R1206" s="14" t="s">
        <v>146</v>
      </c>
    </row>
    <row r="1207" spans="1:18" s="14" customFormat="1" x14ac:dyDescent="0.25">
      <c r="A1207" s="14" t="str">
        <f>"18103"</f>
        <v>18103</v>
      </c>
      <c r="B1207" s="14" t="str">
        <f>"02040"</f>
        <v>02040</v>
      </c>
      <c r="C1207" s="14" t="str">
        <f>"1600"</f>
        <v>1600</v>
      </c>
      <c r="D1207" s="14" t="str">
        <f>"18103"</f>
        <v>18103</v>
      </c>
      <c r="E1207" s="14" t="s">
        <v>672</v>
      </c>
      <c r="F1207" s="14" t="s">
        <v>195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193</v>
      </c>
      <c r="L1207" s="14" t="s">
        <v>196</v>
      </c>
      <c r="M1207" s="14" t="s">
        <v>25</v>
      </c>
      <c r="P1207" s="14" t="s">
        <v>31</v>
      </c>
      <c r="Q1207" s="14" t="s">
        <v>25</v>
      </c>
      <c r="R1207" s="14" t="s">
        <v>193</v>
      </c>
    </row>
    <row r="1208" spans="1:18" s="14" customFormat="1" x14ac:dyDescent="0.25">
      <c r="A1208" s="14" t="str">
        <f>"18106"</f>
        <v>18106</v>
      </c>
      <c r="B1208" s="14" t="str">
        <f>"00161"</f>
        <v>00161</v>
      </c>
      <c r="C1208" s="14" t="str">
        <f>"1600"</f>
        <v>1600</v>
      </c>
      <c r="D1208" s="14" t="str">
        <f>"00161"</f>
        <v>00161</v>
      </c>
      <c r="E1208" s="14" t="s">
        <v>673</v>
      </c>
      <c r="F1208" s="14" t="s">
        <v>674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25</v>
      </c>
      <c r="L1208" s="14" t="s">
        <v>34</v>
      </c>
      <c r="M1208" s="14" t="s">
        <v>23</v>
      </c>
      <c r="P1208" s="14" t="s">
        <v>31</v>
      </c>
      <c r="Q1208" s="14" t="s">
        <v>25</v>
      </c>
      <c r="R1208" s="14" t="s">
        <v>23</v>
      </c>
    </row>
    <row r="1209" spans="1:18" s="14" customFormat="1" x14ac:dyDescent="0.25">
      <c r="A1209" s="14" t="str">
        <f>"18107"</f>
        <v>18107</v>
      </c>
      <c r="B1209" s="14" t="str">
        <f>"01047"</f>
        <v>01047</v>
      </c>
      <c r="C1209" s="14" t="str">
        <f>"1600"</f>
        <v>1600</v>
      </c>
      <c r="D1209" s="14" t="str">
        <f>"18107"</f>
        <v>18107</v>
      </c>
      <c r="E1209" s="14" t="s">
        <v>675</v>
      </c>
      <c r="F1209" s="14" t="s">
        <v>59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60</v>
      </c>
      <c r="L1209" s="14" t="s">
        <v>661</v>
      </c>
      <c r="P1209" s="14" t="s">
        <v>31</v>
      </c>
      <c r="Q1209" s="14" t="s">
        <v>25</v>
      </c>
      <c r="R1209" s="14" t="s">
        <v>60</v>
      </c>
    </row>
    <row r="1210" spans="1:18" s="14" customFormat="1" x14ac:dyDescent="0.25">
      <c r="A1210" s="14" t="str">
        <f>"18108"</f>
        <v>18108</v>
      </c>
      <c r="B1210" s="14" t="str">
        <f>"01682"</f>
        <v>01682</v>
      </c>
      <c r="C1210" s="14" t="str">
        <f>"1600"</f>
        <v>1600</v>
      </c>
      <c r="D1210" s="14" t="str">
        <f>"01682"</f>
        <v>01682</v>
      </c>
      <c r="E1210" s="14" t="s">
        <v>590</v>
      </c>
      <c r="F1210" s="14" t="s">
        <v>676</v>
      </c>
      <c r="G1210" s="14" t="str">
        <f>""</f>
        <v/>
      </c>
      <c r="H1210" s="14" t="str">
        <f>" 10"</f>
        <v xml:space="preserve"> 10</v>
      </c>
      <c r="I1210" s="14">
        <v>0.01</v>
      </c>
      <c r="J1210" s="14">
        <v>500</v>
      </c>
      <c r="K1210" s="14" t="s">
        <v>146</v>
      </c>
      <c r="L1210" s="14" t="s">
        <v>147</v>
      </c>
      <c r="P1210" s="14" t="s">
        <v>39</v>
      </c>
      <c r="Q1210" s="14" t="s">
        <v>25</v>
      </c>
      <c r="R1210" s="14" t="s">
        <v>146</v>
      </c>
    </row>
    <row r="1211" spans="1:18" s="14" customFormat="1" x14ac:dyDescent="0.25">
      <c r="A1211" s="14" t="str">
        <f>"18108"</f>
        <v>18108</v>
      </c>
      <c r="B1211" s="14" t="str">
        <f>"01682"</f>
        <v>01682</v>
      </c>
      <c r="C1211" s="14" t="str">
        <f>"1600"</f>
        <v>1600</v>
      </c>
      <c r="D1211" s="14" t="str">
        <f>"01682"</f>
        <v>01682</v>
      </c>
      <c r="E1211" s="14" t="s">
        <v>590</v>
      </c>
      <c r="F1211" s="14" t="s">
        <v>676</v>
      </c>
      <c r="G1211" s="14" t="str">
        <f>""</f>
        <v/>
      </c>
      <c r="H1211" s="14" t="str">
        <f>" 20"</f>
        <v xml:space="preserve"> 20</v>
      </c>
      <c r="I1211" s="14">
        <v>500.01</v>
      </c>
      <c r="J1211" s="14">
        <v>9999999.9900000002</v>
      </c>
      <c r="K1211" s="14" t="s">
        <v>591</v>
      </c>
      <c r="L1211" s="14" t="s">
        <v>147</v>
      </c>
      <c r="P1211" s="14" t="s">
        <v>39</v>
      </c>
      <c r="Q1211" s="14" t="s">
        <v>25</v>
      </c>
      <c r="R1211" s="14" t="s">
        <v>146</v>
      </c>
    </row>
    <row r="1212" spans="1:18" s="14" customFormat="1" x14ac:dyDescent="0.25">
      <c r="A1212" s="14" t="str">
        <f>"18108"</f>
        <v>18108</v>
      </c>
      <c r="B1212" s="14" t="str">
        <f>"01687"</f>
        <v>01687</v>
      </c>
      <c r="C1212" s="14" t="str">
        <f>"1600"</f>
        <v>1600</v>
      </c>
      <c r="D1212" s="14" t="str">
        <f>"01687"</f>
        <v>01687</v>
      </c>
      <c r="E1212" s="14" t="s">
        <v>590</v>
      </c>
      <c r="F1212" s="14" t="s">
        <v>590</v>
      </c>
      <c r="G1212" s="14" t="str">
        <f>""</f>
        <v/>
      </c>
      <c r="H1212" s="14" t="str">
        <f>" 10"</f>
        <v xml:space="preserve"> 10</v>
      </c>
      <c r="I1212" s="14">
        <v>0.01</v>
      </c>
      <c r="J1212" s="14">
        <v>500</v>
      </c>
      <c r="K1212" s="14" t="s">
        <v>146</v>
      </c>
      <c r="L1212" s="14" t="s">
        <v>147</v>
      </c>
      <c r="P1212" s="14" t="s">
        <v>39</v>
      </c>
      <c r="Q1212" s="14" t="s">
        <v>25</v>
      </c>
      <c r="R1212" s="14" t="s">
        <v>146</v>
      </c>
    </row>
    <row r="1213" spans="1:18" s="14" customFormat="1" x14ac:dyDescent="0.25">
      <c r="A1213" s="14" t="str">
        <f>"18108"</f>
        <v>18108</v>
      </c>
      <c r="B1213" s="14" t="str">
        <f>"01687"</f>
        <v>01687</v>
      </c>
      <c r="C1213" s="14" t="str">
        <f>"1600"</f>
        <v>1600</v>
      </c>
      <c r="D1213" s="14" t="str">
        <f>"01687"</f>
        <v>01687</v>
      </c>
      <c r="E1213" s="14" t="s">
        <v>590</v>
      </c>
      <c r="F1213" s="14" t="s">
        <v>590</v>
      </c>
      <c r="G1213" s="14" t="str">
        <f>""</f>
        <v/>
      </c>
      <c r="H1213" s="14" t="str">
        <f>" 20"</f>
        <v xml:space="preserve"> 20</v>
      </c>
      <c r="I1213" s="14">
        <v>500.01</v>
      </c>
      <c r="J1213" s="14">
        <v>9999999.9900000002</v>
      </c>
      <c r="K1213" s="14" t="s">
        <v>591</v>
      </c>
      <c r="L1213" s="14" t="s">
        <v>147</v>
      </c>
      <c r="P1213" s="14" t="s">
        <v>39</v>
      </c>
      <c r="Q1213" s="14" t="s">
        <v>25</v>
      </c>
      <c r="R1213" s="14" t="s">
        <v>146</v>
      </c>
    </row>
    <row r="1214" spans="1:18" s="14" customFormat="1" x14ac:dyDescent="0.25">
      <c r="A1214" s="14" t="str">
        <f>"18108"</f>
        <v>18108</v>
      </c>
      <c r="B1214" s="14" t="str">
        <f>"01689"</f>
        <v>01689</v>
      </c>
      <c r="C1214" s="14" t="str">
        <f>"1600"</f>
        <v>1600</v>
      </c>
      <c r="D1214" s="14" t="str">
        <f>"01689"</f>
        <v>01689</v>
      </c>
      <c r="E1214" s="14" t="s">
        <v>590</v>
      </c>
      <c r="F1214" s="14" t="s">
        <v>677</v>
      </c>
      <c r="G1214" s="14" t="str">
        <f>""</f>
        <v/>
      </c>
      <c r="H1214" s="14" t="str">
        <f>" 10"</f>
        <v xml:space="preserve"> 10</v>
      </c>
      <c r="I1214" s="14">
        <v>0.01</v>
      </c>
      <c r="J1214" s="14">
        <v>500</v>
      </c>
      <c r="K1214" s="14" t="s">
        <v>146</v>
      </c>
      <c r="L1214" s="14" t="s">
        <v>147</v>
      </c>
      <c r="P1214" s="14" t="s">
        <v>39</v>
      </c>
      <c r="Q1214" s="14" t="s">
        <v>25</v>
      </c>
      <c r="R1214" s="14" t="s">
        <v>146</v>
      </c>
    </row>
    <row r="1215" spans="1:18" s="14" customFormat="1" x14ac:dyDescent="0.25">
      <c r="A1215" s="14" t="str">
        <f>"18108"</f>
        <v>18108</v>
      </c>
      <c r="B1215" s="14" t="str">
        <f>"01689"</f>
        <v>01689</v>
      </c>
      <c r="C1215" s="14" t="str">
        <f>"1600"</f>
        <v>1600</v>
      </c>
      <c r="D1215" s="14" t="str">
        <f>"01689"</f>
        <v>01689</v>
      </c>
      <c r="E1215" s="14" t="s">
        <v>590</v>
      </c>
      <c r="F1215" s="14" t="s">
        <v>677</v>
      </c>
      <c r="G1215" s="14" t="str">
        <f>""</f>
        <v/>
      </c>
      <c r="H1215" s="14" t="str">
        <f>" 20"</f>
        <v xml:space="preserve"> 20</v>
      </c>
      <c r="I1215" s="14">
        <v>500.01</v>
      </c>
      <c r="J1215" s="14">
        <v>9999999.9900000002</v>
      </c>
      <c r="K1215" s="14" t="s">
        <v>591</v>
      </c>
      <c r="L1215" s="14" t="s">
        <v>147</v>
      </c>
      <c r="P1215" s="14" t="s">
        <v>39</v>
      </c>
      <c r="Q1215" s="14" t="s">
        <v>25</v>
      </c>
      <c r="R1215" s="14" t="s">
        <v>146</v>
      </c>
    </row>
    <row r="1216" spans="1:18" s="14" customFormat="1" x14ac:dyDescent="0.25">
      <c r="A1216" s="14" t="str">
        <f>"18108"</f>
        <v>18108</v>
      </c>
      <c r="B1216" s="14" t="str">
        <f>"01701"</f>
        <v>01701</v>
      </c>
      <c r="C1216" s="14" t="str">
        <f>"1600"</f>
        <v>1600</v>
      </c>
      <c r="D1216" s="14" t="str">
        <f>"01701"</f>
        <v>01701</v>
      </c>
      <c r="E1216" s="14" t="s">
        <v>590</v>
      </c>
      <c r="F1216" s="14" t="s">
        <v>678</v>
      </c>
      <c r="G1216" s="14" t="str">
        <f>""</f>
        <v/>
      </c>
      <c r="H1216" s="14" t="str">
        <f>" 10"</f>
        <v xml:space="preserve"> 10</v>
      </c>
      <c r="I1216" s="14">
        <v>0.01</v>
      </c>
      <c r="J1216" s="14">
        <v>500</v>
      </c>
      <c r="K1216" s="14" t="s">
        <v>146</v>
      </c>
      <c r="L1216" s="14" t="s">
        <v>147</v>
      </c>
      <c r="P1216" s="14" t="s">
        <v>39</v>
      </c>
      <c r="Q1216" s="14" t="s">
        <v>25</v>
      </c>
      <c r="R1216" s="14" t="s">
        <v>146</v>
      </c>
    </row>
    <row r="1217" spans="1:18" s="14" customFormat="1" x14ac:dyDescent="0.25">
      <c r="A1217" s="14" t="str">
        <f>"18108"</f>
        <v>18108</v>
      </c>
      <c r="B1217" s="14" t="str">
        <f>"01701"</f>
        <v>01701</v>
      </c>
      <c r="C1217" s="14" t="str">
        <f>"1600"</f>
        <v>1600</v>
      </c>
      <c r="D1217" s="14" t="str">
        <f>"01701"</f>
        <v>01701</v>
      </c>
      <c r="E1217" s="14" t="s">
        <v>590</v>
      </c>
      <c r="F1217" s="14" t="s">
        <v>678</v>
      </c>
      <c r="G1217" s="14" t="str">
        <f>""</f>
        <v/>
      </c>
      <c r="H1217" s="14" t="str">
        <f>" 20"</f>
        <v xml:space="preserve"> 20</v>
      </c>
      <c r="I1217" s="14">
        <v>500.01</v>
      </c>
      <c r="J1217" s="14">
        <v>9999999.9900000002</v>
      </c>
      <c r="K1217" s="14" t="s">
        <v>591</v>
      </c>
      <c r="L1217" s="14" t="s">
        <v>147</v>
      </c>
      <c r="P1217" s="14" t="s">
        <v>39</v>
      </c>
      <c r="Q1217" s="14" t="s">
        <v>25</v>
      </c>
      <c r="R1217" s="14" t="s">
        <v>146</v>
      </c>
    </row>
    <row r="1218" spans="1:18" s="14" customFormat="1" x14ac:dyDescent="0.25">
      <c r="A1218" s="14" t="str">
        <f>"18108"</f>
        <v>18108</v>
      </c>
      <c r="B1218" s="14" t="str">
        <f>"01703"</f>
        <v>01703</v>
      </c>
      <c r="C1218" s="14" t="str">
        <f>"1600"</f>
        <v>1600</v>
      </c>
      <c r="D1218" s="14" t="str">
        <f>"01703"</f>
        <v>01703</v>
      </c>
      <c r="E1218" s="14" t="s">
        <v>590</v>
      </c>
      <c r="F1218" s="14" t="s">
        <v>679</v>
      </c>
      <c r="G1218" s="14" t="str">
        <f>""</f>
        <v/>
      </c>
      <c r="H1218" s="14" t="str">
        <f>" 10"</f>
        <v xml:space="preserve"> 10</v>
      </c>
      <c r="I1218" s="14">
        <v>0.01</v>
      </c>
      <c r="J1218" s="14">
        <v>500</v>
      </c>
      <c r="K1218" s="14" t="s">
        <v>146</v>
      </c>
      <c r="L1218" s="14" t="s">
        <v>147</v>
      </c>
      <c r="P1218" s="14" t="s">
        <v>39</v>
      </c>
      <c r="Q1218" s="14" t="s">
        <v>25</v>
      </c>
      <c r="R1218" s="14" t="s">
        <v>146</v>
      </c>
    </row>
    <row r="1219" spans="1:18" s="14" customFormat="1" x14ac:dyDescent="0.25">
      <c r="A1219" s="14" t="str">
        <f>"18108"</f>
        <v>18108</v>
      </c>
      <c r="B1219" s="14" t="str">
        <f>"01703"</f>
        <v>01703</v>
      </c>
      <c r="C1219" s="14" t="str">
        <f>"1600"</f>
        <v>1600</v>
      </c>
      <c r="D1219" s="14" t="str">
        <f>"01703"</f>
        <v>01703</v>
      </c>
      <c r="E1219" s="14" t="s">
        <v>590</v>
      </c>
      <c r="F1219" s="14" t="s">
        <v>679</v>
      </c>
      <c r="G1219" s="14" t="str">
        <f>""</f>
        <v/>
      </c>
      <c r="H1219" s="14" t="str">
        <f>" 20"</f>
        <v xml:space="preserve"> 20</v>
      </c>
      <c r="I1219" s="14">
        <v>500.01</v>
      </c>
      <c r="J1219" s="14">
        <v>9999999.9900000002</v>
      </c>
      <c r="K1219" s="14" t="s">
        <v>591</v>
      </c>
      <c r="L1219" s="14" t="s">
        <v>147</v>
      </c>
      <c r="P1219" s="14" t="s">
        <v>39</v>
      </c>
      <c r="Q1219" s="14" t="s">
        <v>25</v>
      </c>
      <c r="R1219" s="14" t="s">
        <v>146</v>
      </c>
    </row>
    <row r="1220" spans="1:18" s="14" customFormat="1" x14ac:dyDescent="0.25">
      <c r="A1220" s="14" t="str">
        <f>"18108"</f>
        <v>18108</v>
      </c>
      <c r="B1220" s="14" t="str">
        <f>"01706"</f>
        <v>01706</v>
      </c>
      <c r="C1220" s="14" t="str">
        <f>"1600"</f>
        <v>1600</v>
      </c>
      <c r="D1220" s="14" t="str">
        <f>"01706"</f>
        <v>01706</v>
      </c>
      <c r="E1220" s="14" t="s">
        <v>590</v>
      </c>
      <c r="F1220" s="14" t="s">
        <v>680</v>
      </c>
      <c r="G1220" s="14" t="str">
        <f>""</f>
        <v/>
      </c>
      <c r="H1220" s="14" t="str">
        <f>" 10"</f>
        <v xml:space="preserve"> 10</v>
      </c>
      <c r="I1220" s="14">
        <v>0.01</v>
      </c>
      <c r="J1220" s="14">
        <v>500</v>
      </c>
      <c r="K1220" s="14" t="s">
        <v>146</v>
      </c>
      <c r="L1220" s="14" t="s">
        <v>147</v>
      </c>
      <c r="P1220" s="14" t="s">
        <v>39</v>
      </c>
      <c r="Q1220" s="14" t="s">
        <v>25</v>
      </c>
      <c r="R1220" s="14" t="s">
        <v>146</v>
      </c>
    </row>
    <row r="1221" spans="1:18" s="14" customFormat="1" x14ac:dyDescent="0.25">
      <c r="A1221" s="14" t="str">
        <f>"18108"</f>
        <v>18108</v>
      </c>
      <c r="B1221" s="14" t="str">
        <f>"01706"</f>
        <v>01706</v>
      </c>
      <c r="C1221" s="14" t="str">
        <f>"1600"</f>
        <v>1600</v>
      </c>
      <c r="D1221" s="14" t="str">
        <f>"01706"</f>
        <v>01706</v>
      </c>
      <c r="E1221" s="14" t="s">
        <v>590</v>
      </c>
      <c r="F1221" s="14" t="s">
        <v>680</v>
      </c>
      <c r="G1221" s="14" t="str">
        <f>""</f>
        <v/>
      </c>
      <c r="H1221" s="14" t="str">
        <f>" 20"</f>
        <v xml:space="preserve"> 20</v>
      </c>
      <c r="I1221" s="14">
        <v>500.01</v>
      </c>
      <c r="J1221" s="14">
        <v>9999999.9900000002</v>
      </c>
      <c r="K1221" s="14" t="s">
        <v>591</v>
      </c>
      <c r="L1221" s="14" t="s">
        <v>147</v>
      </c>
      <c r="P1221" s="14" t="s">
        <v>39</v>
      </c>
      <c r="Q1221" s="14" t="s">
        <v>25</v>
      </c>
      <c r="R1221" s="14" t="s">
        <v>146</v>
      </c>
    </row>
    <row r="1222" spans="1:18" s="14" customFormat="1" x14ac:dyDescent="0.25">
      <c r="A1222" s="14" t="str">
        <f>"18108"</f>
        <v>18108</v>
      </c>
      <c r="B1222" s="14" t="str">
        <f>"01707"</f>
        <v>01707</v>
      </c>
      <c r="C1222" s="14" t="str">
        <f>"1600"</f>
        <v>1600</v>
      </c>
      <c r="D1222" s="14" t="str">
        <f>"01707"</f>
        <v>01707</v>
      </c>
      <c r="E1222" s="14" t="s">
        <v>590</v>
      </c>
      <c r="F1222" s="14" t="s">
        <v>681</v>
      </c>
      <c r="G1222" s="14" t="str">
        <f>""</f>
        <v/>
      </c>
      <c r="H1222" s="14" t="str">
        <f>" 10"</f>
        <v xml:space="preserve"> 10</v>
      </c>
      <c r="I1222" s="14">
        <v>0.01</v>
      </c>
      <c r="J1222" s="14">
        <v>500</v>
      </c>
      <c r="K1222" s="14" t="s">
        <v>146</v>
      </c>
      <c r="L1222" s="14" t="s">
        <v>147</v>
      </c>
      <c r="P1222" s="14" t="s">
        <v>39</v>
      </c>
      <c r="Q1222" s="14" t="s">
        <v>25</v>
      </c>
      <c r="R1222" s="14" t="s">
        <v>146</v>
      </c>
    </row>
    <row r="1223" spans="1:18" s="14" customFormat="1" x14ac:dyDescent="0.25">
      <c r="A1223" s="14" t="str">
        <f>"18108"</f>
        <v>18108</v>
      </c>
      <c r="B1223" s="14" t="str">
        <f>"01707"</f>
        <v>01707</v>
      </c>
      <c r="C1223" s="14" t="str">
        <f>"1600"</f>
        <v>1600</v>
      </c>
      <c r="D1223" s="14" t="str">
        <f>"01707"</f>
        <v>01707</v>
      </c>
      <c r="E1223" s="14" t="s">
        <v>590</v>
      </c>
      <c r="F1223" s="14" t="s">
        <v>681</v>
      </c>
      <c r="G1223" s="14" t="str">
        <f>""</f>
        <v/>
      </c>
      <c r="H1223" s="14" t="str">
        <f>" 20"</f>
        <v xml:space="preserve"> 20</v>
      </c>
      <c r="I1223" s="14">
        <v>500.01</v>
      </c>
      <c r="J1223" s="14">
        <v>9999999.9900000002</v>
      </c>
      <c r="K1223" s="14" t="s">
        <v>591</v>
      </c>
      <c r="L1223" s="14" t="s">
        <v>147</v>
      </c>
      <c r="P1223" s="14" t="s">
        <v>39</v>
      </c>
      <c r="Q1223" s="14" t="s">
        <v>25</v>
      </c>
      <c r="R1223" s="14" t="s">
        <v>146</v>
      </c>
    </row>
    <row r="1224" spans="1:18" s="14" customFormat="1" x14ac:dyDescent="0.25">
      <c r="A1224" s="14" t="str">
        <f>"18108"</f>
        <v>18108</v>
      </c>
      <c r="B1224" s="14" t="str">
        <f>"01709"</f>
        <v>01709</v>
      </c>
      <c r="C1224" s="14" t="str">
        <f>"1600"</f>
        <v>1600</v>
      </c>
      <c r="D1224" s="14" t="str">
        <f>"01709"</f>
        <v>01709</v>
      </c>
      <c r="E1224" s="14" t="s">
        <v>590</v>
      </c>
      <c r="F1224" s="14" t="s">
        <v>682</v>
      </c>
      <c r="G1224" s="14" t="str">
        <f>""</f>
        <v/>
      </c>
      <c r="H1224" s="14" t="str">
        <f>" 10"</f>
        <v xml:space="preserve"> 10</v>
      </c>
      <c r="I1224" s="14">
        <v>0.01</v>
      </c>
      <c r="J1224" s="14">
        <v>500</v>
      </c>
      <c r="K1224" s="14" t="s">
        <v>146</v>
      </c>
      <c r="L1224" s="14" t="s">
        <v>147</v>
      </c>
      <c r="P1224" s="14" t="s">
        <v>39</v>
      </c>
      <c r="Q1224" s="14" t="s">
        <v>25</v>
      </c>
      <c r="R1224" s="14" t="s">
        <v>146</v>
      </c>
    </row>
    <row r="1225" spans="1:18" s="14" customFormat="1" x14ac:dyDescent="0.25">
      <c r="A1225" s="14" t="str">
        <f>"18108"</f>
        <v>18108</v>
      </c>
      <c r="B1225" s="14" t="str">
        <f>"01709"</f>
        <v>01709</v>
      </c>
      <c r="C1225" s="14" t="str">
        <f>"1600"</f>
        <v>1600</v>
      </c>
      <c r="D1225" s="14" t="str">
        <f>"01709"</f>
        <v>01709</v>
      </c>
      <c r="E1225" s="14" t="s">
        <v>590</v>
      </c>
      <c r="F1225" s="14" t="s">
        <v>682</v>
      </c>
      <c r="G1225" s="14" t="str">
        <f>""</f>
        <v/>
      </c>
      <c r="H1225" s="14" t="str">
        <f>" 20"</f>
        <v xml:space="preserve"> 20</v>
      </c>
      <c r="I1225" s="14">
        <v>500.01</v>
      </c>
      <c r="J1225" s="14">
        <v>9999999.9900000002</v>
      </c>
      <c r="K1225" s="14" t="s">
        <v>591</v>
      </c>
      <c r="L1225" s="14" t="s">
        <v>147</v>
      </c>
      <c r="P1225" s="14" t="s">
        <v>39</v>
      </c>
      <c r="Q1225" s="14" t="s">
        <v>25</v>
      </c>
      <c r="R1225" s="14" t="s">
        <v>146</v>
      </c>
    </row>
    <row r="1226" spans="1:18" s="14" customFormat="1" x14ac:dyDescent="0.25">
      <c r="A1226" s="14" t="str">
        <f>"18108"</f>
        <v>18108</v>
      </c>
      <c r="B1226" s="14" t="str">
        <f>"01711"</f>
        <v>01711</v>
      </c>
      <c r="C1226" s="14" t="str">
        <f>"1600"</f>
        <v>1600</v>
      </c>
      <c r="D1226" s="14" t="str">
        <f>"01711"</f>
        <v>01711</v>
      </c>
      <c r="E1226" s="14" t="s">
        <v>590</v>
      </c>
      <c r="F1226" s="14" t="s">
        <v>683</v>
      </c>
      <c r="G1226" s="14" t="str">
        <f>""</f>
        <v/>
      </c>
      <c r="H1226" s="14" t="str">
        <f>" 10"</f>
        <v xml:space="preserve"> 10</v>
      </c>
      <c r="I1226" s="14">
        <v>0.01</v>
      </c>
      <c r="J1226" s="14">
        <v>500</v>
      </c>
      <c r="K1226" s="14" t="s">
        <v>146</v>
      </c>
      <c r="L1226" s="14" t="s">
        <v>147</v>
      </c>
      <c r="P1226" s="14" t="s">
        <v>39</v>
      </c>
      <c r="Q1226" s="14" t="s">
        <v>25</v>
      </c>
      <c r="R1226" s="14" t="s">
        <v>146</v>
      </c>
    </row>
    <row r="1227" spans="1:18" s="14" customFormat="1" x14ac:dyDescent="0.25">
      <c r="A1227" s="14" t="str">
        <f>"18108"</f>
        <v>18108</v>
      </c>
      <c r="B1227" s="14" t="str">
        <f>"01711"</f>
        <v>01711</v>
      </c>
      <c r="C1227" s="14" t="str">
        <f>"1600"</f>
        <v>1600</v>
      </c>
      <c r="D1227" s="14" t="str">
        <f>"01711"</f>
        <v>01711</v>
      </c>
      <c r="E1227" s="14" t="s">
        <v>590</v>
      </c>
      <c r="F1227" s="14" t="s">
        <v>683</v>
      </c>
      <c r="G1227" s="14" t="str">
        <f>""</f>
        <v/>
      </c>
      <c r="H1227" s="14" t="str">
        <f>" 20"</f>
        <v xml:space="preserve"> 20</v>
      </c>
      <c r="I1227" s="14">
        <v>500.01</v>
      </c>
      <c r="J1227" s="14">
        <v>9999999.9900000002</v>
      </c>
      <c r="K1227" s="14" t="s">
        <v>591</v>
      </c>
      <c r="L1227" s="14" t="s">
        <v>147</v>
      </c>
      <c r="P1227" s="14" t="s">
        <v>39</v>
      </c>
      <c r="Q1227" s="14" t="s">
        <v>25</v>
      </c>
      <c r="R1227" s="14" t="s">
        <v>146</v>
      </c>
    </row>
    <row r="1228" spans="1:18" s="14" customFormat="1" x14ac:dyDescent="0.25">
      <c r="A1228" s="14" t="str">
        <f>"18110"</f>
        <v>18110</v>
      </c>
      <c r="B1228" s="14" t="str">
        <f>"01320"</f>
        <v>01320</v>
      </c>
      <c r="C1228" s="14" t="str">
        <f>"1600"</f>
        <v>1600</v>
      </c>
      <c r="D1228" s="14" t="str">
        <f>"18110"</f>
        <v>18110</v>
      </c>
      <c r="E1228" s="14" t="s">
        <v>684</v>
      </c>
      <c r="F1228" s="14" t="s">
        <v>103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48</v>
      </c>
      <c r="L1228" s="14" t="s">
        <v>97</v>
      </c>
      <c r="M1228" s="14" t="s">
        <v>98</v>
      </c>
      <c r="P1228" s="14" t="s">
        <v>39</v>
      </c>
      <c r="Q1228" s="14" t="s">
        <v>25</v>
      </c>
      <c r="R1228" s="14" t="s">
        <v>49</v>
      </c>
    </row>
    <row r="1229" spans="1:18" s="14" customFormat="1" x14ac:dyDescent="0.25">
      <c r="A1229" s="14" t="str">
        <f>"18120"</f>
        <v>18120</v>
      </c>
      <c r="B1229" s="14" t="str">
        <f>"05000"</f>
        <v>05000</v>
      </c>
      <c r="C1229" s="14" t="str">
        <f>"1600"</f>
        <v>1600</v>
      </c>
      <c r="D1229" s="14" t="str">
        <f>"18120"</f>
        <v>18120</v>
      </c>
      <c r="E1229" s="14" t="s">
        <v>685</v>
      </c>
      <c r="F1229" s="14" t="s">
        <v>366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47</v>
      </c>
      <c r="L1229" s="14" t="s">
        <v>370</v>
      </c>
      <c r="P1229" s="14" t="s">
        <v>31</v>
      </c>
      <c r="Q1229" s="14" t="s">
        <v>25</v>
      </c>
      <c r="R1229" s="14" t="s">
        <v>367</v>
      </c>
    </row>
    <row r="1230" spans="1:18" s="14" customFormat="1" x14ac:dyDescent="0.25">
      <c r="A1230" s="14" t="str">
        <f>"18122"</f>
        <v>18122</v>
      </c>
      <c r="B1230" s="14" t="str">
        <f>"01695"</f>
        <v>01695</v>
      </c>
      <c r="C1230" s="14" t="str">
        <f>"1600"</f>
        <v>1600</v>
      </c>
      <c r="D1230" s="14" t="str">
        <f>"18122"</f>
        <v>18122</v>
      </c>
      <c r="E1230" s="14" t="s">
        <v>687</v>
      </c>
      <c r="F1230" s="14" t="s">
        <v>155</v>
      </c>
      <c r="G1230" s="14" t="str">
        <f>""</f>
        <v/>
      </c>
      <c r="H1230" s="14" t="str">
        <f>" 10"</f>
        <v xml:space="preserve"> 10</v>
      </c>
      <c r="I1230" s="14">
        <v>0.01</v>
      </c>
      <c r="J1230" s="14">
        <v>500</v>
      </c>
      <c r="K1230" s="14" t="s">
        <v>146</v>
      </c>
      <c r="L1230" s="14" t="s">
        <v>147</v>
      </c>
      <c r="M1230" s="14" t="s">
        <v>156</v>
      </c>
      <c r="P1230" s="14" t="s">
        <v>39</v>
      </c>
      <c r="Q1230" s="14" t="s">
        <v>25</v>
      </c>
      <c r="R1230" s="14" t="s">
        <v>146</v>
      </c>
    </row>
    <row r="1231" spans="1:18" s="14" customFormat="1" x14ac:dyDescent="0.25">
      <c r="A1231" s="14" t="str">
        <f>"18122"</f>
        <v>18122</v>
      </c>
      <c r="B1231" s="14" t="str">
        <f>"01695"</f>
        <v>01695</v>
      </c>
      <c r="C1231" s="14" t="str">
        <f>"1600"</f>
        <v>1600</v>
      </c>
      <c r="D1231" s="14" t="str">
        <f>"18122"</f>
        <v>18122</v>
      </c>
      <c r="E1231" s="14" t="s">
        <v>687</v>
      </c>
      <c r="F1231" s="14" t="s">
        <v>155</v>
      </c>
      <c r="G1231" s="14" t="str">
        <f>""</f>
        <v/>
      </c>
      <c r="H1231" s="14" t="str">
        <f>" 20"</f>
        <v xml:space="preserve"> 20</v>
      </c>
      <c r="I1231" s="14">
        <v>500.01</v>
      </c>
      <c r="J1231" s="14">
        <v>9999999.9900000002</v>
      </c>
      <c r="K1231" s="14" t="s">
        <v>147</v>
      </c>
      <c r="L1231" s="14" t="s">
        <v>156</v>
      </c>
      <c r="P1231" s="14" t="s">
        <v>39</v>
      </c>
      <c r="Q1231" s="14" t="s">
        <v>25</v>
      </c>
      <c r="R1231" s="14" t="s">
        <v>146</v>
      </c>
    </row>
    <row r="1232" spans="1:18" s="14" customFormat="1" x14ac:dyDescent="0.25">
      <c r="A1232" s="14" t="str">
        <f>"18123"</f>
        <v>18123</v>
      </c>
      <c r="B1232" s="14" t="str">
        <f>"01695"</f>
        <v>01695</v>
      </c>
      <c r="C1232" s="14" t="str">
        <f>"1600"</f>
        <v>1600</v>
      </c>
      <c r="D1232" s="14" t="str">
        <f>"18123"</f>
        <v>18123</v>
      </c>
      <c r="E1232" s="14" t="s">
        <v>688</v>
      </c>
      <c r="F1232" s="14" t="s">
        <v>155</v>
      </c>
      <c r="G1232" s="14" t="str">
        <f>""</f>
        <v/>
      </c>
      <c r="H1232" s="14" t="str">
        <f>" 10"</f>
        <v xml:space="preserve"> 10</v>
      </c>
      <c r="I1232" s="14">
        <v>0.01</v>
      </c>
      <c r="J1232" s="14">
        <v>500</v>
      </c>
      <c r="K1232" s="14" t="s">
        <v>146</v>
      </c>
      <c r="L1232" s="14" t="s">
        <v>147</v>
      </c>
      <c r="M1232" s="14" t="s">
        <v>156</v>
      </c>
      <c r="P1232" s="14" t="s">
        <v>39</v>
      </c>
      <c r="Q1232" s="14" t="s">
        <v>25</v>
      </c>
      <c r="R1232" s="14" t="s">
        <v>146</v>
      </c>
    </row>
    <row r="1233" spans="1:18" s="14" customFormat="1" x14ac:dyDescent="0.25">
      <c r="A1233" s="14" t="str">
        <f>"18123"</f>
        <v>18123</v>
      </c>
      <c r="B1233" s="14" t="str">
        <f>"01695"</f>
        <v>01695</v>
      </c>
      <c r="C1233" s="14" t="str">
        <f>"1600"</f>
        <v>1600</v>
      </c>
      <c r="D1233" s="14" t="str">
        <f>"18123"</f>
        <v>18123</v>
      </c>
      <c r="E1233" s="14" t="s">
        <v>688</v>
      </c>
      <c r="F1233" s="14" t="s">
        <v>155</v>
      </c>
      <c r="G1233" s="14" t="str">
        <f>""</f>
        <v/>
      </c>
      <c r="H1233" s="14" t="str">
        <f>" 20"</f>
        <v xml:space="preserve"> 20</v>
      </c>
      <c r="I1233" s="14">
        <v>500.01</v>
      </c>
      <c r="J1233" s="14">
        <v>9999999.9900000002</v>
      </c>
      <c r="K1233" s="14" t="s">
        <v>156</v>
      </c>
      <c r="L1233" s="14" t="s">
        <v>147</v>
      </c>
      <c r="P1233" s="14" t="s">
        <v>39</v>
      </c>
      <c r="Q1233" s="14" t="s">
        <v>25</v>
      </c>
      <c r="R1233" s="14" t="s">
        <v>146</v>
      </c>
    </row>
    <row r="1234" spans="1:18" s="14" customFormat="1" x14ac:dyDescent="0.25">
      <c r="A1234" s="14" t="str">
        <f>"18124"</f>
        <v>18124</v>
      </c>
      <c r="B1234" s="14" t="str">
        <f>"01000"</f>
        <v>01000</v>
      </c>
      <c r="C1234" s="14" t="str">
        <f>"1600"</f>
        <v>1600</v>
      </c>
      <c r="D1234" s="14" t="str">
        <f>"18124"</f>
        <v>18124</v>
      </c>
      <c r="E1234" s="14" t="s">
        <v>689</v>
      </c>
      <c r="F1234" s="14" t="s">
        <v>44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37</v>
      </c>
      <c r="L1234" s="14" t="s">
        <v>34</v>
      </c>
      <c r="P1234" s="14" t="s">
        <v>39</v>
      </c>
      <c r="Q1234" s="14" t="s">
        <v>25</v>
      </c>
      <c r="R1234" s="14" t="s">
        <v>45</v>
      </c>
    </row>
    <row r="1235" spans="1:18" s="14" customFormat="1" x14ac:dyDescent="0.25">
      <c r="A1235" s="14" t="str">
        <f>"18125"</f>
        <v>18125</v>
      </c>
      <c r="B1235" s="14" t="str">
        <f>"01620"</f>
        <v>01620</v>
      </c>
      <c r="C1235" s="14" t="str">
        <f>"1600"</f>
        <v>1600</v>
      </c>
      <c r="D1235" s="14" t="str">
        <f>"18125"</f>
        <v>18125</v>
      </c>
      <c r="E1235" s="14" t="s">
        <v>690</v>
      </c>
      <c r="F1235" s="14" t="s">
        <v>140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69</v>
      </c>
      <c r="L1235" s="14" t="s">
        <v>70</v>
      </c>
      <c r="M1235" s="14" t="s">
        <v>71</v>
      </c>
      <c r="N1235" s="14" t="s">
        <v>141</v>
      </c>
      <c r="P1235" s="14" t="s">
        <v>31</v>
      </c>
      <c r="Q1235" s="14" t="s">
        <v>25</v>
      </c>
      <c r="R1235" s="14" t="s">
        <v>72</v>
      </c>
    </row>
    <row r="1236" spans="1:18" s="14" customFormat="1" x14ac:dyDescent="0.25">
      <c r="A1236" s="14" t="str">
        <f>"18126"</f>
        <v>18126</v>
      </c>
      <c r="B1236" s="14" t="str">
        <f>"01000"</f>
        <v>01000</v>
      </c>
      <c r="C1236" s="14" t="str">
        <f>"1100"</f>
        <v>1100</v>
      </c>
      <c r="D1236" s="14" t="str">
        <f>"18126"</f>
        <v>18126</v>
      </c>
      <c r="E1236" s="14" t="s">
        <v>691</v>
      </c>
      <c r="F1236" s="14" t="s">
        <v>44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37</v>
      </c>
      <c r="L1236" s="14" t="s">
        <v>34</v>
      </c>
      <c r="P1236" s="14" t="s">
        <v>39</v>
      </c>
      <c r="Q1236" s="14" t="s">
        <v>25</v>
      </c>
      <c r="R1236" s="14" t="s">
        <v>45</v>
      </c>
    </row>
    <row r="1237" spans="1:18" s="14" customFormat="1" x14ac:dyDescent="0.25">
      <c r="A1237" s="14" t="str">
        <f>"18127"</f>
        <v>18127</v>
      </c>
      <c r="B1237" s="14" t="str">
        <f>"01580"</f>
        <v>01580</v>
      </c>
      <c r="C1237" s="14" t="str">
        <f>"1300"</f>
        <v>1300</v>
      </c>
      <c r="D1237" s="14" t="str">
        <f>"18127"</f>
        <v>18127</v>
      </c>
      <c r="E1237" s="14" t="s">
        <v>692</v>
      </c>
      <c r="F1237" s="14" t="s">
        <v>137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69</v>
      </c>
      <c r="L1237" s="14" t="s">
        <v>70</v>
      </c>
      <c r="M1237" s="14" t="s">
        <v>71</v>
      </c>
      <c r="P1237" s="14" t="s">
        <v>31</v>
      </c>
      <c r="Q1237" s="14" t="s">
        <v>25</v>
      </c>
      <c r="R1237" s="14" t="s">
        <v>72</v>
      </c>
    </row>
    <row r="1238" spans="1:18" s="14" customFormat="1" x14ac:dyDescent="0.25">
      <c r="A1238" s="14" t="str">
        <f>"18128"</f>
        <v>18128</v>
      </c>
      <c r="B1238" s="14" t="str">
        <f>"00100"</f>
        <v>00100</v>
      </c>
      <c r="C1238" s="14" t="str">
        <f>"1400"</f>
        <v>1400</v>
      </c>
      <c r="D1238" s="14" t="str">
        <f>"18128"</f>
        <v>18128</v>
      </c>
      <c r="E1238" s="14" t="s">
        <v>693</v>
      </c>
      <c r="F1238" s="14" t="s">
        <v>21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22</v>
      </c>
      <c r="L1238" s="14" t="s">
        <v>23</v>
      </c>
      <c r="P1238" s="14" t="s">
        <v>239</v>
      </c>
      <c r="Q1238" s="14" t="s">
        <v>25</v>
      </c>
      <c r="R1238" s="14" t="s">
        <v>23</v>
      </c>
    </row>
    <row r="1239" spans="1:18" s="14" customFormat="1" x14ac:dyDescent="0.25">
      <c r="A1239" s="14" t="str">
        <f>"18129"</f>
        <v>18129</v>
      </c>
      <c r="B1239" s="14" t="str">
        <f>"01780"</f>
        <v>01780</v>
      </c>
      <c r="C1239" s="14" t="str">
        <f>"1600"</f>
        <v>1600</v>
      </c>
      <c r="D1239" s="14" t="str">
        <f>"18129"</f>
        <v>18129</v>
      </c>
      <c r="E1239" s="14" t="s">
        <v>694</v>
      </c>
      <c r="F1239" s="14" t="s">
        <v>175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112</v>
      </c>
      <c r="L1239" s="14" t="s">
        <v>113</v>
      </c>
      <c r="P1239" s="14" t="s">
        <v>31</v>
      </c>
      <c r="Q1239" s="14" t="s">
        <v>25</v>
      </c>
      <c r="R1239" s="14" t="s">
        <v>115</v>
      </c>
    </row>
    <row r="1240" spans="1:18" s="14" customFormat="1" x14ac:dyDescent="0.25">
      <c r="A1240" s="14" t="str">
        <f>"18130"</f>
        <v>18130</v>
      </c>
      <c r="B1240" s="14" t="str">
        <f>"05150"</f>
        <v>05150</v>
      </c>
      <c r="C1240" s="14" t="str">
        <f>"1400"</f>
        <v>1400</v>
      </c>
      <c r="D1240" s="14" t="str">
        <f>"18130"</f>
        <v>18130</v>
      </c>
      <c r="E1240" s="14" t="s">
        <v>695</v>
      </c>
      <c r="F1240" s="14" t="s">
        <v>402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404</v>
      </c>
      <c r="L1240" s="14" t="s">
        <v>696</v>
      </c>
      <c r="P1240" s="14" t="s">
        <v>39</v>
      </c>
      <c r="Q1240" s="14" t="s">
        <v>25</v>
      </c>
      <c r="R1240" s="14" t="s">
        <v>403</v>
      </c>
    </row>
    <row r="1241" spans="1:18" s="14" customFormat="1" x14ac:dyDescent="0.25">
      <c r="A1241" s="14" t="str">
        <f>"18131"</f>
        <v>18131</v>
      </c>
      <c r="B1241" s="14" t="str">
        <f>"01400"</f>
        <v>01400</v>
      </c>
      <c r="C1241" s="14" t="str">
        <f>"1600"</f>
        <v>1600</v>
      </c>
      <c r="D1241" s="14" t="str">
        <f>"18131"</f>
        <v>18131</v>
      </c>
      <c r="E1241" s="14" t="s">
        <v>697</v>
      </c>
      <c r="F1241" s="14" t="s">
        <v>117</v>
      </c>
      <c r="G1241" s="14" t="str">
        <f>""</f>
        <v/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69</v>
      </c>
      <c r="L1241" s="14" t="s">
        <v>70</v>
      </c>
      <c r="M1241" s="14" t="s">
        <v>71</v>
      </c>
      <c r="P1241" s="14" t="s">
        <v>31</v>
      </c>
      <c r="Q1241" s="14" t="s">
        <v>25</v>
      </c>
      <c r="R1241" s="14" t="s">
        <v>72</v>
      </c>
    </row>
    <row r="1242" spans="1:18" s="14" customFormat="1" x14ac:dyDescent="0.25">
      <c r="A1242" s="14" t="str">
        <f>"18132"</f>
        <v>18132</v>
      </c>
      <c r="B1242" s="14" t="str">
        <f>"01545"</f>
        <v>01545</v>
      </c>
      <c r="C1242" s="14" t="str">
        <f>"1600"</f>
        <v>1600</v>
      </c>
      <c r="D1242" s="14" t="str">
        <f>"18132"</f>
        <v>18132</v>
      </c>
      <c r="E1242" s="14" t="s">
        <v>698</v>
      </c>
      <c r="F1242" s="14" t="s">
        <v>133</v>
      </c>
      <c r="G1242" s="14" t="str">
        <f>""</f>
        <v/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69</v>
      </c>
      <c r="L1242" s="14" t="s">
        <v>70</v>
      </c>
      <c r="M1242" s="14" t="s">
        <v>71</v>
      </c>
      <c r="P1242" s="14" t="s">
        <v>31</v>
      </c>
      <c r="Q1242" s="14" t="s">
        <v>25</v>
      </c>
      <c r="R1242" s="14" t="s">
        <v>72</v>
      </c>
    </row>
    <row r="1243" spans="1:18" s="14" customFormat="1" x14ac:dyDescent="0.25">
      <c r="A1243" s="14" t="str">
        <f>"18133"</f>
        <v>18133</v>
      </c>
      <c r="B1243" s="14" t="str">
        <f>"01400"</f>
        <v>01400</v>
      </c>
      <c r="C1243" s="14" t="str">
        <f>"1300"</f>
        <v>1300</v>
      </c>
      <c r="D1243" s="14" t="str">
        <f>"18133"</f>
        <v>18133</v>
      </c>
      <c r="E1243" s="14" t="s">
        <v>699</v>
      </c>
      <c r="F1243" s="14" t="s">
        <v>117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69</v>
      </c>
      <c r="L1243" s="14" t="s">
        <v>70</v>
      </c>
      <c r="M1243" s="14" t="s">
        <v>71</v>
      </c>
      <c r="P1243" s="14" t="s">
        <v>31</v>
      </c>
      <c r="Q1243" s="14" t="s">
        <v>25</v>
      </c>
      <c r="R1243" s="14" t="s">
        <v>72</v>
      </c>
    </row>
    <row r="1244" spans="1:18" s="14" customFormat="1" x14ac:dyDescent="0.25">
      <c r="A1244" s="14" t="str">
        <f>"18501"</f>
        <v>18501</v>
      </c>
      <c r="B1244" s="14" t="str">
        <f>"01400"</f>
        <v>01400</v>
      </c>
      <c r="C1244" s="14" t="str">
        <f>"1300"</f>
        <v>1300</v>
      </c>
      <c r="D1244" s="14" t="str">
        <f>""</f>
        <v/>
      </c>
      <c r="E1244" s="14" t="s">
        <v>700</v>
      </c>
      <c r="F1244" s="14" t="s">
        <v>117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69</v>
      </c>
      <c r="L1244" s="14" t="s">
        <v>70</v>
      </c>
      <c r="M1244" s="14" t="s">
        <v>70</v>
      </c>
      <c r="N1244" s="14" t="s">
        <v>71</v>
      </c>
      <c r="P1244" s="14" t="s">
        <v>701</v>
      </c>
      <c r="Q1244" s="14" t="s">
        <v>25</v>
      </c>
      <c r="R1244" s="14" t="s">
        <v>72</v>
      </c>
    </row>
    <row r="1245" spans="1:18" s="14" customFormat="1" x14ac:dyDescent="0.25">
      <c r="A1245" s="14" t="str">
        <f>"18502"</f>
        <v>18502</v>
      </c>
      <c r="B1245" s="14" t="str">
        <f>"01780"</f>
        <v>01780</v>
      </c>
      <c r="C1245" s="14" t="str">
        <f>"1300"</f>
        <v>1300</v>
      </c>
      <c r="D1245" s="14" t="str">
        <f>""</f>
        <v/>
      </c>
      <c r="E1245" s="14" t="s">
        <v>702</v>
      </c>
      <c r="F1245" s="14" t="s">
        <v>175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112</v>
      </c>
      <c r="L1245" s="14" t="s">
        <v>113</v>
      </c>
      <c r="M1245" s="14" t="s">
        <v>114</v>
      </c>
      <c r="P1245" s="14" t="s">
        <v>701</v>
      </c>
      <c r="Q1245" s="14" t="s">
        <v>25</v>
      </c>
      <c r="R1245" s="14" t="s">
        <v>115</v>
      </c>
    </row>
    <row r="1246" spans="1:18" s="14" customFormat="1" x14ac:dyDescent="0.25">
      <c r="A1246" s="14" t="str">
        <f>"18503"</f>
        <v>18503</v>
      </c>
      <c r="B1246" s="14" t="str">
        <f>"01660"</f>
        <v>01660</v>
      </c>
      <c r="C1246" s="14" t="str">
        <f>"1300"</f>
        <v>1300</v>
      </c>
      <c r="D1246" s="14" t="str">
        <f>""</f>
        <v/>
      </c>
      <c r="E1246" s="14" t="s">
        <v>703</v>
      </c>
      <c r="F1246" s="14" t="s">
        <v>145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147</v>
      </c>
      <c r="L1246" s="14" t="s">
        <v>148</v>
      </c>
      <c r="P1246" s="14" t="s">
        <v>701</v>
      </c>
      <c r="Q1246" s="14" t="s">
        <v>25</v>
      </c>
      <c r="R1246" s="14" t="s">
        <v>146</v>
      </c>
    </row>
    <row r="1247" spans="1:18" s="14" customFormat="1" x14ac:dyDescent="0.25">
      <c r="A1247" s="14" t="str">
        <f>"18504"</f>
        <v>18504</v>
      </c>
      <c r="B1247" s="14" t="str">
        <f>"01300"</f>
        <v>01300</v>
      </c>
      <c r="C1247" s="14" t="str">
        <f>"1300"</f>
        <v>1300</v>
      </c>
      <c r="D1247" s="14" t="str">
        <f>""</f>
        <v/>
      </c>
      <c r="E1247" s="14" t="s">
        <v>704</v>
      </c>
      <c r="F1247" s="14" t="s">
        <v>96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48</v>
      </c>
      <c r="L1247" s="14" t="s">
        <v>97</v>
      </c>
      <c r="M1247" s="14" t="s">
        <v>98</v>
      </c>
      <c r="P1247" s="14" t="s">
        <v>701</v>
      </c>
      <c r="Q1247" s="14" t="s">
        <v>25</v>
      </c>
      <c r="R1247" s="14" t="s">
        <v>49</v>
      </c>
    </row>
    <row r="1248" spans="1:18" s="14" customFormat="1" x14ac:dyDescent="0.25">
      <c r="A1248" s="14" t="str">
        <f>"18506"</f>
        <v>18506</v>
      </c>
      <c r="B1248" s="14" t="str">
        <f>"01370"</f>
        <v>01370</v>
      </c>
      <c r="C1248" s="14" t="str">
        <f>"1300"</f>
        <v>1300</v>
      </c>
      <c r="D1248" s="14" t="str">
        <f>""</f>
        <v/>
      </c>
      <c r="E1248" s="14" t="s">
        <v>705</v>
      </c>
      <c r="F1248" s="14" t="s">
        <v>108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69</v>
      </c>
      <c r="L1248" s="14" t="s">
        <v>109</v>
      </c>
      <c r="M1248" s="14" t="s">
        <v>70</v>
      </c>
      <c r="N1248" s="14" t="s">
        <v>71</v>
      </c>
      <c r="P1248" s="14" t="s">
        <v>701</v>
      </c>
      <c r="Q1248" s="14" t="s">
        <v>25</v>
      </c>
      <c r="R1248" s="14" t="s">
        <v>109</v>
      </c>
    </row>
    <row r="1249" spans="1:18" s="14" customFormat="1" x14ac:dyDescent="0.25">
      <c r="A1249" s="14" t="str">
        <f>"18507"</f>
        <v>18507</v>
      </c>
      <c r="B1249" s="14" t="str">
        <f>"01670"</f>
        <v>01670</v>
      </c>
      <c r="C1249" s="14" t="str">
        <f>"1300"</f>
        <v>1300</v>
      </c>
      <c r="D1249" s="14" t="str">
        <f>""</f>
        <v/>
      </c>
      <c r="E1249" s="14" t="s">
        <v>706</v>
      </c>
      <c r="F1249" s="14" t="s">
        <v>151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147</v>
      </c>
      <c r="L1249" s="14" t="s">
        <v>148</v>
      </c>
      <c r="P1249" s="14" t="s">
        <v>701</v>
      </c>
      <c r="Q1249" s="14" t="s">
        <v>25</v>
      </c>
      <c r="R1249" s="14" t="s">
        <v>146</v>
      </c>
    </row>
    <row r="1250" spans="1:18" s="14" customFormat="1" x14ac:dyDescent="0.25">
      <c r="A1250" s="14" t="str">
        <f>"18508"</f>
        <v>18508</v>
      </c>
      <c r="B1250" s="14" t="str">
        <f>"01230"</f>
        <v>01230</v>
      </c>
      <c r="C1250" s="14" t="str">
        <f>"1300"</f>
        <v>1300</v>
      </c>
      <c r="D1250" s="14" t="str">
        <f>""</f>
        <v/>
      </c>
      <c r="E1250" s="14" t="s">
        <v>707</v>
      </c>
      <c r="F1250" s="14" t="s">
        <v>75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76</v>
      </c>
      <c r="L1250" s="14" t="s">
        <v>78</v>
      </c>
      <c r="P1250" s="14" t="s">
        <v>701</v>
      </c>
      <c r="Q1250" s="14" t="s">
        <v>25</v>
      </c>
      <c r="R1250" s="14" t="s">
        <v>79</v>
      </c>
    </row>
    <row r="1251" spans="1:18" s="14" customFormat="1" x14ac:dyDescent="0.25">
      <c r="A1251" s="14" t="str">
        <f>"18509"</f>
        <v>18509</v>
      </c>
      <c r="B1251" s="14" t="str">
        <f>"01241"</f>
        <v>01241</v>
      </c>
      <c r="C1251" s="14" t="str">
        <f>"1300"</f>
        <v>1300</v>
      </c>
      <c r="D1251" s="14" t="str">
        <f>""</f>
        <v/>
      </c>
      <c r="E1251" s="14" t="s">
        <v>708</v>
      </c>
      <c r="F1251" s="14" t="s">
        <v>82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83</v>
      </c>
      <c r="L1251" s="14" t="s">
        <v>37</v>
      </c>
      <c r="M1251" s="14" t="s">
        <v>84</v>
      </c>
      <c r="P1251" s="14" t="s">
        <v>701</v>
      </c>
      <c r="Q1251" s="14" t="s">
        <v>25</v>
      </c>
      <c r="R1251" s="14" t="s">
        <v>38</v>
      </c>
    </row>
    <row r="1252" spans="1:18" s="14" customFormat="1" x14ac:dyDescent="0.25">
      <c r="A1252" s="14" t="str">
        <f>"18510"</f>
        <v>18510</v>
      </c>
      <c r="B1252" s="14" t="str">
        <f>"01030"</f>
        <v>01030</v>
      </c>
      <c r="C1252" s="14" t="str">
        <f>"1600"</f>
        <v>1600</v>
      </c>
      <c r="D1252" s="14" t="str">
        <f>""</f>
        <v/>
      </c>
      <c r="E1252" s="14" t="s">
        <v>709</v>
      </c>
      <c r="F1252" s="14" t="s">
        <v>52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53</v>
      </c>
      <c r="L1252" s="14" t="s">
        <v>54</v>
      </c>
      <c r="M1252" s="14" t="s">
        <v>55</v>
      </c>
      <c r="P1252" s="14" t="s">
        <v>701</v>
      </c>
      <c r="Q1252" s="14" t="s">
        <v>25</v>
      </c>
      <c r="R1252" s="14" t="s">
        <v>54</v>
      </c>
    </row>
    <row r="1253" spans="1:18" s="14" customFormat="1" x14ac:dyDescent="0.25">
      <c r="A1253" s="14" t="str">
        <f>"18512"</f>
        <v>18512</v>
      </c>
      <c r="B1253" s="14" t="str">
        <f>"01695"</f>
        <v>01695</v>
      </c>
      <c r="C1253" s="14" t="str">
        <f>"1300"</f>
        <v>1300</v>
      </c>
      <c r="D1253" s="14" t="str">
        <f>""</f>
        <v/>
      </c>
      <c r="E1253" s="14" t="s">
        <v>710</v>
      </c>
      <c r="F1253" s="14" t="s">
        <v>155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156</v>
      </c>
      <c r="L1253" s="14" t="s">
        <v>147</v>
      </c>
      <c r="P1253" s="14" t="s">
        <v>701</v>
      </c>
      <c r="Q1253" s="14" t="s">
        <v>25</v>
      </c>
      <c r="R1253" s="14" t="s">
        <v>146</v>
      </c>
    </row>
    <row r="1254" spans="1:18" s="14" customFormat="1" x14ac:dyDescent="0.25">
      <c r="A1254" s="14" t="str">
        <f>"18513"</f>
        <v>18513</v>
      </c>
      <c r="B1254" s="14" t="str">
        <f>"01035"</f>
        <v>01035</v>
      </c>
      <c r="C1254" s="14" t="str">
        <f>"1600"</f>
        <v>1600</v>
      </c>
      <c r="D1254" s="14" t="str">
        <f>""</f>
        <v/>
      </c>
      <c r="E1254" s="14" t="s">
        <v>711</v>
      </c>
      <c r="F1254" s="14" t="s">
        <v>56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53</v>
      </c>
      <c r="L1254" s="14" t="s">
        <v>54</v>
      </c>
      <c r="M1254" s="14" t="s">
        <v>55</v>
      </c>
      <c r="P1254" s="14" t="s">
        <v>701</v>
      </c>
      <c r="Q1254" s="14" t="s">
        <v>25</v>
      </c>
      <c r="R1254" s="14" t="s">
        <v>54</v>
      </c>
    </row>
    <row r="1255" spans="1:18" s="14" customFormat="1" x14ac:dyDescent="0.25">
      <c r="A1255" s="14" t="str">
        <f>"18514"</f>
        <v>18514</v>
      </c>
      <c r="B1255" s="14" t="str">
        <f>"01790"</f>
        <v>01790</v>
      </c>
      <c r="C1255" s="14" t="str">
        <f>"1300"</f>
        <v>1300</v>
      </c>
      <c r="D1255" s="14" t="str">
        <f>""</f>
        <v/>
      </c>
      <c r="E1255" s="14" t="s">
        <v>712</v>
      </c>
      <c r="F1255" s="14" t="s">
        <v>178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179</v>
      </c>
      <c r="L1255" s="14" t="s">
        <v>112</v>
      </c>
      <c r="M1255" s="14" t="s">
        <v>113</v>
      </c>
      <c r="N1255" s="14" t="s">
        <v>114</v>
      </c>
      <c r="P1255" s="14" t="s">
        <v>701</v>
      </c>
      <c r="Q1255" s="14" t="s">
        <v>25</v>
      </c>
      <c r="R1255" s="14" t="s">
        <v>115</v>
      </c>
    </row>
    <row r="1256" spans="1:18" s="14" customFormat="1" x14ac:dyDescent="0.25">
      <c r="A1256" s="14" t="str">
        <f>"18516"</f>
        <v>18516</v>
      </c>
      <c r="B1256" s="14" t="str">
        <f>"05150"</f>
        <v>05150</v>
      </c>
      <c r="C1256" s="14" t="str">
        <f>"1700"</f>
        <v>1700</v>
      </c>
      <c r="D1256" s="14" t="str">
        <f>""</f>
        <v/>
      </c>
      <c r="E1256" s="14" t="s">
        <v>713</v>
      </c>
      <c r="F1256" s="14" t="s">
        <v>402</v>
      </c>
      <c r="G1256" s="14" t="str">
        <f>""</f>
        <v/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404</v>
      </c>
      <c r="L1256" s="14" t="s">
        <v>405</v>
      </c>
      <c r="P1256" s="14" t="s">
        <v>701</v>
      </c>
      <c r="Q1256" s="14" t="s">
        <v>25</v>
      </c>
      <c r="R1256" s="14" t="s">
        <v>403</v>
      </c>
    </row>
    <row r="1257" spans="1:18" s="14" customFormat="1" x14ac:dyDescent="0.25">
      <c r="A1257" s="14" t="str">
        <f>"18517"</f>
        <v>18517</v>
      </c>
      <c r="B1257" s="14" t="str">
        <f>"05010"</f>
        <v>05010</v>
      </c>
      <c r="C1257" s="14" t="str">
        <f>"1700"</f>
        <v>1700</v>
      </c>
      <c r="D1257" s="14" t="str">
        <f>""</f>
        <v/>
      </c>
      <c r="E1257" s="14" t="s">
        <v>714</v>
      </c>
      <c r="F1257" s="14" t="s">
        <v>371</v>
      </c>
      <c r="G1257" s="14" t="str">
        <f>""</f>
        <v/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372</v>
      </c>
      <c r="L1257" s="14" t="s">
        <v>373</v>
      </c>
      <c r="P1257" s="14" t="s">
        <v>701</v>
      </c>
      <c r="Q1257" s="14" t="s">
        <v>25</v>
      </c>
      <c r="R1257" s="14" t="s">
        <v>372</v>
      </c>
    </row>
    <row r="1258" spans="1:18" s="14" customFormat="1" x14ac:dyDescent="0.25">
      <c r="A1258" s="14" t="str">
        <f>"18518"</f>
        <v>18518</v>
      </c>
      <c r="B1258" s="14" t="str">
        <f>"01810"</f>
        <v>01810</v>
      </c>
      <c r="C1258" s="14" t="str">
        <f>"1100"</f>
        <v>1100</v>
      </c>
      <c r="D1258" s="14" t="str">
        <f>""</f>
        <v/>
      </c>
      <c r="E1258" s="14" t="s">
        <v>715</v>
      </c>
      <c r="F1258" s="14" t="s">
        <v>183</v>
      </c>
      <c r="G1258" s="14" t="str">
        <f>""</f>
        <v/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184</v>
      </c>
      <c r="L1258" s="14" t="s">
        <v>112</v>
      </c>
      <c r="M1258" s="14" t="s">
        <v>113</v>
      </c>
      <c r="N1258" s="14" t="s">
        <v>114</v>
      </c>
      <c r="P1258" s="14" t="s">
        <v>701</v>
      </c>
      <c r="Q1258" s="14" t="s">
        <v>25</v>
      </c>
      <c r="R1258" s="14" t="s">
        <v>115</v>
      </c>
    </row>
    <row r="1259" spans="1:18" s="14" customFormat="1" x14ac:dyDescent="0.25">
      <c r="A1259" s="14" t="str">
        <f>"18519"</f>
        <v>18519</v>
      </c>
      <c r="B1259" s="14" t="str">
        <f>"01390"</f>
        <v>01390</v>
      </c>
      <c r="C1259" s="14" t="str">
        <f>"1100"</f>
        <v>1100</v>
      </c>
      <c r="D1259" s="14" t="str">
        <f>""</f>
        <v/>
      </c>
      <c r="E1259" s="14" t="s">
        <v>716</v>
      </c>
      <c r="F1259" s="14" t="s">
        <v>116</v>
      </c>
      <c r="G1259" s="14" t="str">
        <f>""</f>
        <v/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112</v>
      </c>
      <c r="L1259" s="14" t="s">
        <v>113</v>
      </c>
      <c r="M1259" s="14" t="s">
        <v>114</v>
      </c>
      <c r="P1259" s="14" t="s">
        <v>701</v>
      </c>
      <c r="Q1259" s="14" t="s">
        <v>25</v>
      </c>
      <c r="R1259" s="14" t="s">
        <v>115</v>
      </c>
    </row>
    <row r="1260" spans="1:18" s="14" customFormat="1" x14ac:dyDescent="0.25">
      <c r="A1260" s="14" t="str">
        <f>"18520"</f>
        <v>18520</v>
      </c>
      <c r="B1260" s="14" t="str">
        <f>"01260"</f>
        <v>01260</v>
      </c>
      <c r="C1260" s="14" t="str">
        <f>"1300"</f>
        <v>1300</v>
      </c>
      <c r="D1260" s="14" t="str">
        <f>""</f>
        <v/>
      </c>
      <c r="E1260" s="14" t="s">
        <v>717</v>
      </c>
      <c r="F1260" s="14" t="s">
        <v>87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37</v>
      </c>
      <c r="L1260" s="14" t="s">
        <v>38</v>
      </c>
      <c r="P1260" s="14" t="s">
        <v>701</v>
      </c>
      <c r="Q1260" s="14" t="s">
        <v>25</v>
      </c>
      <c r="R1260" s="14" t="s">
        <v>38</v>
      </c>
    </row>
    <row r="1261" spans="1:18" s="14" customFormat="1" x14ac:dyDescent="0.25">
      <c r="A1261" s="14" t="str">
        <f>"18521"</f>
        <v>18521</v>
      </c>
      <c r="B1261" s="14" t="str">
        <f>"01640"</f>
        <v>01640</v>
      </c>
      <c r="C1261" s="14" t="str">
        <f>"1100"</f>
        <v>1100</v>
      </c>
      <c r="D1261" s="14" t="str">
        <f>""</f>
        <v/>
      </c>
      <c r="E1261" s="14" t="s">
        <v>718</v>
      </c>
      <c r="F1261" s="14" t="s">
        <v>143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69</v>
      </c>
      <c r="L1261" s="14" t="s">
        <v>70</v>
      </c>
      <c r="M1261" s="14" t="s">
        <v>70</v>
      </c>
      <c r="N1261" s="14" t="s">
        <v>71</v>
      </c>
      <c r="P1261" s="14" t="s">
        <v>701</v>
      </c>
      <c r="Q1261" s="14" t="s">
        <v>25</v>
      </c>
      <c r="R1261" s="14" t="s">
        <v>72</v>
      </c>
    </row>
    <row r="1262" spans="1:18" s="14" customFormat="1" x14ac:dyDescent="0.25">
      <c r="A1262" s="14" t="str">
        <f>"18522"</f>
        <v>18522</v>
      </c>
      <c r="B1262" s="14" t="str">
        <f>"01830"</f>
        <v>01830</v>
      </c>
      <c r="C1262" s="14" t="str">
        <f>"1300"</f>
        <v>1300</v>
      </c>
      <c r="D1262" s="14" t="str">
        <f>""</f>
        <v/>
      </c>
      <c r="E1262" s="14" t="s">
        <v>719</v>
      </c>
      <c r="F1262" s="14" t="s">
        <v>187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112</v>
      </c>
      <c r="L1262" s="14" t="s">
        <v>113</v>
      </c>
      <c r="M1262" s="14" t="s">
        <v>114</v>
      </c>
      <c r="P1262" s="14" t="s">
        <v>701</v>
      </c>
      <c r="Q1262" s="14" t="s">
        <v>25</v>
      </c>
      <c r="R1262" s="14" t="s">
        <v>115</v>
      </c>
    </row>
    <row r="1263" spans="1:18" s="14" customFormat="1" x14ac:dyDescent="0.25">
      <c r="A1263" s="14" t="str">
        <f>"18523"</f>
        <v>18523</v>
      </c>
      <c r="B1263" s="14" t="str">
        <f>"01560"</f>
        <v>01560</v>
      </c>
      <c r="C1263" s="14" t="str">
        <f>"1300"</f>
        <v>1300</v>
      </c>
      <c r="D1263" s="14" t="str">
        <f>""</f>
        <v/>
      </c>
      <c r="E1263" s="14" t="s">
        <v>720</v>
      </c>
      <c r="F1263" s="14" t="s">
        <v>135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69</v>
      </c>
      <c r="L1263" s="14" t="s">
        <v>70</v>
      </c>
      <c r="M1263" s="14" t="s">
        <v>70</v>
      </c>
      <c r="N1263" s="14" t="s">
        <v>71</v>
      </c>
      <c r="P1263" s="14" t="s">
        <v>701</v>
      </c>
      <c r="Q1263" s="14" t="s">
        <v>25</v>
      </c>
      <c r="R1263" s="14" t="s">
        <v>72</v>
      </c>
    </row>
    <row r="1264" spans="1:18" s="14" customFormat="1" x14ac:dyDescent="0.25">
      <c r="A1264" s="14" t="str">
        <f>"18524"</f>
        <v>18524</v>
      </c>
      <c r="B1264" s="14" t="str">
        <f>"01705"</f>
        <v>01705</v>
      </c>
      <c r="C1264" s="14" t="str">
        <f>"1300"</f>
        <v>1300</v>
      </c>
      <c r="D1264" s="14" t="str">
        <f>""</f>
        <v/>
      </c>
      <c r="E1264" s="14" t="s">
        <v>721</v>
      </c>
      <c r="F1264" s="14" t="s">
        <v>159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147</v>
      </c>
      <c r="P1264" s="14" t="s">
        <v>701</v>
      </c>
      <c r="Q1264" s="14" t="s">
        <v>25</v>
      </c>
      <c r="R1264" s="14" t="s">
        <v>146</v>
      </c>
    </row>
    <row r="1265" spans="1:18" s="14" customFormat="1" x14ac:dyDescent="0.25">
      <c r="A1265" s="14" t="str">
        <f>"18525"</f>
        <v>18525</v>
      </c>
      <c r="B1265" s="14" t="str">
        <f>"01800"</f>
        <v>01800</v>
      </c>
      <c r="C1265" s="14" t="str">
        <f>"1300"</f>
        <v>1300</v>
      </c>
      <c r="D1265" s="14" t="str">
        <f>""</f>
        <v/>
      </c>
      <c r="E1265" s="14" t="s">
        <v>722</v>
      </c>
      <c r="F1265" s="14" t="s">
        <v>180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112</v>
      </c>
      <c r="L1265" s="14" t="s">
        <v>113</v>
      </c>
      <c r="M1265" s="14" t="s">
        <v>114</v>
      </c>
      <c r="P1265" s="14" t="s">
        <v>701</v>
      </c>
      <c r="Q1265" s="14" t="s">
        <v>25</v>
      </c>
      <c r="R1265" s="14" t="s">
        <v>115</v>
      </c>
    </row>
    <row r="1266" spans="1:18" s="14" customFormat="1" x14ac:dyDescent="0.25">
      <c r="A1266" s="14" t="str">
        <f>"18526"</f>
        <v>18526</v>
      </c>
      <c r="B1266" s="14" t="str">
        <f>"01550"</f>
        <v>01550</v>
      </c>
      <c r="C1266" s="14" t="str">
        <f>"1300"</f>
        <v>1300</v>
      </c>
      <c r="D1266" s="14" t="str">
        <f>""</f>
        <v/>
      </c>
      <c r="E1266" s="14" t="s">
        <v>723</v>
      </c>
      <c r="F1266" s="14" t="s">
        <v>134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69</v>
      </c>
      <c r="L1266" s="14" t="s">
        <v>70</v>
      </c>
      <c r="M1266" s="14" t="s">
        <v>70</v>
      </c>
      <c r="N1266" s="14" t="s">
        <v>71</v>
      </c>
      <c r="P1266" s="14" t="s">
        <v>701</v>
      </c>
      <c r="Q1266" s="14" t="s">
        <v>25</v>
      </c>
      <c r="R1266" s="14" t="s">
        <v>72</v>
      </c>
    </row>
    <row r="1267" spans="1:18" s="14" customFormat="1" x14ac:dyDescent="0.25">
      <c r="A1267" s="14" t="str">
        <f>"18527"</f>
        <v>18527</v>
      </c>
      <c r="B1267" s="14" t="str">
        <f>"01100"</f>
        <v>01100</v>
      </c>
      <c r="C1267" s="14" t="str">
        <f>"1930"</f>
        <v>1930</v>
      </c>
      <c r="D1267" s="14" t="str">
        <f>""</f>
        <v/>
      </c>
      <c r="E1267" s="14" t="s">
        <v>724</v>
      </c>
      <c r="F1267" s="14" t="s">
        <v>725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55</v>
      </c>
      <c r="L1267" s="14" t="s">
        <v>53</v>
      </c>
      <c r="M1267" s="14" t="s">
        <v>726</v>
      </c>
      <c r="P1267" s="14" t="s">
        <v>701</v>
      </c>
      <c r="Q1267" s="14" t="s">
        <v>25</v>
      </c>
      <c r="R1267" s="14" t="s">
        <v>727</v>
      </c>
    </row>
    <row r="1268" spans="1:18" s="14" customFormat="1" x14ac:dyDescent="0.25">
      <c r="A1268" s="14" t="str">
        <f>"18528"</f>
        <v>18528</v>
      </c>
      <c r="B1268" s="14" t="str">
        <f>"01700"</f>
        <v>01700</v>
      </c>
      <c r="C1268" s="14" t="str">
        <f>"1300"</f>
        <v>1300</v>
      </c>
      <c r="D1268" s="14" t="str">
        <f>""</f>
        <v/>
      </c>
      <c r="E1268" s="14" t="s">
        <v>728</v>
      </c>
      <c r="F1268" s="14" t="s">
        <v>157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158</v>
      </c>
      <c r="L1268" s="14" t="s">
        <v>147</v>
      </c>
      <c r="P1268" s="14" t="s">
        <v>701</v>
      </c>
      <c r="Q1268" s="14" t="s">
        <v>25</v>
      </c>
      <c r="R1268" s="14" t="s">
        <v>146</v>
      </c>
    </row>
    <row r="1269" spans="1:18" s="14" customFormat="1" x14ac:dyDescent="0.25">
      <c r="A1269" s="14" t="str">
        <f>"18529"</f>
        <v>18529</v>
      </c>
      <c r="B1269" s="14" t="str">
        <f>"01320"</f>
        <v>01320</v>
      </c>
      <c r="C1269" s="14" t="str">
        <f>"1300"</f>
        <v>1300</v>
      </c>
      <c r="D1269" s="14" t="str">
        <f>""</f>
        <v/>
      </c>
      <c r="E1269" s="14" t="s">
        <v>729</v>
      </c>
      <c r="F1269" s="14" t="s">
        <v>103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48</v>
      </c>
      <c r="L1269" s="14" t="s">
        <v>97</v>
      </c>
      <c r="M1269" s="14" t="s">
        <v>98</v>
      </c>
      <c r="P1269" s="14" t="s">
        <v>701</v>
      </c>
      <c r="Q1269" s="14" t="s">
        <v>25</v>
      </c>
      <c r="R1269" s="14" t="s">
        <v>49</v>
      </c>
    </row>
    <row r="1270" spans="1:18" s="14" customFormat="1" x14ac:dyDescent="0.25">
      <c r="A1270" s="14" t="str">
        <f>"18530"</f>
        <v>18530</v>
      </c>
      <c r="B1270" s="14" t="str">
        <f>"01290"</f>
        <v>01290</v>
      </c>
      <c r="C1270" s="14" t="str">
        <f>"1300"</f>
        <v>1300</v>
      </c>
      <c r="D1270" s="14" t="str">
        <f>""</f>
        <v/>
      </c>
      <c r="E1270" s="14" t="s">
        <v>730</v>
      </c>
      <c r="F1270" s="14" t="s">
        <v>95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83</v>
      </c>
      <c r="L1270" s="14" t="s">
        <v>37</v>
      </c>
      <c r="M1270" s="14" t="s">
        <v>38</v>
      </c>
      <c r="P1270" s="14" t="s">
        <v>701</v>
      </c>
      <c r="Q1270" s="14" t="s">
        <v>25</v>
      </c>
      <c r="R1270" s="14" t="s">
        <v>38</v>
      </c>
    </row>
    <row r="1271" spans="1:18" s="14" customFormat="1" x14ac:dyDescent="0.25">
      <c r="A1271" s="14" t="str">
        <f>"18531"</f>
        <v>18531</v>
      </c>
      <c r="B1271" s="14" t="str">
        <f>"01630"</f>
        <v>01630</v>
      </c>
      <c r="C1271" s="14" t="str">
        <f>"1300"</f>
        <v>1300</v>
      </c>
      <c r="D1271" s="14" t="str">
        <f>""</f>
        <v/>
      </c>
      <c r="E1271" s="14" t="s">
        <v>731</v>
      </c>
      <c r="F1271" s="14" t="s">
        <v>142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69</v>
      </c>
      <c r="L1271" s="14" t="s">
        <v>70</v>
      </c>
      <c r="M1271" s="14" t="s">
        <v>70</v>
      </c>
      <c r="N1271" s="14" t="s">
        <v>71</v>
      </c>
      <c r="P1271" s="14" t="s">
        <v>701</v>
      </c>
      <c r="Q1271" s="14" t="s">
        <v>25</v>
      </c>
      <c r="R1271" s="14" t="s">
        <v>72</v>
      </c>
    </row>
    <row r="1272" spans="1:18" s="14" customFormat="1" x14ac:dyDescent="0.25">
      <c r="A1272" s="14" t="str">
        <f>"18532"</f>
        <v>18532</v>
      </c>
      <c r="B1272" s="14" t="str">
        <f>"01000"</f>
        <v>01000</v>
      </c>
      <c r="C1272" s="14" t="str">
        <f>"1400"</f>
        <v>1400</v>
      </c>
      <c r="D1272" s="14" t="str">
        <f>""</f>
        <v/>
      </c>
      <c r="E1272" s="14" t="s">
        <v>732</v>
      </c>
      <c r="F1272" s="14" t="s">
        <v>44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37</v>
      </c>
      <c r="L1272" s="14" t="s">
        <v>34</v>
      </c>
      <c r="P1272" s="14" t="s">
        <v>701</v>
      </c>
      <c r="Q1272" s="14" t="s">
        <v>25</v>
      </c>
      <c r="R1272" s="14" t="s">
        <v>38</v>
      </c>
    </row>
    <row r="1273" spans="1:18" s="14" customFormat="1" x14ac:dyDescent="0.25">
      <c r="A1273" s="14" t="str">
        <f>"18533"</f>
        <v>18533</v>
      </c>
      <c r="B1273" s="14" t="str">
        <f>"01080"</f>
        <v>01080</v>
      </c>
      <c r="C1273" s="14" t="str">
        <f>"1700"</f>
        <v>1700</v>
      </c>
      <c r="D1273" s="14" t="str">
        <f>""</f>
        <v/>
      </c>
      <c r="E1273" s="14" t="s">
        <v>733</v>
      </c>
      <c r="F1273" s="14" t="s">
        <v>61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37</v>
      </c>
      <c r="L1273" s="14" t="s">
        <v>50</v>
      </c>
      <c r="P1273" s="14" t="s">
        <v>701</v>
      </c>
      <c r="Q1273" s="14" t="s">
        <v>25</v>
      </c>
      <c r="R1273" s="14" t="s">
        <v>38</v>
      </c>
    </row>
    <row r="1274" spans="1:18" s="14" customFormat="1" x14ac:dyDescent="0.25">
      <c r="A1274" s="14" t="str">
        <f>"18534"</f>
        <v>18534</v>
      </c>
      <c r="B1274" s="14" t="str">
        <f>"01620"</f>
        <v>01620</v>
      </c>
      <c r="C1274" s="14" t="str">
        <f>"1300"</f>
        <v>1300</v>
      </c>
      <c r="D1274" s="14" t="str">
        <f>""</f>
        <v/>
      </c>
      <c r="E1274" s="14" t="s">
        <v>734</v>
      </c>
      <c r="F1274" s="14" t="s">
        <v>140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69</v>
      </c>
      <c r="L1274" s="14" t="s">
        <v>70</v>
      </c>
      <c r="M1274" s="14" t="s">
        <v>71</v>
      </c>
      <c r="P1274" s="14" t="s">
        <v>701</v>
      </c>
      <c r="Q1274" s="14" t="s">
        <v>25</v>
      </c>
      <c r="R1274" s="14" t="s">
        <v>141</v>
      </c>
    </row>
    <row r="1275" spans="1:18" s="14" customFormat="1" x14ac:dyDescent="0.25">
      <c r="A1275" s="14" t="str">
        <f>"18601"</f>
        <v>18601</v>
      </c>
      <c r="B1275" s="14" t="str">
        <f>"03100"</f>
        <v>03100</v>
      </c>
      <c r="C1275" s="14" t="str">
        <f>"1800"</f>
        <v>1800</v>
      </c>
      <c r="D1275" s="14" t="str">
        <f>""</f>
        <v/>
      </c>
      <c r="E1275" s="14" t="s">
        <v>735</v>
      </c>
      <c r="F1275" s="14" t="s">
        <v>736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226</v>
      </c>
      <c r="L1275" s="14" t="s">
        <v>228</v>
      </c>
      <c r="P1275" s="14" t="s">
        <v>260</v>
      </c>
      <c r="Q1275" s="14" t="s">
        <v>25</v>
      </c>
      <c r="R1275" s="14" t="s">
        <v>229</v>
      </c>
    </row>
    <row r="1276" spans="1:18" s="14" customFormat="1" x14ac:dyDescent="0.25">
      <c r="A1276" s="14" t="str">
        <f>"18602"</f>
        <v>18602</v>
      </c>
      <c r="B1276" s="14" t="str">
        <f>"01545"</f>
        <v>01545</v>
      </c>
      <c r="C1276" s="14" t="str">
        <f>"1800"</f>
        <v>1800</v>
      </c>
      <c r="D1276" s="14" t="str">
        <f>""</f>
        <v/>
      </c>
      <c r="E1276" s="14" t="s">
        <v>737</v>
      </c>
      <c r="F1276" s="14" t="s">
        <v>133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69</v>
      </c>
      <c r="L1276" s="14" t="s">
        <v>70</v>
      </c>
      <c r="M1276" s="14" t="s">
        <v>71</v>
      </c>
      <c r="P1276" s="14" t="s">
        <v>31</v>
      </c>
      <c r="Q1276" s="14" t="s">
        <v>25</v>
      </c>
      <c r="R1276" s="14" t="s">
        <v>72</v>
      </c>
    </row>
    <row r="1277" spans="1:18" s="14" customFormat="1" x14ac:dyDescent="0.25">
      <c r="A1277" s="14" t="str">
        <f>"18603"</f>
        <v>18603</v>
      </c>
      <c r="B1277" s="14" t="str">
        <f>"01000"</f>
        <v>01000</v>
      </c>
      <c r="C1277" s="14" t="str">
        <f>"1800"</f>
        <v>1800</v>
      </c>
      <c r="D1277" s="14" t="str">
        <f>"18603"</f>
        <v>18603</v>
      </c>
      <c r="E1277" s="14" t="s">
        <v>738</v>
      </c>
      <c r="F1277" s="14" t="s">
        <v>44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37</v>
      </c>
      <c r="L1277" s="14" t="s">
        <v>34</v>
      </c>
      <c r="P1277" s="14" t="s">
        <v>39</v>
      </c>
      <c r="Q1277" s="14" t="s">
        <v>25</v>
      </c>
      <c r="R1277" s="14" t="s">
        <v>38</v>
      </c>
    </row>
    <row r="1278" spans="1:18" s="14" customFormat="1" x14ac:dyDescent="0.25">
      <c r="A1278" s="14" t="str">
        <f>"18605"</f>
        <v>18605</v>
      </c>
      <c r="B1278" s="14" t="str">
        <f>"05160"</f>
        <v>05160</v>
      </c>
      <c r="C1278" s="14" t="str">
        <f>"1800"</f>
        <v>1800</v>
      </c>
      <c r="D1278" s="14" t="str">
        <f>""</f>
        <v/>
      </c>
      <c r="E1278" s="14" t="s">
        <v>739</v>
      </c>
      <c r="F1278" s="14" t="s">
        <v>406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318</v>
      </c>
      <c r="L1278" s="14" t="s">
        <v>319</v>
      </c>
      <c r="M1278" s="14" t="s">
        <v>90</v>
      </c>
      <c r="P1278" s="14" t="s">
        <v>260</v>
      </c>
      <c r="Q1278" s="14" t="s">
        <v>25</v>
      </c>
      <c r="R1278" s="14" t="s">
        <v>318</v>
      </c>
    </row>
    <row r="1279" spans="1:18" s="14" customFormat="1" x14ac:dyDescent="0.25">
      <c r="A1279" s="14" t="str">
        <f>"18606"</f>
        <v>18606</v>
      </c>
      <c r="B1279" s="14" t="str">
        <f>"05160"</f>
        <v>05160</v>
      </c>
      <c r="C1279" s="14" t="str">
        <f>"1800"</f>
        <v>1800</v>
      </c>
      <c r="D1279" s="14" t="str">
        <f>""</f>
        <v/>
      </c>
      <c r="E1279" s="14" t="s">
        <v>740</v>
      </c>
      <c r="F1279" s="14" t="s">
        <v>406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318</v>
      </c>
      <c r="L1279" s="14" t="s">
        <v>319</v>
      </c>
      <c r="M1279" s="14" t="s">
        <v>90</v>
      </c>
      <c r="P1279" s="14" t="s">
        <v>260</v>
      </c>
      <c r="Q1279" s="14" t="s">
        <v>25</v>
      </c>
      <c r="R1279" s="14" t="s">
        <v>318</v>
      </c>
    </row>
    <row r="1280" spans="1:18" s="14" customFormat="1" x14ac:dyDescent="0.25">
      <c r="A1280" s="14" t="str">
        <f>"18608"</f>
        <v>18608</v>
      </c>
      <c r="B1280" s="14" t="str">
        <f>"05080"</f>
        <v>05080</v>
      </c>
      <c r="C1280" s="14" t="str">
        <f>"1800"</f>
        <v>1800</v>
      </c>
      <c r="D1280" s="14" t="str">
        <f>""</f>
        <v/>
      </c>
      <c r="E1280" s="14" t="s">
        <v>741</v>
      </c>
      <c r="F1280" s="14" t="s">
        <v>385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386</v>
      </c>
      <c r="L1280" s="14" t="s">
        <v>47</v>
      </c>
      <c r="M1280" s="14" t="s">
        <v>387</v>
      </c>
      <c r="P1280" s="14" t="s">
        <v>31</v>
      </c>
      <c r="Q1280" s="14" t="s">
        <v>25</v>
      </c>
      <c r="R1280" s="14" t="s">
        <v>388</v>
      </c>
    </row>
    <row r="1281" spans="1:18" s="14" customFormat="1" x14ac:dyDescent="0.25">
      <c r="A1281" s="14" t="str">
        <f>"18609"</f>
        <v>18609</v>
      </c>
      <c r="B1281" s="14" t="str">
        <f>"05150"</f>
        <v>05150</v>
      </c>
      <c r="C1281" s="14" t="str">
        <f>"1800"</f>
        <v>1800</v>
      </c>
      <c r="D1281" s="14" t="str">
        <f>""</f>
        <v/>
      </c>
      <c r="E1281" s="14" t="s">
        <v>742</v>
      </c>
      <c r="F1281" s="14" t="s">
        <v>402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404</v>
      </c>
      <c r="L1281" s="14" t="s">
        <v>405</v>
      </c>
      <c r="P1281" s="14" t="s">
        <v>39</v>
      </c>
      <c r="Q1281" s="14" t="s">
        <v>25</v>
      </c>
      <c r="R1281" s="14" t="s">
        <v>403</v>
      </c>
    </row>
    <row r="1282" spans="1:18" s="14" customFormat="1" x14ac:dyDescent="0.25">
      <c r="A1282" s="14" t="str">
        <f>"18610"</f>
        <v>18610</v>
      </c>
      <c r="B1282" s="14" t="str">
        <f>"02040"</f>
        <v>02040</v>
      </c>
      <c r="C1282" s="14" t="str">
        <f>"1800"</f>
        <v>1800</v>
      </c>
      <c r="D1282" s="14" t="str">
        <f>""</f>
        <v/>
      </c>
      <c r="E1282" s="14" t="s">
        <v>743</v>
      </c>
      <c r="F1282" s="14" t="s">
        <v>195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193</v>
      </c>
      <c r="L1282" s="14" t="s">
        <v>196</v>
      </c>
      <c r="M1282" s="14" t="s">
        <v>25</v>
      </c>
      <c r="P1282" s="14" t="s">
        <v>31</v>
      </c>
      <c r="Q1282" s="14" t="s">
        <v>25</v>
      </c>
      <c r="R1282" s="14" t="s">
        <v>193</v>
      </c>
    </row>
    <row r="1283" spans="1:18" s="14" customFormat="1" x14ac:dyDescent="0.25">
      <c r="A1283" s="14" t="str">
        <f>"18611"</f>
        <v>18611</v>
      </c>
      <c r="B1283" s="14" t="str">
        <f>"03050"</f>
        <v>03050</v>
      </c>
      <c r="C1283" s="14" t="str">
        <f>"1800"</f>
        <v>1800</v>
      </c>
      <c r="D1283" s="14" t="str">
        <f>""</f>
        <v/>
      </c>
      <c r="E1283" s="14" t="s">
        <v>744</v>
      </c>
      <c r="F1283" s="14" t="s">
        <v>225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228</v>
      </c>
      <c r="P1283" s="14" t="s">
        <v>260</v>
      </c>
      <c r="Q1283" s="14" t="s">
        <v>25</v>
      </c>
      <c r="R1283" s="14" t="s">
        <v>229</v>
      </c>
    </row>
    <row r="1284" spans="1:18" s="14" customFormat="1" x14ac:dyDescent="0.25">
      <c r="A1284" s="14" t="str">
        <f>"18612"</f>
        <v>18612</v>
      </c>
      <c r="B1284" s="14" t="str">
        <f>"05160"</f>
        <v>05160</v>
      </c>
      <c r="C1284" s="14" t="str">
        <f>"1800"</f>
        <v>1800</v>
      </c>
      <c r="D1284" s="14" t="str">
        <f>""</f>
        <v/>
      </c>
      <c r="E1284" s="14" t="s">
        <v>745</v>
      </c>
      <c r="F1284" s="14" t="s">
        <v>406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318</v>
      </c>
      <c r="L1284" s="14" t="s">
        <v>319</v>
      </c>
      <c r="M1284" s="14" t="s">
        <v>90</v>
      </c>
      <c r="P1284" s="14" t="s">
        <v>260</v>
      </c>
      <c r="Q1284" s="14" t="s">
        <v>25</v>
      </c>
      <c r="R1284" s="14" t="s">
        <v>318</v>
      </c>
    </row>
    <row r="1285" spans="1:18" s="14" customFormat="1" x14ac:dyDescent="0.25">
      <c r="A1285" s="14" t="str">
        <f>"18613"</f>
        <v>18613</v>
      </c>
      <c r="B1285" s="14" t="str">
        <f>"05030"</f>
        <v>05030</v>
      </c>
      <c r="C1285" s="14" t="str">
        <f>"1800"</f>
        <v>1800</v>
      </c>
      <c r="D1285" s="14" t="str">
        <f>"18613"</f>
        <v>18613</v>
      </c>
      <c r="E1285" s="14" t="s">
        <v>746</v>
      </c>
      <c r="F1285" s="14" t="s">
        <v>378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377</v>
      </c>
      <c r="L1285" s="14" t="s">
        <v>379</v>
      </c>
      <c r="P1285" s="14" t="s">
        <v>31</v>
      </c>
      <c r="Q1285" s="14" t="s">
        <v>25</v>
      </c>
      <c r="R1285" s="14" t="s">
        <v>377</v>
      </c>
    </row>
    <row r="1286" spans="1:18" s="14" customFormat="1" x14ac:dyDescent="0.25">
      <c r="A1286" s="14" t="str">
        <f>"18614"</f>
        <v>18614</v>
      </c>
      <c r="B1286" s="14" t="str">
        <f>"01400"</f>
        <v>01400</v>
      </c>
      <c r="C1286" s="14" t="str">
        <f>"1800"</f>
        <v>1800</v>
      </c>
      <c r="D1286" s="14" t="str">
        <f>""</f>
        <v/>
      </c>
      <c r="E1286" s="14" t="s">
        <v>1922</v>
      </c>
      <c r="F1286" s="14" t="s">
        <v>117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69</v>
      </c>
      <c r="L1286" s="14" t="s">
        <v>70</v>
      </c>
      <c r="M1286" s="14" t="s">
        <v>71</v>
      </c>
      <c r="P1286" s="14" t="s">
        <v>31</v>
      </c>
      <c r="Q1286" s="14" t="s">
        <v>25</v>
      </c>
      <c r="R1286" s="14" t="s">
        <v>72</v>
      </c>
    </row>
    <row r="1287" spans="1:18" s="14" customFormat="1" x14ac:dyDescent="0.25">
      <c r="A1287" s="14" t="str">
        <f>"20001"</f>
        <v>20001</v>
      </c>
      <c r="B1287" s="14" t="str">
        <f>"05160"</f>
        <v>05160</v>
      </c>
      <c r="C1287" s="14" t="str">
        <f>"1800"</f>
        <v>1800</v>
      </c>
      <c r="D1287" s="14" t="str">
        <f>""</f>
        <v/>
      </c>
      <c r="E1287" s="14" t="s">
        <v>837</v>
      </c>
      <c r="F1287" s="14" t="s">
        <v>406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318</v>
      </c>
      <c r="L1287" s="14" t="s">
        <v>319</v>
      </c>
      <c r="M1287" s="14" t="s">
        <v>90</v>
      </c>
      <c r="P1287" s="14" t="s">
        <v>260</v>
      </c>
      <c r="Q1287" s="14" t="s">
        <v>25</v>
      </c>
      <c r="R1287" s="14" t="s">
        <v>318</v>
      </c>
    </row>
    <row r="1288" spans="1:18" s="14" customFormat="1" x14ac:dyDescent="0.25">
      <c r="A1288" s="14" t="str">
        <f>"20123"</f>
        <v>20123</v>
      </c>
      <c r="B1288" s="14" t="str">
        <f>"05160"</f>
        <v>05160</v>
      </c>
      <c r="C1288" s="14" t="str">
        <f>"1800"</f>
        <v>1800</v>
      </c>
      <c r="D1288" s="14" t="str">
        <f>""</f>
        <v/>
      </c>
      <c r="E1288" s="14" t="s">
        <v>838</v>
      </c>
      <c r="F1288" s="14" t="s">
        <v>406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318</v>
      </c>
      <c r="L1288" s="14" t="s">
        <v>319</v>
      </c>
      <c r="M1288" s="14" t="s">
        <v>90</v>
      </c>
      <c r="P1288" s="14" t="s">
        <v>260</v>
      </c>
      <c r="Q1288" s="14" t="s">
        <v>25</v>
      </c>
      <c r="R1288" s="14" t="s">
        <v>318</v>
      </c>
    </row>
    <row r="1289" spans="1:18" s="14" customFormat="1" x14ac:dyDescent="0.25">
      <c r="A1289" s="14" t="str">
        <f>"20124"</f>
        <v>20124</v>
      </c>
      <c r="B1289" s="14" t="str">
        <f>"05160"</f>
        <v>05160</v>
      </c>
      <c r="C1289" s="14" t="str">
        <f>"1800"</f>
        <v>1800</v>
      </c>
      <c r="D1289" s="14" t="str">
        <f>""</f>
        <v/>
      </c>
      <c r="E1289" s="14" t="s">
        <v>839</v>
      </c>
      <c r="F1289" s="14" t="s">
        <v>406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318</v>
      </c>
      <c r="L1289" s="14" t="s">
        <v>319</v>
      </c>
      <c r="M1289" s="14" t="s">
        <v>90</v>
      </c>
      <c r="P1289" s="14" t="s">
        <v>260</v>
      </c>
      <c r="Q1289" s="14" t="s">
        <v>25</v>
      </c>
      <c r="R1289" s="14" t="s">
        <v>318</v>
      </c>
    </row>
    <row r="1290" spans="1:18" s="14" customFormat="1" x14ac:dyDescent="0.25">
      <c r="A1290" s="14" t="str">
        <f>"20201"</f>
        <v>20201</v>
      </c>
      <c r="B1290" s="14" t="str">
        <f>"05160"</f>
        <v>05160</v>
      </c>
      <c r="C1290" s="14" t="str">
        <f>"1800"</f>
        <v>1800</v>
      </c>
      <c r="D1290" s="14" t="str">
        <f>""</f>
        <v/>
      </c>
      <c r="E1290" s="14" t="s">
        <v>840</v>
      </c>
      <c r="F1290" s="14" t="s">
        <v>406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318</v>
      </c>
      <c r="L1290" s="14" t="s">
        <v>319</v>
      </c>
      <c r="M1290" s="14" t="s">
        <v>90</v>
      </c>
      <c r="P1290" s="14" t="s">
        <v>260</v>
      </c>
      <c r="Q1290" s="14" t="s">
        <v>25</v>
      </c>
      <c r="R1290" s="14" t="s">
        <v>318</v>
      </c>
    </row>
    <row r="1291" spans="1:18" s="14" customFormat="1" x14ac:dyDescent="0.25">
      <c r="A1291" s="14" t="str">
        <f>"20301"</f>
        <v>20301</v>
      </c>
      <c r="B1291" s="14" t="str">
        <f>"05160"</f>
        <v>05160</v>
      </c>
      <c r="C1291" s="14" t="str">
        <f>"1400"</f>
        <v>1400</v>
      </c>
      <c r="D1291" s="14" t="str">
        <f>""</f>
        <v/>
      </c>
      <c r="E1291" s="14" t="s">
        <v>841</v>
      </c>
      <c r="F1291" s="14" t="s">
        <v>406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318</v>
      </c>
      <c r="L1291" s="14" t="s">
        <v>319</v>
      </c>
      <c r="M1291" s="14" t="s">
        <v>90</v>
      </c>
      <c r="P1291" s="14" t="s">
        <v>260</v>
      </c>
      <c r="Q1291" s="14" t="s">
        <v>25</v>
      </c>
      <c r="R1291" s="14" t="s">
        <v>318</v>
      </c>
    </row>
    <row r="1292" spans="1:18" s="14" customFormat="1" x14ac:dyDescent="0.25">
      <c r="A1292" s="14" t="str">
        <f>"20302"</f>
        <v>20302</v>
      </c>
      <c r="B1292" s="14" t="str">
        <f>"05140"</f>
        <v>05140</v>
      </c>
      <c r="C1292" s="14" t="str">
        <f>"1700"</f>
        <v>1700</v>
      </c>
      <c r="D1292" s="14" t="str">
        <f>"20302"</f>
        <v>20302</v>
      </c>
      <c r="E1292" s="14" t="s">
        <v>842</v>
      </c>
      <c r="F1292" s="14" t="s">
        <v>400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37</v>
      </c>
      <c r="L1292" s="14" t="s">
        <v>34</v>
      </c>
      <c r="P1292" s="14" t="s">
        <v>260</v>
      </c>
      <c r="Q1292" s="14" t="s">
        <v>25</v>
      </c>
      <c r="R1292" s="14" t="s">
        <v>401</v>
      </c>
    </row>
    <row r="1293" spans="1:18" s="14" customFormat="1" x14ac:dyDescent="0.25">
      <c r="A1293" s="14" t="str">
        <f>"20303"</f>
        <v>20303</v>
      </c>
      <c r="B1293" s="14" t="str">
        <f>"05160"</f>
        <v>05160</v>
      </c>
      <c r="C1293" s="14" t="str">
        <f>"1600"</f>
        <v>1600</v>
      </c>
      <c r="D1293" s="14" t="str">
        <f>""</f>
        <v/>
      </c>
      <c r="E1293" s="14" t="s">
        <v>843</v>
      </c>
      <c r="F1293" s="14" t="s">
        <v>406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318</v>
      </c>
      <c r="L1293" s="14" t="s">
        <v>319</v>
      </c>
      <c r="M1293" s="14" t="s">
        <v>90</v>
      </c>
      <c r="P1293" s="14" t="s">
        <v>260</v>
      </c>
      <c r="Q1293" s="14" t="s">
        <v>25</v>
      </c>
      <c r="R1293" s="14" t="s">
        <v>318</v>
      </c>
    </row>
    <row r="1294" spans="1:18" s="14" customFormat="1" x14ac:dyDescent="0.25">
      <c r="A1294" s="14" t="str">
        <f>"20304"</f>
        <v>20304</v>
      </c>
      <c r="B1294" s="14" t="str">
        <f>"05160"</f>
        <v>05160</v>
      </c>
      <c r="C1294" s="14" t="str">
        <f>"1600"</f>
        <v>1600</v>
      </c>
      <c r="D1294" s="14" t="str">
        <f>""</f>
        <v/>
      </c>
      <c r="E1294" s="14" t="s">
        <v>844</v>
      </c>
      <c r="F1294" s="14" t="s">
        <v>406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318</v>
      </c>
      <c r="L1294" s="14" t="s">
        <v>319</v>
      </c>
      <c r="M1294" s="14" t="s">
        <v>90</v>
      </c>
      <c r="P1294" s="14" t="s">
        <v>260</v>
      </c>
      <c r="Q1294" s="14" t="s">
        <v>25</v>
      </c>
      <c r="R1294" s="14" t="s">
        <v>318</v>
      </c>
    </row>
    <row r="1295" spans="1:18" s="14" customFormat="1" x14ac:dyDescent="0.25">
      <c r="A1295" s="14" t="str">
        <f>"20305"</f>
        <v>20305</v>
      </c>
      <c r="B1295" s="14" t="str">
        <f>"05160"</f>
        <v>05160</v>
      </c>
      <c r="C1295" s="14" t="str">
        <f>"1930"</f>
        <v>1930</v>
      </c>
      <c r="D1295" s="14" t="str">
        <f>""</f>
        <v/>
      </c>
      <c r="E1295" s="14" t="s">
        <v>845</v>
      </c>
      <c r="F1295" s="14" t="s">
        <v>406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318</v>
      </c>
      <c r="L1295" s="14" t="s">
        <v>319</v>
      </c>
      <c r="M1295" s="14" t="s">
        <v>90</v>
      </c>
      <c r="P1295" s="14" t="s">
        <v>260</v>
      </c>
      <c r="Q1295" s="14" t="s">
        <v>25</v>
      </c>
      <c r="R1295" s="14" t="s">
        <v>318</v>
      </c>
    </row>
    <row r="1296" spans="1:18" s="14" customFormat="1" x14ac:dyDescent="0.25">
      <c r="A1296" s="14" t="str">
        <f>"20308"</f>
        <v>20308</v>
      </c>
      <c r="B1296" s="14" t="str">
        <f>"05160"</f>
        <v>05160</v>
      </c>
      <c r="C1296" s="14" t="str">
        <f>"1600"</f>
        <v>1600</v>
      </c>
      <c r="D1296" s="14" t="str">
        <f>""</f>
        <v/>
      </c>
      <c r="E1296" s="14" t="s">
        <v>846</v>
      </c>
      <c r="F1296" s="14" t="s">
        <v>406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318</v>
      </c>
      <c r="L1296" s="14" t="s">
        <v>319</v>
      </c>
      <c r="M1296" s="14" t="s">
        <v>90</v>
      </c>
      <c r="P1296" s="14" t="s">
        <v>260</v>
      </c>
      <c r="Q1296" s="14" t="s">
        <v>25</v>
      </c>
      <c r="R1296" s="14" t="s">
        <v>318</v>
      </c>
    </row>
    <row r="1297" spans="1:18" s="14" customFormat="1" x14ac:dyDescent="0.25">
      <c r="A1297" s="14" t="str">
        <f>"23001"</f>
        <v>23001</v>
      </c>
      <c r="B1297" s="14" t="str">
        <f>"05160"</f>
        <v>05160</v>
      </c>
      <c r="C1297" s="14" t="str">
        <f>"1800"</f>
        <v>1800</v>
      </c>
      <c r="D1297" s="14" t="str">
        <f>""</f>
        <v/>
      </c>
      <c r="E1297" s="14" t="s">
        <v>878</v>
      </c>
      <c r="F1297" s="14" t="s">
        <v>406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318</v>
      </c>
      <c r="L1297" s="14" t="s">
        <v>319</v>
      </c>
      <c r="M1297" s="14" t="s">
        <v>90</v>
      </c>
      <c r="P1297" s="14" t="s">
        <v>260</v>
      </c>
      <c r="Q1297" s="14" t="s">
        <v>25</v>
      </c>
      <c r="R1297" s="14" t="s">
        <v>318</v>
      </c>
    </row>
    <row r="1298" spans="1:18" s="14" customFormat="1" x14ac:dyDescent="0.25">
      <c r="A1298" s="14" t="str">
        <f>"23006"</f>
        <v>23006</v>
      </c>
      <c r="B1298" s="14" t="str">
        <f>"05160"</f>
        <v>05160</v>
      </c>
      <c r="C1298" s="14" t="str">
        <f>"1800"</f>
        <v>1800</v>
      </c>
      <c r="D1298" s="14" t="str">
        <f>""</f>
        <v/>
      </c>
      <c r="E1298" s="14" t="s">
        <v>879</v>
      </c>
      <c r="F1298" s="14" t="s">
        <v>406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318</v>
      </c>
      <c r="L1298" s="14" t="s">
        <v>319</v>
      </c>
      <c r="M1298" s="14" t="s">
        <v>90</v>
      </c>
      <c r="P1298" s="14" t="s">
        <v>260</v>
      </c>
      <c r="Q1298" s="14" t="s">
        <v>25</v>
      </c>
      <c r="R1298" s="14" t="s">
        <v>318</v>
      </c>
    </row>
    <row r="1299" spans="1:18" s="14" customFormat="1" x14ac:dyDescent="0.25">
      <c r="A1299" s="14" t="str">
        <f>"23007"</f>
        <v>23007</v>
      </c>
      <c r="B1299" s="14" t="str">
        <f>"05160"</f>
        <v>05160</v>
      </c>
      <c r="C1299" s="14" t="str">
        <f>"1800"</f>
        <v>1800</v>
      </c>
      <c r="D1299" s="14" t="str">
        <f>""</f>
        <v/>
      </c>
      <c r="E1299" s="14" t="s">
        <v>880</v>
      </c>
      <c r="F1299" s="14" t="s">
        <v>406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318</v>
      </c>
      <c r="L1299" s="14" t="s">
        <v>319</v>
      </c>
      <c r="M1299" s="14" t="s">
        <v>90</v>
      </c>
      <c r="P1299" s="14" t="s">
        <v>260</v>
      </c>
      <c r="Q1299" s="14" t="s">
        <v>25</v>
      </c>
      <c r="R1299" s="14" t="s">
        <v>318</v>
      </c>
    </row>
    <row r="1300" spans="1:18" s="14" customFormat="1" x14ac:dyDescent="0.25">
      <c r="A1300" s="14" t="str">
        <f>"23008"</f>
        <v>23008</v>
      </c>
      <c r="B1300" s="14" t="str">
        <f>"05160"</f>
        <v>05160</v>
      </c>
      <c r="C1300" s="14" t="str">
        <f>"1800"</f>
        <v>1800</v>
      </c>
      <c r="D1300" s="14" t="str">
        <f>""</f>
        <v/>
      </c>
      <c r="E1300" s="14" t="s">
        <v>881</v>
      </c>
      <c r="F1300" s="14" t="s">
        <v>406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318</v>
      </c>
      <c r="L1300" s="14" t="s">
        <v>319</v>
      </c>
      <c r="M1300" s="14" t="s">
        <v>90</v>
      </c>
      <c r="P1300" s="14" t="s">
        <v>260</v>
      </c>
      <c r="Q1300" s="14" t="s">
        <v>25</v>
      </c>
      <c r="R1300" s="14" t="s">
        <v>318</v>
      </c>
    </row>
    <row r="1301" spans="1:18" s="14" customFormat="1" x14ac:dyDescent="0.25">
      <c r="A1301" s="14" t="str">
        <f>"23012"</f>
        <v>23012</v>
      </c>
      <c r="B1301" s="14" t="str">
        <f>"05160"</f>
        <v>05160</v>
      </c>
      <c r="C1301" s="14" t="str">
        <f>"1800"</f>
        <v>1800</v>
      </c>
      <c r="D1301" s="14" t="str">
        <f>""</f>
        <v/>
      </c>
      <c r="E1301" s="14" t="s">
        <v>882</v>
      </c>
      <c r="F1301" s="14" t="s">
        <v>406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318</v>
      </c>
      <c r="L1301" s="14" t="s">
        <v>319</v>
      </c>
      <c r="M1301" s="14" t="s">
        <v>90</v>
      </c>
      <c r="P1301" s="14" t="s">
        <v>260</v>
      </c>
      <c r="Q1301" s="14" t="s">
        <v>25</v>
      </c>
      <c r="R1301" s="14" t="s">
        <v>318</v>
      </c>
    </row>
    <row r="1302" spans="1:18" s="14" customFormat="1" x14ac:dyDescent="0.25">
      <c r="A1302" s="14" t="str">
        <f>"23017"</f>
        <v>23017</v>
      </c>
      <c r="B1302" s="14" t="str">
        <f>"05160"</f>
        <v>05160</v>
      </c>
      <c r="C1302" s="14" t="str">
        <f>"1800"</f>
        <v>1800</v>
      </c>
      <c r="D1302" s="14" t="str">
        <f>""</f>
        <v/>
      </c>
      <c r="E1302" s="14" t="s">
        <v>883</v>
      </c>
      <c r="F1302" s="14" t="s">
        <v>406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318</v>
      </c>
      <c r="L1302" s="14" t="s">
        <v>319</v>
      </c>
      <c r="M1302" s="14" t="s">
        <v>90</v>
      </c>
      <c r="P1302" s="14" t="s">
        <v>260</v>
      </c>
      <c r="Q1302" s="14" t="s">
        <v>25</v>
      </c>
      <c r="R1302" s="14" t="s">
        <v>318</v>
      </c>
    </row>
    <row r="1303" spans="1:18" s="14" customFormat="1" x14ac:dyDescent="0.25">
      <c r="A1303" s="14" t="str">
        <f>"23021"</f>
        <v>23021</v>
      </c>
      <c r="B1303" s="14" t="str">
        <f>"05160"</f>
        <v>05160</v>
      </c>
      <c r="C1303" s="14" t="str">
        <f>"1800"</f>
        <v>1800</v>
      </c>
      <c r="D1303" s="14" t="str">
        <f>""</f>
        <v/>
      </c>
      <c r="E1303" s="14" t="s">
        <v>884</v>
      </c>
      <c r="F1303" s="14" t="s">
        <v>406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318</v>
      </c>
      <c r="L1303" s="14" t="s">
        <v>319</v>
      </c>
      <c r="M1303" s="14" t="s">
        <v>90</v>
      </c>
      <c r="P1303" s="14" t="s">
        <v>260</v>
      </c>
      <c r="Q1303" s="14" t="s">
        <v>25</v>
      </c>
      <c r="R1303" s="14" t="s">
        <v>318</v>
      </c>
    </row>
    <row r="1304" spans="1:18" s="14" customFormat="1" x14ac:dyDescent="0.25">
      <c r="A1304" s="14" t="str">
        <f>"23022"</f>
        <v>23022</v>
      </c>
      <c r="B1304" s="14" t="str">
        <f>"05160"</f>
        <v>05160</v>
      </c>
      <c r="C1304" s="14" t="str">
        <f>"1800"</f>
        <v>1800</v>
      </c>
      <c r="D1304" s="14" t="str">
        <f>""</f>
        <v/>
      </c>
      <c r="E1304" s="14" t="s">
        <v>885</v>
      </c>
      <c r="F1304" s="14" t="s">
        <v>406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318</v>
      </c>
      <c r="L1304" s="14" t="s">
        <v>319</v>
      </c>
      <c r="M1304" s="14" t="s">
        <v>90</v>
      </c>
      <c r="P1304" s="14" t="s">
        <v>260</v>
      </c>
      <c r="Q1304" s="14" t="s">
        <v>25</v>
      </c>
      <c r="R1304" s="14" t="s">
        <v>318</v>
      </c>
    </row>
    <row r="1305" spans="1:18" s="14" customFormat="1" x14ac:dyDescent="0.25">
      <c r="A1305" s="14" t="str">
        <f>"23023"</f>
        <v>23023</v>
      </c>
      <c r="B1305" s="14" t="str">
        <f>"05160"</f>
        <v>05160</v>
      </c>
      <c r="C1305" s="14" t="str">
        <f>"1800"</f>
        <v>1800</v>
      </c>
      <c r="D1305" s="14" t="str">
        <f>""</f>
        <v/>
      </c>
      <c r="E1305" s="14" t="s">
        <v>886</v>
      </c>
      <c r="F1305" s="14" t="s">
        <v>406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318</v>
      </c>
      <c r="L1305" s="14" t="s">
        <v>319</v>
      </c>
      <c r="M1305" s="14" t="s">
        <v>90</v>
      </c>
      <c r="P1305" s="14" t="s">
        <v>260</v>
      </c>
      <c r="Q1305" s="14" t="s">
        <v>25</v>
      </c>
      <c r="R1305" s="14" t="s">
        <v>318</v>
      </c>
    </row>
    <row r="1306" spans="1:18" s="14" customFormat="1" x14ac:dyDescent="0.25">
      <c r="A1306" s="14" t="str">
        <f>"23024"</f>
        <v>23024</v>
      </c>
      <c r="B1306" s="14" t="str">
        <f>"05160"</f>
        <v>05160</v>
      </c>
      <c r="C1306" s="14" t="str">
        <f>"1800"</f>
        <v>1800</v>
      </c>
      <c r="D1306" s="14" t="str">
        <f>""</f>
        <v/>
      </c>
      <c r="E1306" s="14" t="s">
        <v>887</v>
      </c>
      <c r="F1306" s="14" t="s">
        <v>406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318</v>
      </c>
      <c r="L1306" s="14" t="s">
        <v>319</v>
      </c>
      <c r="M1306" s="14" t="s">
        <v>90</v>
      </c>
      <c r="P1306" s="14" t="s">
        <v>260</v>
      </c>
      <c r="Q1306" s="14" t="s">
        <v>25</v>
      </c>
      <c r="R1306" s="14" t="s">
        <v>318</v>
      </c>
    </row>
    <row r="1307" spans="1:18" s="14" customFormat="1" x14ac:dyDescent="0.25">
      <c r="A1307" s="14" t="str">
        <f>"23025"</f>
        <v>23025</v>
      </c>
      <c r="B1307" s="14" t="str">
        <f>"05160"</f>
        <v>05160</v>
      </c>
      <c r="C1307" s="14" t="str">
        <f>"1800"</f>
        <v>1800</v>
      </c>
      <c r="D1307" s="14" t="str">
        <f>""</f>
        <v/>
      </c>
      <c r="E1307" s="14" t="s">
        <v>888</v>
      </c>
      <c r="F1307" s="14" t="s">
        <v>406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318</v>
      </c>
      <c r="L1307" s="14" t="s">
        <v>319</v>
      </c>
      <c r="M1307" s="14" t="s">
        <v>90</v>
      </c>
      <c r="P1307" s="14" t="s">
        <v>260</v>
      </c>
      <c r="Q1307" s="14" t="s">
        <v>25</v>
      </c>
      <c r="R1307" s="14" t="s">
        <v>318</v>
      </c>
    </row>
    <row r="1308" spans="1:18" s="14" customFormat="1" x14ac:dyDescent="0.25">
      <c r="A1308" s="14" t="str">
        <f>"30003"</f>
        <v>30003</v>
      </c>
      <c r="B1308" s="14" t="str">
        <f>"06000"</f>
        <v>06000</v>
      </c>
      <c r="C1308" s="14" t="str">
        <f>"1700"</f>
        <v>1700</v>
      </c>
      <c r="D1308" s="14" t="str">
        <f>""</f>
        <v/>
      </c>
      <c r="E1308" s="14" t="s">
        <v>946</v>
      </c>
      <c r="F1308" s="14" t="s">
        <v>409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414</v>
      </c>
      <c r="L1308" s="14" t="s">
        <v>411</v>
      </c>
      <c r="M1308" s="14" t="s">
        <v>412</v>
      </c>
      <c r="P1308" s="14" t="s">
        <v>39</v>
      </c>
      <c r="Q1308" s="14" t="s">
        <v>25</v>
      </c>
      <c r="R1308" s="14" t="s">
        <v>410</v>
      </c>
    </row>
    <row r="1309" spans="1:18" s="14" customFormat="1" x14ac:dyDescent="0.25">
      <c r="A1309" s="14" t="str">
        <f>"30003"</f>
        <v>30003</v>
      </c>
      <c r="B1309" s="14" t="str">
        <f>"06030"</f>
        <v>06030</v>
      </c>
      <c r="C1309" s="14" t="str">
        <f>"1700"</f>
        <v>1700</v>
      </c>
      <c r="D1309" s="14" t="str">
        <f>""</f>
        <v/>
      </c>
      <c r="E1309" s="14" t="s">
        <v>946</v>
      </c>
      <c r="F1309" s="14" t="s">
        <v>420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414</v>
      </c>
      <c r="L1309" s="14" t="s">
        <v>411</v>
      </c>
      <c r="M1309" s="14" t="s">
        <v>412</v>
      </c>
      <c r="P1309" s="14" t="s">
        <v>39</v>
      </c>
      <c r="Q1309" s="14" t="s">
        <v>25</v>
      </c>
      <c r="R1309" s="14" t="s">
        <v>410</v>
      </c>
    </row>
    <row r="1310" spans="1:18" s="14" customFormat="1" x14ac:dyDescent="0.25">
      <c r="A1310" s="14" t="str">
        <f>"30003"</f>
        <v>30003</v>
      </c>
      <c r="B1310" s="14" t="str">
        <f>"06040"</f>
        <v>06040</v>
      </c>
      <c r="C1310" s="14" t="str">
        <f>"1700"</f>
        <v>1700</v>
      </c>
      <c r="D1310" s="14" t="str">
        <f>""</f>
        <v/>
      </c>
      <c r="E1310" s="14" t="s">
        <v>946</v>
      </c>
      <c r="F1310" s="14" t="s">
        <v>421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414</v>
      </c>
      <c r="L1310" s="14" t="s">
        <v>411</v>
      </c>
      <c r="M1310" s="14" t="s">
        <v>412</v>
      </c>
      <c r="P1310" s="14" t="s">
        <v>39</v>
      </c>
      <c r="Q1310" s="14" t="s">
        <v>25</v>
      </c>
      <c r="R1310" s="14" t="s">
        <v>410</v>
      </c>
    </row>
    <row r="1311" spans="1:18" s="14" customFormat="1" x14ac:dyDescent="0.25">
      <c r="A1311" s="14" t="str">
        <f>"30003"</f>
        <v>30003</v>
      </c>
      <c r="B1311" s="14" t="str">
        <f>"06050"</f>
        <v>06050</v>
      </c>
      <c r="C1311" s="14" t="str">
        <f>"1700"</f>
        <v>1700</v>
      </c>
      <c r="D1311" s="14" t="str">
        <f>""</f>
        <v/>
      </c>
      <c r="E1311" s="14" t="s">
        <v>946</v>
      </c>
      <c r="F1311" s="14" t="s">
        <v>422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414</v>
      </c>
      <c r="L1311" s="14" t="s">
        <v>411</v>
      </c>
      <c r="M1311" s="14" t="s">
        <v>412</v>
      </c>
      <c r="P1311" s="14" t="s">
        <v>39</v>
      </c>
      <c r="Q1311" s="14" t="s">
        <v>25</v>
      </c>
      <c r="R1311" s="14" t="s">
        <v>410</v>
      </c>
    </row>
    <row r="1312" spans="1:18" s="14" customFormat="1" x14ac:dyDescent="0.25">
      <c r="A1312" s="14" t="str">
        <f>"30003"</f>
        <v>30003</v>
      </c>
      <c r="B1312" s="14" t="str">
        <f>"06060"</f>
        <v>06060</v>
      </c>
      <c r="C1312" s="14" t="str">
        <f>"1700"</f>
        <v>1700</v>
      </c>
      <c r="D1312" s="14" t="str">
        <f>""</f>
        <v/>
      </c>
      <c r="E1312" s="14" t="s">
        <v>946</v>
      </c>
      <c r="F1312" s="14" t="s">
        <v>423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414</v>
      </c>
      <c r="L1312" s="14" t="s">
        <v>411</v>
      </c>
      <c r="M1312" s="14" t="s">
        <v>412</v>
      </c>
      <c r="P1312" s="14" t="s">
        <v>39</v>
      </c>
      <c r="Q1312" s="14" t="s">
        <v>25</v>
      </c>
      <c r="R1312" s="14" t="s">
        <v>410</v>
      </c>
    </row>
    <row r="1313" spans="1:18" s="14" customFormat="1" x14ac:dyDescent="0.25">
      <c r="A1313" s="14" t="str">
        <f>"30003"</f>
        <v>30003</v>
      </c>
      <c r="B1313" s="14" t="str">
        <f>"06070"</f>
        <v>06070</v>
      </c>
      <c r="C1313" s="14" t="str">
        <f>"1700"</f>
        <v>1700</v>
      </c>
      <c r="D1313" s="14" t="str">
        <f>""</f>
        <v/>
      </c>
      <c r="E1313" s="14" t="s">
        <v>946</v>
      </c>
      <c r="F1313" s="14" t="s">
        <v>424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414</v>
      </c>
      <c r="L1313" s="14" t="s">
        <v>411</v>
      </c>
      <c r="M1313" s="14" t="s">
        <v>412</v>
      </c>
      <c r="P1313" s="14" t="s">
        <v>39</v>
      </c>
      <c r="Q1313" s="14" t="s">
        <v>25</v>
      </c>
      <c r="R1313" s="14" t="s">
        <v>410</v>
      </c>
    </row>
    <row r="1314" spans="1:18" s="14" customFormat="1" x14ac:dyDescent="0.25">
      <c r="A1314" s="14" t="str">
        <f>"30003"</f>
        <v>30003</v>
      </c>
      <c r="B1314" s="14" t="str">
        <f>"06080"</f>
        <v>06080</v>
      </c>
      <c r="C1314" s="14" t="str">
        <f>"1700"</f>
        <v>1700</v>
      </c>
      <c r="D1314" s="14" t="str">
        <f>""</f>
        <v/>
      </c>
      <c r="E1314" s="14" t="s">
        <v>946</v>
      </c>
      <c r="F1314" s="14" t="s">
        <v>425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414</v>
      </c>
      <c r="L1314" s="14" t="s">
        <v>411</v>
      </c>
      <c r="M1314" s="14" t="s">
        <v>412</v>
      </c>
      <c r="P1314" s="14" t="s">
        <v>39</v>
      </c>
      <c r="Q1314" s="14" t="s">
        <v>25</v>
      </c>
      <c r="R1314" s="14" t="s">
        <v>410</v>
      </c>
    </row>
    <row r="1315" spans="1:18" s="14" customFormat="1" x14ac:dyDescent="0.25">
      <c r="A1315" s="14" t="str">
        <f>"30003"</f>
        <v>30003</v>
      </c>
      <c r="B1315" s="14" t="str">
        <f>"06090"</f>
        <v>06090</v>
      </c>
      <c r="C1315" s="14" t="str">
        <f>"1700"</f>
        <v>1700</v>
      </c>
      <c r="D1315" s="14" t="str">
        <f>""</f>
        <v/>
      </c>
      <c r="E1315" s="14" t="s">
        <v>946</v>
      </c>
      <c r="F1315" s="14" t="s">
        <v>426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414</v>
      </c>
      <c r="L1315" s="14" t="s">
        <v>411</v>
      </c>
      <c r="M1315" s="14" t="s">
        <v>412</v>
      </c>
      <c r="P1315" s="14" t="s">
        <v>39</v>
      </c>
      <c r="Q1315" s="14" t="s">
        <v>25</v>
      </c>
      <c r="R1315" s="14" t="s">
        <v>410</v>
      </c>
    </row>
    <row r="1316" spans="1:18" s="14" customFormat="1" x14ac:dyDescent="0.25">
      <c r="A1316" s="14" t="str">
        <f>"30003"</f>
        <v>30003</v>
      </c>
      <c r="B1316" s="14" t="str">
        <f>"06100"</f>
        <v>06100</v>
      </c>
      <c r="C1316" s="14" t="str">
        <f>"1700"</f>
        <v>1700</v>
      </c>
      <c r="D1316" s="14" t="str">
        <f>""</f>
        <v/>
      </c>
      <c r="E1316" s="14" t="s">
        <v>946</v>
      </c>
      <c r="F1316" s="14" t="s">
        <v>427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414</v>
      </c>
      <c r="L1316" s="14" t="s">
        <v>411</v>
      </c>
      <c r="M1316" s="14" t="s">
        <v>412</v>
      </c>
      <c r="P1316" s="14" t="s">
        <v>39</v>
      </c>
      <c r="Q1316" s="14" t="s">
        <v>25</v>
      </c>
      <c r="R1316" s="14" t="s">
        <v>410</v>
      </c>
    </row>
    <row r="1317" spans="1:18" s="14" customFormat="1" x14ac:dyDescent="0.25">
      <c r="A1317" s="14" t="str">
        <f>"30003"</f>
        <v>30003</v>
      </c>
      <c r="B1317" s="14" t="str">
        <f>"06110"</f>
        <v>06110</v>
      </c>
      <c r="C1317" s="14" t="str">
        <f>"1700"</f>
        <v>1700</v>
      </c>
      <c r="D1317" s="14" t="str">
        <f>""</f>
        <v/>
      </c>
      <c r="E1317" s="14" t="s">
        <v>946</v>
      </c>
      <c r="F1317" s="14" t="s">
        <v>428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414</v>
      </c>
      <c r="L1317" s="14" t="s">
        <v>411</v>
      </c>
      <c r="M1317" s="14" t="s">
        <v>412</v>
      </c>
      <c r="P1317" s="14" t="s">
        <v>39</v>
      </c>
      <c r="Q1317" s="14" t="s">
        <v>25</v>
      </c>
      <c r="R1317" s="14" t="s">
        <v>410</v>
      </c>
    </row>
    <row r="1318" spans="1:18" s="14" customFormat="1" x14ac:dyDescent="0.25">
      <c r="A1318" s="14" t="str">
        <f>"30003"</f>
        <v>30003</v>
      </c>
      <c r="B1318" s="14" t="str">
        <f>"06120"</f>
        <v>06120</v>
      </c>
      <c r="C1318" s="14" t="str">
        <f>"1700"</f>
        <v>1700</v>
      </c>
      <c r="D1318" s="14" t="str">
        <f>""</f>
        <v/>
      </c>
      <c r="E1318" s="14" t="s">
        <v>946</v>
      </c>
      <c r="F1318" s="14" t="s">
        <v>429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414</v>
      </c>
      <c r="L1318" s="14" t="s">
        <v>411</v>
      </c>
      <c r="M1318" s="14" t="s">
        <v>412</v>
      </c>
      <c r="P1318" s="14" t="s">
        <v>39</v>
      </c>
      <c r="Q1318" s="14" t="s">
        <v>25</v>
      </c>
      <c r="R1318" s="14" t="s">
        <v>410</v>
      </c>
    </row>
    <row r="1319" spans="1:18" s="14" customFormat="1" x14ac:dyDescent="0.25">
      <c r="A1319" s="14" t="str">
        <f>"30003"</f>
        <v>30003</v>
      </c>
      <c r="B1319" s="14" t="str">
        <f>"06130"</f>
        <v>06130</v>
      </c>
      <c r="C1319" s="14" t="str">
        <f>"1700"</f>
        <v>1700</v>
      </c>
      <c r="D1319" s="14" t="str">
        <f>""</f>
        <v/>
      </c>
      <c r="E1319" s="14" t="s">
        <v>946</v>
      </c>
      <c r="F1319" s="14" t="s">
        <v>430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414</v>
      </c>
      <c r="L1319" s="14" t="s">
        <v>411</v>
      </c>
      <c r="M1319" s="14" t="s">
        <v>412</v>
      </c>
      <c r="P1319" s="14" t="s">
        <v>39</v>
      </c>
      <c r="Q1319" s="14" t="s">
        <v>25</v>
      </c>
      <c r="R1319" s="14" t="s">
        <v>410</v>
      </c>
    </row>
    <row r="1320" spans="1:18" s="14" customFormat="1" x14ac:dyDescent="0.25">
      <c r="A1320" s="14" t="str">
        <f>"30003"</f>
        <v>30003</v>
      </c>
      <c r="B1320" s="14" t="str">
        <f>"06140"</f>
        <v>06140</v>
      </c>
      <c r="C1320" s="14" t="str">
        <f>"1700"</f>
        <v>1700</v>
      </c>
      <c r="D1320" s="14" t="str">
        <f>""</f>
        <v/>
      </c>
      <c r="E1320" s="14" t="s">
        <v>946</v>
      </c>
      <c r="F1320" s="14" t="s">
        <v>431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414</v>
      </c>
      <c r="L1320" s="14" t="s">
        <v>411</v>
      </c>
      <c r="M1320" s="14" t="s">
        <v>412</v>
      </c>
      <c r="P1320" s="14" t="s">
        <v>39</v>
      </c>
      <c r="Q1320" s="14" t="s">
        <v>25</v>
      </c>
      <c r="R1320" s="14" t="s">
        <v>410</v>
      </c>
    </row>
    <row r="1321" spans="1:18" s="14" customFormat="1" x14ac:dyDescent="0.25">
      <c r="A1321" s="14" t="str">
        <f>"30003"</f>
        <v>30003</v>
      </c>
      <c r="B1321" s="14" t="str">
        <f>"06150"</f>
        <v>06150</v>
      </c>
      <c r="C1321" s="14" t="str">
        <f>"1700"</f>
        <v>1700</v>
      </c>
      <c r="D1321" s="14" t="str">
        <f>""</f>
        <v/>
      </c>
      <c r="E1321" s="14" t="s">
        <v>946</v>
      </c>
      <c r="F1321" s="14" t="s">
        <v>432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414</v>
      </c>
      <c r="L1321" s="14" t="s">
        <v>411</v>
      </c>
      <c r="M1321" s="14" t="s">
        <v>412</v>
      </c>
      <c r="P1321" s="14" t="s">
        <v>39</v>
      </c>
      <c r="Q1321" s="14" t="s">
        <v>25</v>
      </c>
      <c r="R1321" s="14" t="s">
        <v>410</v>
      </c>
    </row>
    <row r="1322" spans="1:18" s="14" customFormat="1" x14ac:dyDescent="0.25">
      <c r="A1322" s="14" t="str">
        <f>"30005"</f>
        <v>30005</v>
      </c>
      <c r="B1322" s="14" t="str">
        <f>"06000"</f>
        <v>06000</v>
      </c>
      <c r="C1322" s="14" t="str">
        <f>"1700"</f>
        <v>1700</v>
      </c>
      <c r="D1322" s="14" t="str">
        <f>"06000B"</f>
        <v>06000B</v>
      </c>
      <c r="E1322" s="14" t="s">
        <v>947</v>
      </c>
      <c r="F1322" s="14" t="s">
        <v>409</v>
      </c>
      <c r="G1322" s="14" t="str">
        <f>""</f>
        <v/>
      </c>
      <c r="H1322" s="14" t="str">
        <f>" 10"</f>
        <v xml:space="preserve"> 10</v>
      </c>
      <c r="I1322" s="14">
        <v>0.01</v>
      </c>
      <c r="J1322" s="14">
        <v>500</v>
      </c>
      <c r="K1322" s="14" t="s">
        <v>410</v>
      </c>
      <c r="L1322" s="14" t="s">
        <v>411</v>
      </c>
      <c r="M1322" s="14" t="s">
        <v>412</v>
      </c>
      <c r="N1322" s="14" t="s">
        <v>413</v>
      </c>
      <c r="P1322" s="14" t="s">
        <v>39</v>
      </c>
      <c r="Q1322" s="14" t="s">
        <v>25</v>
      </c>
      <c r="R1322" s="14" t="s">
        <v>410</v>
      </c>
    </row>
    <row r="1323" spans="1:18" s="14" customFormat="1" x14ac:dyDescent="0.25">
      <c r="A1323" s="14" t="str">
        <f>"30005"</f>
        <v>30005</v>
      </c>
      <c r="B1323" s="14" t="str">
        <f>"06000"</f>
        <v>06000</v>
      </c>
      <c r="C1323" s="14" t="str">
        <f>"1700"</f>
        <v>1700</v>
      </c>
      <c r="D1323" s="14" t="str">
        <f>"06000B"</f>
        <v>06000B</v>
      </c>
      <c r="E1323" s="14" t="s">
        <v>947</v>
      </c>
      <c r="F1323" s="14" t="s">
        <v>409</v>
      </c>
      <c r="G1323" s="14" t="str">
        <f>""</f>
        <v/>
      </c>
      <c r="H1323" s="14" t="str">
        <f>" 20"</f>
        <v xml:space="preserve"> 20</v>
      </c>
      <c r="I1323" s="14">
        <v>500.01</v>
      </c>
      <c r="J1323" s="14">
        <v>9999999.9900000002</v>
      </c>
      <c r="K1323" s="14" t="s">
        <v>414</v>
      </c>
      <c r="L1323" s="14" t="s">
        <v>411</v>
      </c>
      <c r="M1323" s="14" t="s">
        <v>412</v>
      </c>
      <c r="P1323" s="14" t="s">
        <v>39</v>
      </c>
      <c r="Q1323" s="14" t="s">
        <v>25</v>
      </c>
      <c r="R1323" s="14" t="s">
        <v>410</v>
      </c>
    </row>
    <row r="1324" spans="1:18" s="14" customFormat="1" x14ac:dyDescent="0.25">
      <c r="A1324" s="14" t="str">
        <f>"30005"</f>
        <v>30005</v>
      </c>
      <c r="B1324" s="14" t="str">
        <f>"06010"</f>
        <v>06010</v>
      </c>
      <c r="C1324" s="14" t="str">
        <f>"1700"</f>
        <v>1700</v>
      </c>
      <c r="D1324" s="14" t="str">
        <f>"06010A"</f>
        <v>06010A</v>
      </c>
      <c r="E1324" s="14" t="s">
        <v>947</v>
      </c>
      <c r="F1324" s="14" t="s">
        <v>416</v>
      </c>
      <c r="G1324" s="14" t="str">
        <f>""</f>
        <v/>
      </c>
      <c r="H1324" s="14" t="str">
        <f>" 10"</f>
        <v xml:space="preserve"> 10</v>
      </c>
      <c r="I1324" s="14">
        <v>0.01</v>
      </c>
      <c r="J1324" s="14">
        <v>500</v>
      </c>
      <c r="K1324" s="14" t="s">
        <v>410</v>
      </c>
      <c r="L1324" s="14" t="s">
        <v>411</v>
      </c>
      <c r="M1324" s="14" t="s">
        <v>412</v>
      </c>
      <c r="N1324" s="14" t="s">
        <v>413</v>
      </c>
      <c r="P1324" s="14" t="s">
        <v>39</v>
      </c>
      <c r="Q1324" s="14" t="s">
        <v>25</v>
      </c>
      <c r="R1324" s="14" t="s">
        <v>410</v>
      </c>
    </row>
    <row r="1325" spans="1:18" s="14" customFormat="1" x14ac:dyDescent="0.25">
      <c r="A1325" s="14" t="str">
        <f>"30005"</f>
        <v>30005</v>
      </c>
      <c r="B1325" s="14" t="str">
        <f>"06010"</f>
        <v>06010</v>
      </c>
      <c r="C1325" s="14" t="str">
        <f>"1700"</f>
        <v>1700</v>
      </c>
      <c r="D1325" s="14" t="str">
        <f>"06010A"</f>
        <v>06010A</v>
      </c>
      <c r="E1325" s="14" t="s">
        <v>947</v>
      </c>
      <c r="F1325" s="14" t="s">
        <v>416</v>
      </c>
      <c r="G1325" s="14" t="str">
        <f>""</f>
        <v/>
      </c>
      <c r="H1325" s="14" t="str">
        <f>" 20"</f>
        <v xml:space="preserve"> 20</v>
      </c>
      <c r="I1325" s="14">
        <v>500.01</v>
      </c>
      <c r="J1325" s="14">
        <v>9999999.9900000002</v>
      </c>
      <c r="K1325" s="14" t="s">
        <v>414</v>
      </c>
      <c r="L1325" s="14" t="s">
        <v>411</v>
      </c>
      <c r="M1325" s="14" t="s">
        <v>412</v>
      </c>
      <c r="P1325" s="14" t="s">
        <v>39</v>
      </c>
      <c r="Q1325" s="14" t="s">
        <v>25</v>
      </c>
      <c r="R1325" s="14" t="s">
        <v>410</v>
      </c>
    </row>
    <row r="1326" spans="1:18" s="14" customFormat="1" x14ac:dyDescent="0.25">
      <c r="A1326" s="14" t="str">
        <f>"30005"</f>
        <v>30005</v>
      </c>
      <c r="B1326" s="14" t="str">
        <f>"06030"</f>
        <v>06030</v>
      </c>
      <c r="C1326" s="14" t="str">
        <f>"1700"</f>
        <v>1700</v>
      </c>
      <c r="D1326" s="14" t="str">
        <f>"06030A"</f>
        <v>06030A</v>
      </c>
      <c r="E1326" s="14" t="s">
        <v>947</v>
      </c>
      <c r="F1326" s="14" t="s">
        <v>420</v>
      </c>
      <c r="G1326" s="14" t="str">
        <f>""</f>
        <v/>
      </c>
      <c r="H1326" s="14" t="str">
        <f>" 10"</f>
        <v xml:space="preserve"> 10</v>
      </c>
      <c r="I1326" s="14">
        <v>0.01</v>
      </c>
      <c r="J1326" s="14">
        <v>500</v>
      </c>
      <c r="K1326" s="14" t="s">
        <v>410</v>
      </c>
      <c r="L1326" s="14" t="s">
        <v>411</v>
      </c>
      <c r="M1326" s="14" t="s">
        <v>412</v>
      </c>
      <c r="N1326" s="14" t="s">
        <v>413</v>
      </c>
      <c r="P1326" s="14" t="s">
        <v>39</v>
      </c>
      <c r="Q1326" s="14" t="s">
        <v>25</v>
      </c>
      <c r="R1326" s="14" t="s">
        <v>410</v>
      </c>
    </row>
    <row r="1327" spans="1:18" s="14" customFormat="1" x14ac:dyDescent="0.25">
      <c r="A1327" s="14" t="str">
        <f>"30005"</f>
        <v>30005</v>
      </c>
      <c r="B1327" s="14" t="str">
        <f>"06030"</f>
        <v>06030</v>
      </c>
      <c r="C1327" s="14" t="str">
        <f>"1700"</f>
        <v>1700</v>
      </c>
      <c r="D1327" s="14" t="str">
        <f>"06030A"</f>
        <v>06030A</v>
      </c>
      <c r="E1327" s="14" t="s">
        <v>947</v>
      </c>
      <c r="F1327" s="14" t="s">
        <v>420</v>
      </c>
      <c r="G1327" s="14" t="str">
        <f>""</f>
        <v/>
      </c>
      <c r="H1327" s="14" t="str">
        <f>" 20"</f>
        <v xml:space="preserve"> 20</v>
      </c>
      <c r="I1327" s="14">
        <v>500.01</v>
      </c>
      <c r="J1327" s="14">
        <v>9999999.9900000002</v>
      </c>
      <c r="K1327" s="14" t="s">
        <v>414</v>
      </c>
      <c r="L1327" s="14" t="s">
        <v>411</v>
      </c>
      <c r="M1327" s="14" t="s">
        <v>412</v>
      </c>
      <c r="P1327" s="14" t="s">
        <v>39</v>
      </c>
      <c r="Q1327" s="14" t="s">
        <v>25</v>
      </c>
      <c r="R1327" s="14" t="s">
        <v>410</v>
      </c>
    </row>
    <row r="1328" spans="1:18" s="14" customFormat="1" x14ac:dyDescent="0.25">
      <c r="A1328" s="14" t="str">
        <f>"30005"</f>
        <v>30005</v>
      </c>
      <c r="B1328" s="14" t="str">
        <f>"06040"</f>
        <v>06040</v>
      </c>
      <c r="C1328" s="14" t="str">
        <f>"1700"</f>
        <v>1700</v>
      </c>
      <c r="D1328" s="14" t="str">
        <f>"06040A"</f>
        <v>06040A</v>
      </c>
      <c r="E1328" s="14" t="s">
        <v>947</v>
      </c>
      <c r="F1328" s="14" t="s">
        <v>421</v>
      </c>
      <c r="G1328" s="14" t="str">
        <f>""</f>
        <v/>
      </c>
      <c r="H1328" s="14" t="str">
        <f>" 10"</f>
        <v xml:space="preserve"> 10</v>
      </c>
      <c r="I1328" s="14">
        <v>0.01</v>
      </c>
      <c r="J1328" s="14">
        <v>500</v>
      </c>
      <c r="K1328" s="14" t="s">
        <v>410</v>
      </c>
      <c r="L1328" s="14" t="s">
        <v>411</v>
      </c>
      <c r="M1328" s="14" t="s">
        <v>412</v>
      </c>
      <c r="N1328" s="14" t="s">
        <v>413</v>
      </c>
      <c r="P1328" s="14" t="s">
        <v>39</v>
      </c>
      <c r="Q1328" s="14" t="s">
        <v>25</v>
      </c>
      <c r="R1328" s="14" t="s">
        <v>410</v>
      </c>
    </row>
    <row r="1329" spans="1:18" s="14" customFormat="1" x14ac:dyDescent="0.25">
      <c r="A1329" s="14" t="str">
        <f>"30005"</f>
        <v>30005</v>
      </c>
      <c r="B1329" s="14" t="str">
        <f>"06040"</f>
        <v>06040</v>
      </c>
      <c r="C1329" s="14" t="str">
        <f>"1700"</f>
        <v>1700</v>
      </c>
      <c r="D1329" s="14" t="str">
        <f>"06040A"</f>
        <v>06040A</v>
      </c>
      <c r="E1329" s="14" t="s">
        <v>947</v>
      </c>
      <c r="F1329" s="14" t="s">
        <v>421</v>
      </c>
      <c r="G1329" s="14" t="str">
        <f>""</f>
        <v/>
      </c>
      <c r="H1329" s="14" t="str">
        <f>" 20"</f>
        <v xml:space="preserve"> 20</v>
      </c>
      <c r="I1329" s="14">
        <v>500.01</v>
      </c>
      <c r="J1329" s="14">
        <v>9999999.9900000002</v>
      </c>
      <c r="K1329" s="14" t="s">
        <v>414</v>
      </c>
      <c r="L1329" s="14" t="s">
        <v>411</v>
      </c>
      <c r="M1329" s="14" t="s">
        <v>412</v>
      </c>
      <c r="P1329" s="14" t="s">
        <v>39</v>
      </c>
      <c r="Q1329" s="14" t="s">
        <v>25</v>
      </c>
      <c r="R1329" s="14" t="s">
        <v>410</v>
      </c>
    </row>
    <row r="1330" spans="1:18" s="14" customFormat="1" x14ac:dyDescent="0.25">
      <c r="A1330" s="14" t="str">
        <f>"30005"</f>
        <v>30005</v>
      </c>
      <c r="B1330" s="14" t="str">
        <f>"06050"</f>
        <v>06050</v>
      </c>
      <c r="C1330" s="14" t="str">
        <f>"1700"</f>
        <v>1700</v>
      </c>
      <c r="D1330" s="14" t="str">
        <f>"06050A"</f>
        <v>06050A</v>
      </c>
      <c r="E1330" s="14" t="s">
        <v>947</v>
      </c>
      <c r="F1330" s="14" t="s">
        <v>422</v>
      </c>
      <c r="G1330" s="14" t="str">
        <f>""</f>
        <v/>
      </c>
      <c r="H1330" s="14" t="str">
        <f>" 10"</f>
        <v xml:space="preserve"> 10</v>
      </c>
      <c r="I1330" s="14">
        <v>0.01</v>
      </c>
      <c r="J1330" s="14">
        <v>500</v>
      </c>
      <c r="K1330" s="14" t="s">
        <v>410</v>
      </c>
      <c r="L1330" s="14" t="s">
        <v>411</v>
      </c>
      <c r="M1330" s="14" t="s">
        <v>412</v>
      </c>
      <c r="N1330" s="14" t="s">
        <v>413</v>
      </c>
      <c r="P1330" s="14" t="s">
        <v>39</v>
      </c>
      <c r="Q1330" s="14" t="s">
        <v>25</v>
      </c>
      <c r="R1330" s="14" t="s">
        <v>410</v>
      </c>
    </row>
    <row r="1331" spans="1:18" s="14" customFormat="1" x14ac:dyDescent="0.25">
      <c r="A1331" s="14" t="str">
        <f>"30005"</f>
        <v>30005</v>
      </c>
      <c r="B1331" s="14" t="str">
        <f>"06050"</f>
        <v>06050</v>
      </c>
      <c r="C1331" s="14" t="str">
        <f>"1700"</f>
        <v>1700</v>
      </c>
      <c r="D1331" s="14" t="str">
        <f>"06050A"</f>
        <v>06050A</v>
      </c>
      <c r="E1331" s="14" t="s">
        <v>947</v>
      </c>
      <c r="F1331" s="14" t="s">
        <v>422</v>
      </c>
      <c r="G1331" s="14" t="str">
        <f>""</f>
        <v/>
      </c>
      <c r="H1331" s="14" t="str">
        <f>" 20"</f>
        <v xml:space="preserve"> 20</v>
      </c>
      <c r="I1331" s="14">
        <v>500.01</v>
      </c>
      <c r="J1331" s="14">
        <v>9999999.9900000002</v>
      </c>
      <c r="K1331" s="14" t="s">
        <v>414</v>
      </c>
      <c r="L1331" s="14" t="s">
        <v>411</v>
      </c>
      <c r="M1331" s="14" t="s">
        <v>412</v>
      </c>
      <c r="P1331" s="14" t="s">
        <v>39</v>
      </c>
      <c r="Q1331" s="14" t="s">
        <v>25</v>
      </c>
      <c r="R1331" s="14" t="s">
        <v>410</v>
      </c>
    </row>
    <row r="1332" spans="1:18" s="14" customFormat="1" x14ac:dyDescent="0.25">
      <c r="A1332" s="14" t="str">
        <f>"30005"</f>
        <v>30005</v>
      </c>
      <c r="B1332" s="14" t="str">
        <f>"06060"</f>
        <v>06060</v>
      </c>
      <c r="C1332" s="14" t="str">
        <f>"1700"</f>
        <v>1700</v>
      </c>
      <c r="D1332" s="14" t="str">
        <f>"06060A"</f>
        <v>06060A</v>
      </c>
      <c r="E1332" s="14" t="s">
        <v>947</v>
      </c>
      <c r="F1332" s="14" t="s">
        <v>423</v>
      </c>
      <c r="G1332" s="14" t="str">
        <f>""</f>
        <v/>
      </c>
      <c r="H1332" s="14" t="str">
        <f>" 10"</f>
        <v xml:space="preserve"> 10</v>
      </c>
      <c r="I1332" s="14">
        <v>0.01</v>
      </c>
      <c r="J1332" s="14">
        <v>500</v>
      </c>
      <c r="K1332" s="14" t="s">
        <v>410</v>
      </c>
      <c r="L1332" s="14" t="s">
        <v>411</v>
      </c>
      <c r="M1332" s="14" t="s">
        <v>412</v>
      </c>
      <c r="N1332" s="14" t="s">
        <v>413</v>
      </c>
      <c r="P1332" s="14" t="s">
        <v>39</v>
      </c>
      <c r="Q1332" s="14" t="s">
        <v>25</v>
      </c>
      <c r="R1332" s="14" t="s">
        <v>410</v>
      </c>
    </row>
    <row r="1333" spans="1:18" s="14" customFormat="1" x14ac:dyDescent="0.25">
      <c r="A1333" s="14" t="str">
        <f>"30005"</f>
        <v>30005</v>
      </c>
      <c r="B1333" s="14" t="str">
        <f>"06060"</f>
        <v>06060</v>
      </c>
      <c r="C1333" s="14" t="str">
        <f>"1700"</f>
        <v>1700</v>
      </c>
      <c r="D1333" s="14" t="str">
        <f>"06060A"</f>
        <v>06060A</v>
      </c>
      <c r="E1333" s="14" t="s">
        <v>947</v>
      </c>
      <c r="F1333" s="14" t="s">
        <v>423</v>
      </c>
      <c r="G1333" s="14" t="str">
        <f>""</f>
        <v/>
      </c>
      <c r="H1333" s="14" t="str">
        <f>" 20"</f>
        <v xml:space="preserve"> 20</v>
      </c>
      <c r="I1333" s="14">
        <v>500.01</v>
      </c>
      <c r="J1333" s="14">
        <v>9999999.9900000002</v>
      </c>
      <c r="K1333" s="14" t="s">
        <v>414</v>
      </c>
      <c r="L1333" s="14" t="s">
        <v>411</v>
      </c>
      <c r="M1333" s="14" t="s">
        <v>412</v>
      </c>
      <c r="P1333" s="14" t="s">
        <v>39</v>
      </c>
      <c r="Q1333" s="14" t="s">
        <v>25</v>
      </c>
      <c r="R1333" s="14" t="s">
        <v>410</v>
      </c>
    </row>
    <row r="1334" spans="1:18" s="14" customFormat="1" x14ac:dyDescent="0.25">
      <c r="A1334" s="14" t="str">
        <f>"30005"</f>
        <v>30005</v>
      </c>
      <c r="B1334" s="14" t="str">
        <f>"06070"</f>
        <v>06070</v>
      </c>
      <c r="C1334" s="14" t="str">
        <f>"1700"</f>
        <v>1700</v>
      </c>
      <c r="D1334" s="14" t="str">
        <f>"06070A"</f>
        <v>06070A</v>
      </c>
      <c r="E1334" s="14" t="s">
        <v>947</v>
      </c>
      <c r="F1334" s="14" t="s">
        <v>424</v>
      </c>
      <c r="G1334" s="14" t="str">
        <f>""</f>
        <v/>
      </c>
      <c r="H1334" s="14" t="str">
        <f>" 10"</f>
        <v xml:space="preserve"> 10</v>
      </c>
      <c r="I1334" s="14">
        <v>0.01</v>
      </c>
      <c r="J1334" s="14">
        <v>500</v>
      </c>
      <c r="K1334" s="14" t="s">
        <v>410</v>
      </c>
      <c r="L1334" s="14" t="s">
        <v>411</v>
      </c>
      <c r="M1334" s="14" t="s">
        <v>412</v>
      </c>
      <c r="N1334" s="14" t="s">
        <v>413</v>
      </c>
      <c r="P1334" s="14" t="s">
        <v>39</v>
      </c>
      <c r="Q1334" s="14" t="s">
        <v>25</v>
      </c>
      <c r="R1334" s="14" t="s">
        <v>410</v>
      </c>
    </row>
    <row r="1335" spans="1:18" s="14" customFormat="1" x14ac:dyDescent="0.25">
      <c r="A1335" s="14" t="str">
        <f>"30005"</f>
        <v>30005</v>
      </c>
      <c r="B1335" s="14" t="str">
        <f>"06070"</f>
        <v>06070</v>
      </c>
      <c r="C1335" s="14" t="str">
        <f>"1700"</f>
        <v>1700</v>
      </c>
      <c r="D1335" s="14" t="str">
        <f>"06070A"</f>
        <v>06070A</v>
      </c>
      <c r="E1335" s="14" t="s">
        <v>947</v>
      </c>
      <c r="F1335" s="14" t="s">
        <v>424</v>
      </c>
      <c r="G1335" s="14" t="str">
        <f>""</f>
        <v/>
      </c>
      <c r="H1335" s="14" t="str">
        <f>" 20"</f>
        <v xml:space="preserve"> 20</v>
      </c>
      <c r="I1335" s="14">
        <v>500.01</v>
      </c>
      <c r="J1335" s="14">
        <v>9999999.9900000002</v>
      </c>
      <c r="K1335" s="14" t="s">
        <v>414</v>
      </c>
      <c r="L1335" s="14" t="s">
        <v>411</v>
      </c>
      <c r="M1335" s="14" t="s">
        <v>412</v>
      </c>
      <c r="P1335" s="14" t="s">
        <v>39</v>
      </c>
      <c r="Q1335" s="14" t="s">
        <v>25</v>
      </c>
      <c r="R1335" s="14" t="s">
        <v>410</v>
      </c>
    </row>
    <row r="1336" spans="1:18" s="14" customFormat="1" x14ac:dyDescent="0.25">
      <c r="A1336" s="14" t="str">
        <f>"30005"</f>
        <v>30005</v>
      </c>
      <c r="B1336" s="14" t="str">
        <f>"06080"</f>
        <v>06080</v>
      </c>
      <c r="C1336" s="14" t="str">
        <f>"1700"</f>
        <v>1700</v>
      </c>
      <c r="D1336" s="14" t="str">
        <f>"06080A"</f>
        <v>06080A</v>
      </c>
      <c r="E1336" s="14" t="s">
        <v>947</v>
      </c>
      <c r="F1336" s="14" t="s">
        <v>425</v>
      </c>
      <c r="G1336" s="14" t="str">
        <f>""</f>
        <v/>
      </c>
      <c r="H1336" s="14" t="str">
        <f>" 10"</f>
        <v xml:space="preserve"> 10</v>
      </c>
      <c r="I1336" s="14">
        <v>0.01</v>
      </c>
      <c r="J1336" s="14">
        <v>500</v>
      </c>
      <c r="K1336" s="14" t="s">
        <v>410</v>
      </c>
      <c r="L1336" s="14" t="s">
        <v>411</v>
      </c>
      <c r="M1336" s="14" t="s">
        <v>412</v>
      </c>
      <c r="N1336" s="14" t="s">
        <v>413</v>
      </c>
      <c r="P1336" s="14" t="s">
        <v>39</v>
      </c>
      <c r="Q1336" s="14" t="s">
        <v>25</v>
      </c>
      <c r="R1336" s="14" t="s">
        <v>410</v>
      </c>
    </row>
    <row r="1337" spans="1:18" s="14" customFormat="1" x14ac:dyDescent="0.25">
      <c r="A1337" s="14" t="str">
        <f>"30005"</f>
        <v>30005</v>
      </c>
      <c r="B1337" s="14" t="str">
        <f>"06080"</f>
        <v>06080</v>
      </c>
      <c r="C1337" s="14" t="str">
        <f>"1700"</f>
        <v>1700</v>
      </c>
      <c r="D1337" s="14" t="str">
        <f>"06080A"</f>
        <v>06080A</v>
      </c>
      <c r="E1337" s="14" t="s">
        <v>947</v>
      </c>
      <c r="F1337" s="14" t="s">
        <v>425</v>
      </c>
      <c r="G1337" s="14" t="str">
        <f>""</f>
        <v/>
      </c>
      <c r="H1337" s="14" t="str">
        <f>" 20"</f>
        <v xml:space="preserve"> 20</v>
      </c>
      <c r="I1337" s="14">
        <v>500.01</v>
      </c>
      <c r="J1337" s="14">
        <v>9999999.9900000002</v>
      </c>
      <c r="K1337" s="14" t="s">
        <v>414</v>
      </c>
      <c r="L1337" s="14" t="s">
        <v>411</v>
      </c>
      <c r="M1337" s="14" t="s">
        <v>412</v>
      </c>
      <c r="P1337" s="14" t="s">
        <v>39</v>
      </c>
      <c r="Q1337" s="14" t="s">
        <v>25</v>
      </c>
      <c r="R1337" s="14" t="s">
        <v>410</v>
      </c>
    </row>
    <row r="1338" spans="1:18" s="14" customFormat="1" x14ac:dyDescent="0.25">
      <c r="A1338" s="14" t="str">
        <f>"30005"</f>
        <v>30005</v>
      </c>
      <c r="B1338" s="14" t="str">
        <f>"06090"</f>
        <v>06090</v>
      </c>
      <c r="C1338" s="14" t="str">
        <f>"1700"</f>
        <v>1700</v>
      </c>
      <c r="D1338" s="14" t="str">
        <f>"06090A"</f>
        <v>06090A</v>
      </c>
      <c r="E1338" s="14" t="s">
        <v>947</v>
      </c>
      <c r="F1338" s="14" t="s">
        <v>426</v>
      </c>
      <c r="G1338" s="14" t="str">
        <f>""</f>
        <v/>
      </c>
      <c r="H1338" s="14" t="str">
        <f>" 10"</f>
        <v xml:space="preserve"> 10</v>
      </c>
      <c r="I1338" s="14">
        <v>0.01</v>
      </c>
      <c r="J1338" s="14">
        <v>500</v>
      </c>
      <c r="K1338" s="14" t="s">
        <v>410</v>
      </c>
      <c r="L1338" s="14" t="s">
        <v>411</v>
      </c>
      <c r="M1338" s="14" t="s">
        <v>412</v>
      </c>
      <c r="N1338" s="14" t="s">
        <v>413</v>
      </c>
      <c r="P1338" s="14" t="s">
        <v>39</v>
      </c>
      <c r="Q1338" s="14" t="s">
        <v>25</v>
      </c>
      <c r="R1338" s="14" t="s">
        <v>410</v>
      </c>
    </row>
    <row r="1339" spans="1:18" s="14" customFormat="1" x14ac:dyDescent="0.25">
      <c r="A1339" s="14" t="str">
        <f>"30005"</f>
        <v>30005</v>
      </c>
      <c r="B1339" s="14" t="str">
        <f>"06090"</f>
        <v>06090</v>
      </c>
      <c r="C1339" s="14" t="str">
        <f>"1700"</f>
        <v>1700</v>
      </c>
      <c r="D1339" s="14" t="str">
        <f>"06090A"</f>
        <v>06090A</v>
      </c>
      <c r="E1339" s="14" t="s">
        <v>947</v>
      </c>
      <c r="F1339" s="14" t="s">
        <v>426</v>
      </c>
      <c r="G1339" s="14" t="str">
        <f>""</f>
        <v/>
      </c>
      <c r="H1339" s="14" t="str">
        <f>" 20"</f>
        <v xml:space="preserve"> 20</v>
      </c>
      <c r="I1339" s="14">
        <v>500.01</v>
      </c>
      <c r="J1339" s="14">
        <v>9999999.9900000002</v>
      </c>
      <c r="K1339" s="14" t="s">
        <v>414</v>
      </c>
      <c r="L1339" s="14" t="s">
        <v>411</v>
      </c>
      <c r="M1339" s="14" t="s">
        <v>412</v>
      </c>
      <c r="P1339" s="14" t="s">
        <v>39</v>
      </c>
      <c r="Q1339" s="14" t="s">
        <v>25</v>
      </c>
      <c r="R1339" s="14" t="s">
        <v>410</v>
      </c>
    </row>
    <row r="1340" spans="1:18" s="14" customFormat="1" x14ac:dyDescent="0.25">
      <c r="A1340" s="14" t="str">
        <f>"30005"</f>
        <v>30005</v>
      </c>
      <c r="B1340" s="14" t="str">
        <f>"06100"</f>
        <v>06100</v>
      </c>
      <c r="C1340" s="14" t="str">
        <f>"1700"</f>
        <v>1700</v>
      </c>
      <c r="D1340" s="14" t="str">
        <f>"06100A"</f>
        <v>06100A</v>
      </c>
      <c r="E1340" s="14" t="s">
        <v>947</v>
      </c>
      <c r="F1340" s="14" t="s">
        <v>427</v>
      </c>
      <c r="G1340" s="14" t="str">
        <f>""</f>
        <v/>
      </c>
      <c r="H1340" s="14" t="str">
        <f>" 10"</f>
        <v xml:space="preserve"> 10</v>
      </c>
      <c r="I1340" s="14">
        <v>0.01</v>
      </c>
      <c r="J1340" s="14">
        <v>500</v>
      </c>
      <c r="K1340" s="14" t="s">
        <v>410</v>
      </c>
      <c r="L1340" s="14" t="s">
        <v>411</v>
      </c>
      <c r="M1340" s="14" t="s">
        <v>412</v>
      </c>
      <c r="N1340" s="14" t="s">
        <v>413</v>
      </c>
      <c r="P1340" s="14" t="s">
        <v>39</v>
      </c>
      <c r="Q1340" s="14" t="s">
        <v>25</v>
      </c>
      <c r="R1340" s="14" t="s">
        <v>410</v>
      </c>
    </row>
    <row r="1341" spans="1:18" s="14" customFormat="1" x14ac:dyDescent="0.25">
      <c r="A1341" s="14" t="str">
        <f>"30005"</f>
        <v>30005</v>
      </c>
      <c r="B1341" s="14" t="str">
        <f>"06100"</f>
        <v>06100</v>
      </c>
      <c r="C1341" s="14" t="str">
        <f>"1700"</f>
        <v>1700</v>
      </c>
      <c r="D1341" s="14" t="str">
        <f>"06100A"</f>
        <v>06100A</v>
      </c>
      <c r="E1341" s="14" t="s">
        <v>947</v>
      </c>
      <c r="F1341" s="14" t="s">
        <v>427</v>
      </c>
      <c r="G1341" s="14" t="str">
        <f>""</f>
        <v/>
      </c>
      <c r="H1341" s="14" t="str">
        <f>" 20"</f>
        <v xml:space="preserve"> 20</v>
      </c>
      <c r="I1341" s="14">
        <v>500.01</v>
      </c>
      <c r="J1341" s="14">
        <v>9999999.9900000002</v>
      </c>
      <c r="K1341" s="14" t="s">
        <v>414</v>
      </c>
      <c r="L1341" s="14" t="s">
        <v>411</v>
      </c>
      <c r="M1341" s="14" t="s">
        <v>412</v>
      </c>
      <c r="P1341" s="14" t="s">
        <v>39</v>
      </c>
      <c r="Q1341" s="14" t="s">
        <v>25</v>
      </c>
      <c r="R1341" s="14" t="s">
        <v>410</v>
      </c>
    </row>
    <row r="1342" spans="1:18" s="14" customFormat="1" x14ac:dyDescent="0.25">
      <c r="A1342" s="14" t="str">
        <f>"30005"</f>
        <v>30005</v>
      </c>
      <c r="B1342" s="14" t="str">
        <f>"06110"</f>
        <v>06110</v>
      </c>
      <c r="C1342" s="14" t="str">
        <f>"1700"</f>
        <v>1700</v>
      </c>
      <c r="D1342" s="14" t="str">
        <f>"06110A"</f>
        <v>06110A</v>
      </c>
      <c r="E1342" s="14" t="s">
        <v>947</v>
      </c>
      <c r="F1342" s="14" t="s">
        <v>428</v>
      </c>
      <c r="G1342" s="14" t="str">
        <f>""</f>
        <v/>
      </c>
      <c r="H1342" s="14" t="str">
        <f>" 10"</f>
        <v xml:space="preserve"> 10</v>
      </c>
      <c r="I1342" s="14">
        <v>0.01</v>
      </c>
      <c r="J1342" s="14">
        <v>500</v>
      </c>
      <c r="K1342" s="14" t="s">
        <v>410</v>
      </c>
      <c r="L1342" s="14" t="s">
        <v>411</v>
      </c>
      <c r="M1342" s="14" t="s">
        <v>412</v>
      </c>
      <c r="N1342" s="14" t="s">
        <v>413</v>
      </c>
      <c r="P1342" s="14" t="s">
        <v>39</v>
      </c>
      <c r="Q1342" s="14" t="s">
        <v>25</v>
      </c>
      <c r="R1342" s="14" t="s">
        <v>410</v>
      </c>
    </row>
    <row r="1343" spans="1:18" s="14" customFormat="1" x14ac:dyDescent="0.25">
      <c r="A1343" s="14" t="str">
        <f>"30005"</f>
        <v>30005</v>
      </c>
      <c r="B1343" s="14" t="str">
        <f>"06110"</f>
        <v>06110</v>
      </c>
      <c r="C1343" s="14" t="str">
        <f>"1700"</f>
        <v>1700</v>
      </c>
      <c r="D1343" s="14" t="str">
        <f>"06110A"</f>
        <v>06110A</v>
      </c>
      <c r="E1343" s="14" t="s">
        <v>947</v>
      </c>
      <c r="F1343" s="14" t="s">
        <v>428</v>
      </c>
      <c r="G1343" s="14" t="str">
        <f>""</f>
        <v/>
      </c>
      <c r="H1343" s="14" t="str">
        <f>" 20"</f>
        <v xml:space="preserve"> 20</v>
      </c>
      <c r="I1343" s="14">
        <v>500.01</v>
      </c>
      <c r="J1343" s="14">
        <v>9999999.9900000002</v>
      </c>
      <c r="K1343" s="14" t="s">
        <v>414</v>
      </c>
      <c r="L1343" s="14" t="s">
        <v>411</v>
      </c>
      <c r="M1343" s="14" t="s">
        <v>412</v>
      </c>
      <c r="P1343" s="14" t="s">
        <v>39</v>
      </c>
      <c r="Q1343" s="14" t="s">
        <v>25</v>
      </c>
      <c r="R1343" s="14" t="s">
        <v>410</v>
      </c>
    </row>
    <row r="1344" spans="1:18" s="14" customFormat="1" x14ac:dyDescent="0.25">
      <c r="A1344" s="14" t="str">
        <f>"30005"</f>
        <v>30005</v>
      </c>
      <c r="B1344" s="14" t="str">
        <f>"06120"</f>
        <v>06120</v>
      </c>
      <c r="C1344" s="14" t="str">
        <f>"1700"</f>
        <v>1700</v>
      </c>
      <c r="D1344" s="14" t="str">
        <f>"06120A"</f>
        <v>06120A</v>
      </c>
      <c r="E1344" s="14" t="s">
        <v>947</v>
      </c>
      <c r="F1344" s="14" t="s">
        <v>429</v>
      </c>
      <c r="G1344" s="14" t="str">
        <f>""</f>
        <v/>
      </c>
      <c r="H1344" s="14" t="str">
        <f>" 10"</f>
        <v xml:space="preserve"> 10</v>
      </c>
      <c r="I1344" s="14">
        <v>0.01</v>
      </c>
      <c r="J1344" s="14">
        <v>500</v>
      </c>
      <c r="K1344" s="14" t="s">
        <v>410</v>
      </c>
      <c r="L1344" s="14" t="s">
        <v>411</v>
      </c>
      <c r="M1344" s="14" t="s">
        <v>412</v>
      </c>
      <c r="N1344" s="14" t="s">
        <v>413</v>
      </c>
      <c r="P1344" s="14" t="s">
        <v>39</v>
      </c>
      <c r="Q1344" s="14" t="s">
        <v>25</v>
      </c>
      <c r="R1344" s="14" t="s">
        <v>410</v>
      </c>
    </row>
    <row r="1345" spans="1:18" s="14" customFormat="1" x14ac:dyDescent="0.25">
      <c r="A1345" s="14" t="str">
        <f>"30005"</f>
        <v>30005</v>
      </c>
      <c r="B1345" s="14" t="str">
        <f>"06120"</f>
        <v>06120</v>
      </c>
      <c r="C1345" s="14" t="str">
        <f>"1700"</f>
        <v>1700</v>
      </c>
      <c r="D1345" s="14" t="str">
        <f>"06120A"</f>
        <v>06120A</v>
      </c>
      <c r="E1345" s="14" t="s">
        <v>947</v>
      </c>
      <c r="F1345" s="14" t="s">
        <v>429</v>
      </c>
      <c r="G1345" s="14" t="str">
        <f>""</f>
        <v/>
      </c>
      <c r="H1345" s="14" t="str">
        <f>" 20"</f>
        <v xml:space="preserve"> 20</v>
      </c>
      <c r="I1345" s="14">
        <v>500.01</v>
      </c>
      <c r="J1345" s="14">
        <v>9999999.9900000002</v>
      </c>
      <c r="K1345" s="14" t="s">
        <v>414</v>
      </c>
      <c r="L1345" s="14" t="s">
        <v>411</v>
      </c>
      <c r="M1345" s="14" t="s">
        <v>412</v>
      </c>
      <c r="P1345" s="14" t="s">
        <v>39</v>
      </c>
      <c r="Q1345" s="14" t="s">
        <v>25</v>
      </c>
      <c r="R1345" s="14" t="s">
        <v>410</v>
      </c>
    </row>
    <row r="1346" spans="1:18" s="14" customFormat="1" x14ac:dyDescent="0.25">
      <c r="A1346" s="14" t="str">
        <f>"30005"</f>
        <v>30005</v>
      </c>
      <c r="B1346" s="14" t="str">
        <f>"06130"</f>
        <v>06130</v>
      </c>
      <c r="C1346" s="14" t="str">
        <f>"1700"</f>
        <v>1700</v>
      </c>
      <c r="D1346" s="14" t="str">
        <f>"06130A"</f>
        <v>06130A</v>
      </c>
      <c r="E1346" s="14" t="s">
        <v>947</v>
      </c>
      <c r="F1346" s="14" t="s">
        <v>430</v>
      </c>
      <c r="G1346" s="14" t="str">
        <f>""</f>
        <v/>
      </c>
      <c r="H1346" s="14" t="str">
        <f>" 10"</f>
        <v xml:space="preserve"> 10</v>
      </c>
      <c r="I1346" s="14">
        <v>0.01</v>
      </c>
      <c r="J1346" s="14">
        <v>500</v>
      </c>
      <c r="K1346" s="14" t="s">
        <v>410</v>
      </c>
      <c r="L1346" s="14" t="s">
        <v>411</v>
      </c>
      <c r="M1346" s="14" t="s">
        <v>412</v>
      </c>
      <c r="N1346" s="14" t="s">
        <v>413</v>
      </c>
      <c r="P1346" s="14" t="s">
        <v>39</v>
      </c>
      <c r="Q1346" s="14" t="s">
        <v>25</v>
      </c>
      <c r="R1346" s="14" t="s">
        <v>410</v>
      </c>
    </row>
    <row r="1347" spans="1:18" s="14" customFormat="1" x14ac:dyDescent="0.25">
      <c r="A1347" s="14" t="str">
        <f>"30005"</f>
        <v>30005</v>
      </c>
      <c r="B1347" s="14" t="str">
        <f>"06130"</f>
        <v>06130</v>
      </c>
      <c r="C1347" s="14" t="str">
        <f>"1700"</f>
        <v>1700</v>
      </c>
      <c r="D1347" s="14" t="str">
        <f>"06130A"</f>
        <v>06130A</v>
      </c>
      <c r="E1347" s="14" t="s">
        <v>947</v>
      </c>
      <c r="F1347" s="14" t="s">
        <v>430</v>
      </c>
      <c r="G1347" s="14" t="str">
        <f>""</f>
        <v/>
      </c>
      <c r="H1347" s="14" t="str">
        <f>" 20"</f>
        <v xml:space="preserve"> 20</v>
      </c>
      <c r="I1347" s="14">
        <v>500.01</v>
      </c>
      <c r="J1347" s="14">
        <v>9999999.9900000002</v>
      </c>
      <c r="K1347" s="14" t="s">
        <v>414</v>
      </c>
      <c r="L1347" s="14" t="s">
        <v>411</v>
      </c>
      <c r="M1347" s="14" t="s">
        <v>412</v>
      </c>
      <c r="P1347" s="14" t="s">
        <v>39</v>
      </c>
      <c r="Q1347" s="14" t="s">
        <v>25</v>
      </c>
      <c r="R1347" s="14" t="s">
        <v>410</v>
      </c>
    </row>
    <row r="1348" spans="1:18" s="14" customFormat="1" x14ac:dyDescent="0.25">
      <c r="A1348" s="14" t="str">
        <f>"30005"</f>
        <v>30005</v>
      </c>
      <c r="B1348" s="14" t="str">
        <f>"06140"</f>
        <v>06140</v>
      </c>
      <c r="C1348" s="14" t="str">
        <f>"1700"</f>
        <v>1700</v>
      </c>
      <c r="D1348" s="14" t="str">
        <f>"06140A"</f>
        <v>06140A</v>
      </c>
      <c r="E1348" s="14" t="s">
        <v>947</v>
      </c>
      <c r="F1348" s="14" t="s">
        <v>431</v>
      </c>
      <c r="G1348" s="14" t="str">
        <f>""</f>
        <v/>
      </c>
      <c r="H1348" s="14" t="str">
        <f>" 10"</f>
        <v xml:space="preserve"> 10</v>
      </c>
      <c r="I1348" s="14">
        <v>0.01</v>
      </c>
      <c r="J1348" s="14">
        <v>500</v>
      </c>
      <c r="K1348" s="14" t="s">
        <v>410</v>
      </c>
      <c r="L1348" s="14" t="s">
        <v>411</v>
      </c>
      <c r="M1348" s="14" t="s">
        <v>412</v>
      </c>
      <c r="N1348" s="14" t="s">
        <v>413</v>
      </c>
      <c r="P1348" s="14" t="s">
        <v>39</v>
      </c>
      <c r="Q1348" s="14" t="s">
        <v>25</v>
      </c>
      <c r="R1348" s="14" t="s">
        <v>410</v>
      </c>
    </row>
    <row r="1349" spans="1:18" s="14" customFormat="1" x14ac:dyDescent="0.25">
      <c r="A1349" s="14" t="str">
        <f>"30005"</f>
        <v>30005</v>
      </c>
      <c r="B1349" s="14" t="str">
        <f>"06140"</f>
        <v>06140</v>
      </c>
      <c r="C1349" s="14" t="str">
        <f>"1700"</f>
        <v>1700</v>
      </c>
      <c r="D1349" s="14" t="str">
        <f>"06140A"</f>
        <v>06140A</v>
      </c>
      <c r="E1349" s="14" t="s">
        <v>947</v>
      </c>
      <c r="F1349" s="14" t="s">
        <v>431</v>
      </c>
      <c r="G1349" s="14" t="str">
        <f>""</f>
        <v/>
      </c>
      <c r="H1349" s="14" t="str">
        <f>" 20"</f>
        <v xml:space="preserve"> 20</v>
      </c>
      <c r="I1349" s="14">
        <v>500.01</v>
      </c>
      <c r="J1349" s="14">
        <v>9999999.9900000002</v>
      </c>
      <c r="K1349" s="14" t="s">
        <v>414</v>
      </c>
      <c r="L1349" s="14" t="s">
        <v>411</v>
      </c>
      <c r="M1349" s="14" t="s">
        <v>412</v>
      </c>
      <c r="P1349" s="14" t="s">
        <v>39</v>
      </c>
      <c r="Q1349" s="14" t="s">
        <v>25</v>
      </c>
      <c r="R1349" s="14" t="s">
        <v>410</v>
      </c>
    </row>
    <row r="1350" spans="1:18" s="14" customFormat="1" x14ac:dyDescent="0.25">
      <c r="A1350" s="14" t="str">
        <f>"30005"</f>
        <v>30005</v>
      </c>
      <c r="B1350" s="14" t="str">
        <f>"06150"</f>
        <v>06150</v>
      </c>
      <c r="C1350" s="14" t="str">
        <f>"1700"</f>
        <v>1700</v>
      </c>
      <c r="D1350" s="14" t="str">
        <f>"06150A"</f>
        <v>06150A</v>
      </c>
      <c r="E1350" s="14" t="s">
        <v>947</v>
      </c>
      <c r="F1350" s="14" t="s">
        <v>432</v>
      </c>
      <c r="G1350" s="14" t="str">
        <f>""</f>
        <v/>
      </c>
      <c r="H1350" s="14" t="str">
        <f>" 10"</f>
        <v xml:space="preserve"> 10</v>
      </c>
      <c r="I1350" s="14">
        <v>0.01</v>
      </c>
      <c r="J1350" s="14">
        <v>500</v>
      </c>
      <c r="K1350" s="14" t="s">
        <v>410</v>
      </c>
      <c r="L1350" s="14" t="s">
        <v>411</v>
      </c>
      <c r="M1350" s="14" t="s">
        <v>412</v>
      </c>
      <c r="N1350" s="14" t="s">
        <v>413</v>
      </c>
      <c r="P1350" s="14" t="s">
        <v>39</v>
      </c>
      <c r="Q1350" s="14" t="s">
        <v>25</v>
      </c>
      <c r="R1350" s="14" t="s">
        <v>410</v>
      </c>
    </row>
    <row r="1351" spans="1:18" s="14" customFormat="1" x14ac:dyDescent="0.25">
      <c r="A1351" s="14" t="str">
        <f>"30005"</f>
        <v>30005</v>
      </c>
      <c r="B1351" s="14" t="str">
        <f>"06150"</f>
        <v>06150</v>
      </c>
      <c r="C1351" s="14" t="str">
        <f>"1700"</f>
        <v>1700</v>
      </c>
      <c r="D1351" s="14" t="str">
        <f>"06150A"</f>
        <v>06150A</v>
      </c>
      <c r="E1351" s="14" t="s">
        <v>947</v>
      </c>
      <c r="F1351" s="14" t="s">
        <v>432</v>
      </c>
      <c r="G1351" s="14" t="str">
        <f>""</f>
        <v/>
      </c>
      <c r="H1351" s="14" t="str">
        <f>" 20"</f>
        <v xml:space="preserve"> 20</v>
      </c>
      <c r="I1351" s="14">
        <v>500.01</v>
      </c>
      <c r="J1351" s="14">
        <v>9999999.9900000002</v>
      </c>
      <c r="K1351" s="14" t="s">
        <v>414</v>
      </c>
      <c r="L1351" s="14" t="s">
        <v>411</v>
      </c>
      <c r="M1351" s="14" t="s">
        <v>412</v>
      </c>
      <c r="P1351" s="14" t="s">
        <v>39</v>
      </c>
      <c r="Q1351" s="14" t="s">
        <v>25</v>
      </c>
      <c r="R1351" s="14" t="s">
        <v>410</v>
      </c>
    </row>
    <row r="1352" spans="1:18" s="14" customFormat="1" x14ac:dyDescent="0.25">
      <c r="A1352" s="14" t="str">
        <f>"30005"</f>
        <v>30005</v>
      </c>
      <c r="B1352" s="14" t="str">
        <f>"06151"</f>
        <v>06151</v>
      </c>
      <c r="C1352" s="14" t="str">
        <f>"1700"</f>
        <v>1700</v>
      </c>
      <c r="D1352" s="14" t="str">
        <f>"06151A"</f>
        <v>06151A</v>
      </c>
      <c r="E1352" s="14" t="s">
        <v>947</v>
      </c>
      <c r="F1352" s="14" t="s">
        <v>433</v>
      </c>
      <c r="G1352" s="14" t="str">
        <f>""</f>
        <v/>
      </c>
      <c r="H1352" s="14" t="str">
        <f>" 10"</f>
        <v xml:space="preserve"> 10</v>
      </c>
      <c r="I1352" s="14">
        <v>0.01</v>
      </c>
      <c r="J1352" s="14">
        <v>500</v>
      </c>
      <c r="K1352" s="14" t="s">
        <v>410</v>
      </c>
      <c r="L1352" s="14" t="s">
        <v>411</v>
      </c>
      <c r="M1352" s="14" t="s">
        <v>412</v>
      </c>
      <c r="N1352" s="14" t="s">
        <v>413</v>
      </c>
      <c r="P1352" s="14" t="s">
        <v>39</v>
      </c>
      <c r="Q1352" s="14" t="s">
        <v>25</v>
      </c>
      <c r="R1352" s="14" t="s">
        <v>410</v>
      </c>
    </row>
    <row r="1353" spans="1:18" s="14" customFormat="1" x14ac:dyDescent="0.25">
      <c r="A1353" s="14" t="str">
        <f>"30005"</f>
        <v>30005</v>
      </c>
      <c r="B1353" s="14" t="str">
        <f>"06151"</f>
        <v>06151</v>
      </c>
      <c r="C1353" s="14" t="str">
        <f>"1700"</f>
        <v>1700</v>
      </c>
      <c r="D1353" s="14" t="str">
        <f>"06151A"</f>
        <v>06151A</v>
      </c>
      <c r="E1353" s="14" t="s">
        <v>947</v>
      </c>
      <c r="F1353" s="14" t="s">
        <v>433</v>
      </c>
      <c r="G1353" s="14" t="str">
        <f>""</f>
        <v/>
      </c>
      <c r="H1353" s="14" t="str">
        <f>" 20"</f>
        <v xml:space="preserve"> 20</v>
      </c>
      <c r="I1353" s="14">
        <v>500.01</v>
      </c>
      <c r="J1353" s="14">
        <v>9999999.9900000002</v>
      </c>
      <c r="K1353" s="14" t="s">
        <v>414</v>
      </c>
      <c r="L1353" s="14" t="s">
        <v>411</v>
      </c>
      <c r="M1353" s="14" t="s">
        <v>412</v>
      </c>
      <c r="P1353" s="14" t="s">
        <v>39</v>
      </c>
      <c r="Q1353" s="14" t="s">
        <v>25</v>
      </c>
      <c r="R1353" s="14" t="s">
        <v>410</v>
      </c>
    </row>
    <row r="1354" spans="1:18" s="14" customFormat="1" x14ac:dyDescent="0.25">
      <c r="A1354" s="14" t="str">
        <f>"30005"</f>
        <v>30005</v>
      </c>
      <c r="B1354" s="14" t="str">
        <f>"06152"</f>
        <v>06152</v>
      </c>
      <c r="C1354" s="14" t="str">
        <f>"1700"</f>
        <v>1700</v>
      </c>
      <c r="D1354" s="14" t="str">
        <f>"06152A"</f>
        <v>06152A</v>
      </c>
      <c r="E1354" s="14" t="s">
        <v>947</v>
      </c>
      <c r="F1354" s="14" t="s">
        <v>434</v>
      </c>
      <c r="G1354" s="14" t="str">
        <f>""</f>
        <v/>
      </c>
      <c r="H1354" s="14" t="str">
        <f>" 10"</f>
        <v xml:space="preserve"> 10</v>
      </c>
      <c r="I1354" s="14">
        <v>0.01</v>
      </c>
      <c r="J1354" s="14">
        <v>500</v>
      </c>
      <c r="K1354" s="14" t="s">
        <v>410</v>
      </c>
      <c r="L1354" s="14" t="s">
        <v>411</v>
      </c>
      <c r="M1354" s="14" t="s">
        <v>412</v>
      </c>
      <c r="N1354" s="14" t="s">
        <v>413</v>
      </c>
      <c r="P1354" s="14" t="s">
        <v>39</v>
      </c>
      <c r="Q1354" s="14" t="s">
        <v>25</v>
      </c>
      <c r="R1354" s="14" t="s">
        <v>410</v>
      </c>
    </row>
    <row r="1355" spans="1:18" s="14" customFormat="1" x14ac:dyDescent="0.25">
      <c r="A1355" s="14" t="str">
        <f>"30005"</f>
        <v>30005</v>
      </c>
      <c r="B1355" s="14" t="str">
        <f>"06152"</f>
        <v>06152</v>
      </c>
      <c r="C1355" s="14" t="str">
        <f>"1700"</f>
        <v>1700</v>
      </c>
      <c r="D1355" s="14" t="str">
        <f>"06152A"</f>
        <v>06152A</v>
      </c>
      <c r="E1355" s="14" t="s">
        <v>947</v>
      </c>
      <c r="F1355" s="14" t="s">
        <v>434</v>
      </c>
      <c r="G1355" s="14" t="str">
        <f>""</f>
        <v/>
      </c>
      <c r="H1355" s="14" t="str">
        <f>" 20"</f>
        <v xml:space="preserve"> 20</v>
      </c>
      <c r="I1355" s="14">
        <v>500.01</v>
      </c>
      <c r="J1355" s="14">
        <v>9999999.9900000002</v>
      </c>
      <c r="K1355" s="14" t="s">
        <v>414</v>
      </c>
      <c r="L1355" s="14" t="s">
        <v>411</v>
      </c>
      <c r="M1355" s="14" t="s">
        <v>412</v>
      </c>
      <c r="P1355" s="14" t="s">
        <v>39</v>
      </c>
      <c r="Q1355" s="14" t="s">
        <v>25</v>
      </c>
      <c r="R1355" s="14" t="s">
        <v>410</v>
      </c>
    </row>
    <row r="1356" spans="1:18" s="14" customFormat="1" x14ac:dyDescent="0.25">
      <c r="A1356" s="14" t="str">
        <f>"30006"</f>
        <v>30006</v>
      </c>
      <c r="B1356" s="14" t="str">
        <f>"06000"</f>
        <v>06000</v>
      </c>
      <c r="C1356" s="14" t="str">
        <f>"1700"</f>
        <v>1700</v>
      </c>
      <c r="D1356" s="14" t="str">
        <f>"06000D"</f>
        <v>06000D</v>
      </c>
      <c r="E1356" s="14" t="s">
        <v>948</v>
      </c>
      <c r="F1356" s="14" t="s">
        <v>409</v>
      </c>
      <c r="G1356" s="14" t="str">
        <f>""</f>
        <v/>
      </c>
      <c r="H1356" s="14" t="str">
        <f>" 10"</f>
        <v xml:space="preserve"> 10</v>
      </c>
      <c r="I1356" s="14">
        <v>0.01</v>
      </c>
      <c r="J1356" s="14">
        <v>500</v>
      </c>
      <c r="K1356" s="14" t="s">
        <v>410</v>
      </c>
      <c r="L1356" s="14" t="s">
        <v>411</v>
      </c>
      <c r="M1356" s="14" t="s">
        <v>412</v>
      </c>
      <c r="N1356" s="14" t="s">
        <v>413</v>
      </c>
      <c r="P1356" s="14" t="s">
        <v>39</v>
      </c>
      <c r="Q1356" s="14" t="s">
        <v>25</v>
      </c>
      <c r="R1356" s="14" t="s">
        <v>410</v>
      </c>
    </row>
    <row r="1357" spans="1:18" s="14" customFormat="1" x14ac:dyDescent="0.25">
      <c r="A1357" s="14" t="str">
        <f>"30006"</f>
        <v>30006</v>
      </c>
      <c r="B1357" s="14" t="str">
        <f>"06000"</f>
        <v>06000</v>
      </c>
      <c r="C1357" s="14" t="str">
        <f>"1700"</f>
        <v>1700</v>
      </c>
      <c r="D1357" s="14" t="str">
        <f>"06000D"</f>
        <v>06000D</v>
      </c>
      <c r="E1357" s="14" t="s">
        <v>948</v>
      </c>
      <c r="F1357" s="14" t="s">
        <v>409</v>
      </c>
      <c r="G1357" s="14" t="str">
        <f>""</f>
        <v/>
      </c>
      <c r="H1357" s="14" t="str">
        <f>" 20"</f>
        <v xml:space="preserve"> 20</v>
      </c>
      <c r="I1357" s="14">
        <v>500.01</v>
      </c>
      <c r="J1357" s="14">
        <v>9999999.9900000002</v>
      </c>
      <c r="K1357" s="14" t="s">
        <v>414</v>
      </c>
      <c r="L1357" s="14" t="s">
        <v>411</v>
      </c>
      <c r="M1357" s="14" t="s">
        <v>412</v>
      </c>
      <c r="P1357" s="14" t="s">
        <v>39</v>
      </c>
      <c r="Q1357" s="14" t="s">
        <v>25</v>
      </c>
      <c r="R1357" s="14" t="s">
        <v>410</v>
      </c>
    </row>
    <row r="1358" spans="1:18" s="14" customFormat="1" x14ac:dyDescent="0.25">
      <c r="A1358" s="14" t="str">
        <f>"30006"</f>
        <v>30006</v>
      </c>
      <c r="B1358" s="14" t="str">
        <f>"06030"</f>
        <v>06030</v>
      </c>
      <c r="C1358" s="14" t="str">
        <f>"1700"</f>
        <v>1700</v>
      </c>
      <c r="D1358" s="14" t="str">
        <f>"06030D"</f>
        <v>06030D</v>
      </c>
      <c r="E1358" s="14" t="s">
        <v>948</v>
      </c>
      <c r="F1358" s="14" t="s">
        <v>420</v>
      </c>
      <c r="G1358" s="14" t="str">
        <f>""</f>
        <v/>
      </c>
      <c r="H1358" s="14" t="str">
        <f>" 10"</f>
        <v xml:space="preserve"> 10</v>
      </c>
      <c r="I1358" s="14">
        <v>0.01</v>
      </c>
      <c r="J1358" s="14">
        <v>500</v>
      </c>
      <c r="K1358" s="14" t="s">
        <v>410</v>
      </c>
      <c r="L1358" s="14" t="s">
        <v>411</v>
      </c>
      <c r="M1358" s="14" t="s">
        <v>412</v>
      </c>
      <c r="N1358" s="14" t="s">
        <v>413</v>
      </c>
      <c r="P1358" s="14" t="s">
        <v>39</v>
      </c>
      <c r="Q1358" s="14" t="s">
        <v>25</v>
      </c>
      <c r="R1358" s="14" t="s">
        <v>410</v>
      </c>
    </row>
    <row r="1359" spans="1:18" s="14" customFormat="1" x14ac:dyDescent="0.25">
      <c r="A1359" s="14" t="str">
        <f>"30006"</f>
        <v>30006</v>
      </c>
      <c r="B1359" s="14" t="str">
        <f>"06030"</f>
        <v>06030</v>
      </c>
      <c r="C1359" s="14" t="str">
        <f>"1700"</f>
        <v>1700</v>
      </c>
      <c r="D1359" s="14" t="str">
        <f>"06030D"</f>
        <v>06030D</v>
      </c>
      <c r="E1359" s="14" t="s">
        <v>948</v>
      </c>
      <c r="F1359" s="14" t="s">
        <v>420</v>
      </c>
      <c r="G1359" s="14" t="str">
        <f>""</f>
        <v/>
      </c>
      <c r="H1359" s="14" t="str">
        <f>" 20"</f>
        <v xml:space="preserve"> 20</v>
      </c>
      <c r="I1359" s="14">
        <v>500.01</v>
      </c>
      <c r="J1359" s="14">
        <v>9999999.9900000002</v>
      </c>
      <c r="K1359" s="14" t="s">
        <v>414</v>
      </c>
      <c r="L1359" s="14" t="s">
        <v>411</v>
      </c>
      <c r="M1359" s="14" t="s">
        <v>412</v>
      </c>
      <c r="P1359" s="14" t="s">
        <v>39</v>
      </c>
      <c r="Q1359" s="14" t="s">
        <v>25</v>
      </c>
      <c r="R1359" s="14" t="s">
        <v>410</v>
      </c>
    </row>
    <row r="1360" spans="1:18" s="14" customFormat="1" x14ac:dyDescent="0.25">
      <c r="A1360" s="14" t="str">
        <f>"30006"</f>
        <v>30006</v>
      </c>
      <c r="B1360" s="14" t="str">
        <f>"06040"</f>
        <v>06040</v>
      </c>
      <c r="C1360" s="14" t="str">
        <f>"1700"</f>
        <v>1700</v>
      </c>
      <c r="D1360" s="14" t="str">
        <f>"06040D"</f>
        <v>06040D</v>
      </c>
      <c r="E1360" s="14" t="s">
        <v>948</v>
      </c>
      <c r="F1360" s="14" t="s">
        <v>421</v>
      </c>
      <c r="G1360" s="14" t="str">
        <f>""</f>
        <v/>
      </c>
      <c r="H1360" s="14" t="str">
        <f>" 10"</f>
        <v xml:space="preserve"> 10</v>
      </c>
      <c r="I1360" s="14">
        <v>0.01</v>
      </c>
      <c r="J1360" s="14">
        <v>500</v>
      </c>
      <c r="K1360" s="14" t="s">
        <v>410</v>
      </c>
      <c r="L1360" s="14" t="s">
        <v>411</v>
      </c>
      <c r="M1360" s="14" t="s">
        <v>412</v>
      </c>
      <c r="N1360" s="14" t="s">
        <v>413</v>
      </c>
      <c r="P1360" s="14" t="s">
        <v>39</v>
      </c>
      <c r="Q1360" s="14" t="s">
        <v>25</v>
      </c>
      <c r="R1360" s="14" t="s">
        <v>410</v>
      </c>
    </row>
    <row r="1361" spans="1:18" s="14" customFormat="1" x14ac:dyDescent="0.25">
      <c r="A1361" s="14" t="str">
        <f>"30006"</f>
        <v>30006</v>
      </c>
      <c r="B1361" s="14" t="str">
        <f>"06040"</f>
        <v>06040</v>
      </c>
      <c r="C1361" s="14" t="str">
        <f>"1700"</f>
        <v>1700</v>
      </c>
      <c r="D1361" s="14" t="str">
        <f>"06040D"</f>
        <v>06040D</v>
      </c>
      <c r="E1361" s="14" t="s">
        <v>948</v>
      </c>
      <c r="F1361" s="14" t="s">
        <v>421</v>
      </c>
      <c r="G1361" s="14" t="str">
        <f>""</f>
        <v/>
      </c>
      <c r="H1361" s="14" t="str">
        <f>" 20"</f>
        <v xml:space="preserve"> 20</v>
      </c>
      <c r="I1361" s="14">
        <v>500.01</v>
      </c>
      <c r="J1361" s="14">
        <v>9999999.9900000002</v>
      </c>
      <c r="K1361" s="14" t="s">
        <v>414</v>
      </c>
      <c r="L1361" s="14" t="s">
        <v>411</v>
      </c>
      <c r="M1361" s="14" t="s">
        <v>412</v>
      </c>
      <c r="P1361" s="14" t="s">
        <v>39</v>
      </c>
      <c r="Q1361" s="14" t="s">
        <v>25</v>
      </c>
      <c r="R1361" s="14" t="s">
        <v>410</v>
      </c>
    </row>
    <row r="1362" spans="1:18" s="14" customFormat="1" x14ac:dyDescent="0.25">
      <c r="A1362" s="14" t="str">
        <f>"30006"</f>
        <v>30006</v>
      </c>
      <c r="B1362" s="14" t="str">
        <f>"06050"</f>
        <v>06050</v>
      </c>
      <c r="C1362" s="14" t="str">
        <f>"1700"</f>
        <v>1700</v>
      </c>
      <c r="D1362" s="14" t="str">
        <f>"06050D"</f>
        <v>06050D</v>
      </c>
      <c r="E1362" s="14" t="s">
        <v>948</v>
      </c>
      <c r="F1362" s="14" t="s">
        <v>422</v>
      </c>
      <c r="G1362" s="14" t="str">
        <f>""</f>
        <v/>
      </c>
      <c r="H1362" s="14" t="str">
        <f>" 10"</f>
        <v xml:space="preserve"> 10</v>
      </c>
      <c r="I1362" s="14">
        <v>0.01</v>
      </c>
      <c r="J1362" s="14">
        <v>500</v>
      </c>
      <c r="K1362" s="14" t="s">
        <v>410</v>
      </c>
      <c r="L1362" s="14" t="s">
        <v>411</v>
      </c>
      <c r="M1362" s="14" t="s">
        <v>412</v>
      </c>
      <c r="N1362" s="14" t="s">
        <v>413</v>
      </c>
      <c r="P1362" s="14" t="s">
        <v>39</v>
      </c>
      <c r="Q1362" s="14" t="s">
        <v>25</v>
      </c>
      <c r="R1362" s="14" t="s">
        <v>410</v>
      </c>
    </row>
    <row r="1363" spans="1:18" s="14" customFormat="1" x14ac:dyDescent="0.25">
      <c r="A1363" s="14" t="str">
        <f>"30006"</f>
        <v>30006</v>
      </c>
      <c r="B1363" s="14" t="str">
        <f>"06050"</f>
        <v>06050</v>
      </c>
      <c r="C1363" s="14" t="str">
        <f>"1700"</f>
        <v>1700</v>
      </c>
      <c r="D1363" s="14" t="str">
        <f>"06050D"</f>
        <v>06050D</v>
      </c>
      <c r="E1363" s="14" t="s">
        <v>948</v>
      </c>
      <c r="F1363" s="14" t="s">
        <v>422</v>
      </c>
      <c r="G1363" s="14" t="str">
        <f>""</f>
        <v/>
      </c>
      <c r="H1363" s="14" t="str">
        <f>" 20"</f>
        <v xml:space="preserve"> 20</v>
      </c>
      <c r="I1363" s="14">
        <v>500.01</v>
      </c>
      <c r="J1363" s="14">
        <v>9999999.9900000002</v>
      </c>
      <c r="K1363" s="14" t="s">
        <v>414</v>
      </c>
      <c r="L1363" s="14" t="s">
        <v>411</v>
      </c>
      <c r="M1363" s="14" t="s">
        <v>412</v>
      </c>
      <c r="P1363" s="14" t="s">
        <v>39</v>
      </c>
      <c r="Q1363" s="14" t="s">
        <v>25</v>
      </c>
      <c r="R1363" s="14" t="s">
        <v>410</v>
      </c>
    </row>
    <row r="1364" spans="1:18" s="14" customFormat="1" x14ac:dyDescent="0.25">
      <c r="A1364" s="14" t="str">
        <f>"30006"</f>
        <v>30006</v>
      </c>
      <c r="B1364" s="14" t="str">
        <f>"06060"</f>
        <v>06060</v>
      </c>
      <c r="C1364" s="14" t="str">
        <f>"1700"</f>
        <v>1700</v>
      </c>
      <c r="D1364" s="14" t="str">
        <f>"06060D"</f>
        <v>06060D</v>
      </c>
      <c r="E1364" s="14" t="s">
        <v>948</v>
      </c>
      <c r="F1364" s="14" t="s">
        <v>423</v>
      </c>
      <c r="G1364" s="14" t="str">
        <f>""</f>
        <v/>
      </c>
      <c r="H1364" s="14" t="str">
        <f>" 10"</f>
        <v xml:space="preserve"> 10</v>
      </c>
      <c r="I1364" s="14">
        <v>0.01</v>
      </c>
      <c r="J1364" s="14">
        <v>500</v>
      </c>
      <c r="K1364" s="14" t="s">
        <v>410</v>
      </c>
      <c r="L1364" s="14" t="s">
        <v>411</v>
      </c>
      <c r="M1364" s="14" t="s">
        <v>412</v>
      </c>
      <c r="N1364" s="14" t="s">
        <v>413</v>
      </c>
      <c r="P1364" s="14" t="s">
        <v>39</v>
      </c>
      <c r="Q1364" s="14" t="s">
        <v>25</v>
      </c>
      <c r="R1364" s="14" t="s">
        <v>410</v>
      </c>
    </row>
    <row r="1365" spans="1:18" s="14" customFormat="1" x14ac:dyDescent="0.25">
      <c r="A1365" s="14" t="str">
        <f>"30006"</f>
        <v>30006</v>
      </c>
      <c r="B1365" s="14" t="str">
        <f>"06060"</f>
        <v>06060</v>
      </c>
      <c r="C1365" s="14" t="str">
        <f>"1700"</f>
        <v>1700</v>
      </c>
      <c r="D1365" s="14" t="str">
        <f>"06060D"</f>
        <v>06060D</v>
      </c>
      <c r="E1365" s="14" t="s">
        <v>948</v>
      </c>
      <c r="F1365" s="14" t="s">
        <v>423</v>
      </c>
      <c r="G1365" s="14" t="str">
        <f>""</f>
        <v/>
      </c>
      <c r="H1365" s="14" t="str">
        <f>" 20"</f>
        <v xml:space="preserve"> 20</v>
      </c>
      <c r="I1365" s="14">
        <v>500.01</v>
      </c>
      <c r="J1365" s="14">
        <v>9999999.9900000002</v>
      </c>
      <c r="K1365" s="14" t="s">
        <v>414</v>
      </c>
      <c r="L1365" s="14" t="s">
        <v>411</v>
      </c>
      <c r="M1365" s="14" t="s">
        <v>412</v>
      </c>
      <c r="P1365" s="14" t="s">
        <v>39</v>
      </c>
      <c r="Q1365" s="14" t="s">
        <v>25</v>
      </c>
      <c r="R1365" s="14" t="s">
        <v>410</v>
      </c>
    </row>
    <row r="1366" spans="1:18" s="14" customFormat="1" x14ac:dyDescent="0.25">
      <c r="A1366" s="14" t="str">
        <f>"30006"</f>
        <v>30006</v>
      </c>
      <c r="B1366" s="14" t="str">
        <f>"06070"</f>
        <v>06070</v>
      </c>
      <c r="C1366" s="14" t="str">
        <f>"1700"</f>
        <v>1700</v>
      </c>
      <c r="D1366" s="14" t="str">
        <f>"06070D"</f>
        <v>06070D</v>
      </c>
      <c r="E1366" s="14" t="s">
        <v>948</v>
      </c>
      <c r="F1366" s="14" t="s">
        <v>424</v>
      </c>
      <c r="G1366" s="14" t="str">
        <f>""</f>
        <v/>
      </c>
      <c r="H1366" s="14" t="str">
        <f>" 10"</f>
        <v xml:space="preserve"> 10</v>
      </c>
      <c r="I1366" s="14">
        <v>0.01</v>
      </c>
      <c r="J1366" s="14">
        <v>500</v>
      </c>
      <c r="K1366" s="14" t="s">
        <v>410</v>
      </c>
      <c r="L1366" s="14" t="s">
        <v>411</v>
      </c>
      <c r="M1366" s="14" t="s">
        <v>412</v>
      </c>
      <c r="N1366" s="14" t="s">
        <v>413</v>
      </c>
      <c r="P1366" s="14" t="s">
        <v>39</v>
      </c>
      <c r="Q1366" s="14" t="s">
        <v>25</v>
      </c>
      <c r="R1366" s="14" t="s">
        <v>410</v>
      </c>
    </row>
    <row r="1367" spans="1:18" s="14" customFormat="1" x14ac:dyDescent="0.25">
      <c r="A1367" s="14" t="str">
        <f>"30006"</f>
        <v>30006</v>
      </c>
      <c r="B1367" s="14" t="str">
        <f>"06070"</f>
        <v>06070</v>
      </c>
      <c r="C1367" s="14" t="str">
        <f>"1700"</f>
        <v>1700</v>
      </c>
      <c r="D1367" s="14" t="str">
        <f>"06070D"</f>
        <v>06070D</v>
      </c>
      <c r="E1367" s="14" t="s">
        <v>948</v>
      </c>
      <c r="F1367" s="14" t="s">
        <v>424</v>
      </c>
      <c r="G1367" s="14" t="str">
        <f>""</f>
        <v/>
      </c>
      <c r="H1367" s="14" t="str">
        <f>" 20"</f>
        <v xml:space="preserve"> 20</v>
      </c>
      <c r="I1367" s="14">
        <v>500.01</v>
      </c>
      <c r="J1367" s="14">
        <v>9999999.9900000002</v>
      </c>
      <c r="K1367" s="14" t="s">
        <v>414</v>
      </c>
      <c r="L1367" s="14" t="s">
        <v>411</v>
      </c>
      <c r="M1367" s="14" t="s">
        <v>412</v>
      </c>
      <c r="P1367" s="14" t="s">
        <v>39</v>
      </c>
      <c r="Q1367" s="14" t="s">
        <v>25</v>
      </c>
      <c r="R1367" s="14" t="s">
        <v>410</v>
      </c>
    </row>
    <row r="1368" spans="1:18" s="14" customFormat="1" x14ac:dyDescent="0.25">
      <c r="A1368" s="14" t="str">
        <f>"30006"</f>
        <v>30006</v>
      </c>
      <c r="B1368" s="14" t="str">
        <f>"06080"</f>
        <v>06080</v>
      </c>
      <c r="C1368" s="14" t="str">
        <f>"1700"</f>
        <v>1700</v>
      </c>
      <c r="D1368" s="14" t="str">
        <f>"06080D"</f>
        <v>06080D</v>
      </c>
      <c r="E1368" s="14" t="s">
        <v>948</v>
      </c>
      <c r="F1368" s="14" t="s">
        <v>425</v>
      </c>
      <c r="G1368" s="14" t="str">
        <f>""</f>
        <v/>
      </c>
      <c r="H1368" s="14" t="str">
        <f>" 10"</f>
        <v xml:space="preserve"> 10</v>
      </c>
      <c r="I1368" s="14">
        <v>0.01</v>
      </c>
      <c r="J1368" s="14">
        <v>500</v>
      </c>
      <c r="K1368" s="14" t="s">
        <v>410</v>
      </c>
      <c r="L1368" s="14" t="s">
        <v>411</v>
      </c>
      <c r="M1368" s="14" t="s">
        <v>412</v>
      </c>
      <c r="N1368" s="14" t="s">
        <v>413</v>
      </c>
      <c r="P1368" s="14" t="s">
        <v>39</v>
      </c>
      <c r="Q1368" s="14" t="s">
        <v>25</v>
      </c>
      <c r="R1368" s="14" t="s">
        <v>410</v>
      </c>
    </row>
    <row r="1369" spans="1:18" s="14" customFormat="1" x14ac:dyDescent="0.25">
      <c r="A1369" s="14" t="str">
        <f>"30006"</f>
        <v>30006</v>
      </c>
      <c r="B1369" s="14" t="str">
        <f>"06080"</f>
        <v>06080</v>
      </c>
      <c r="C1369" s="14" t="str">
        <f>"1700"</f>
        <v>1700</v>
      </c>
      <c r="D1369" s="14" t="str">
        <f>"06080D"</f>
        <v>06080D</v>
      </c>
      <c r="E1369" s="14" t="s">
        <v>948</v>
      </c>
      <c r="F1369" s="14" t="s">
        <v>425</v>
      </c>
      <c r="G1369" s="14" t="str">
        <f>""</f>
        <v/>
      </c>
      <c r="H1369" s="14" t="str">
        <f>" 20"</f>
        <v xml:space="preserve"> 20</v>
      </c>
      <c r="I1369" s="14">
        <v>500.01</v>
      </c>
      <c r="J1369" s="14">
        <v>9999999.9900000002</v>
      </c>
      <c r="K1369" s="14" t="s">
        <v>414</v>
      </c>
      <c r="L1369" s="14" t="s">
        <v>411</v>
      </c>
      <c r="M1369" s="14" t="s">
        <v>412</v>
      </c>
      <c r="P1369" s="14" t="s">
        <v>39</v>
      </c>
      <c r="Q1369" s="14" t="s">
        <v>25</v>
      </c>
      <c r="R1369" s="14" t="s">
        <v>410</v>
      </c>
    </row>
    <row r="1370" spans="1:18" s="14" customFormat="1" x14ac:dyDescent="0.25">
      <c r="A1370" s="14" t="str">
        <f>"30006"</f>
        <v>30006</v>
      </c>
      <c r="B1370" s="14" t="str">
        <f>"06090"</f>
        <v>06090</v>
      </c>
      <c r="C1370" s="14" t="str">
        <f>"1700"</f>
        <v>1700</v>
      </c>
      <c r="D1370" s="14" t="str">
        <f>"06090D"</f>
        <v>06090D</v>
      </c>
      <c r="E1370" s="14" t="s">
        <v>948</v>
      </c>
      <c r="F1370" s="14" t="s">
        <v>426</v>
      </c>
      <c r="G1370" s="14" t="str">
        <f>""</f>
        <v/>
      </c>
      <c r="H1370" s="14" t="str">
        <f>" 10"</f>
        <v xml:space="preserve"> 10</v>
      </c>
      <c r="I1370" s="14">
        <v>0.01</v>
      </c>
      <c r="J1370" s="14">
        <v>500</v>
      </c>
      <c r="K1370" s="14" t="s">
        <v>410</v>
      </c>
      <c r="L1370" s="14" t="s">
        <v>411</v>
      </c>
      <c r="M1370" s="14" t="s">
        <v>412</v>
      </c>
      <c r="N1370" s="14" t="s">
        <v>413</v>
      </c>
      <c r="P1370" s="14" t="s">
        <v>39</v>
      </c>
      <c r="Q1370" s="14" t="s">
        <v>25</v>
      </c>
      <c r="R1370" s="14" t="s">
        <v>410</v>
      </c>
    </row>
    <row r="1371" spans="1:18" s="14" customFormat="1" x14ac:dyDescent="0.25">
      <c r="A1371" s="14" t="str">
        <f>"30006"</f>
        <v>30006</v>
      </c>
      <c r="B1371" s="14" t="str">
        <f>"06090"</f>
        <v>06090</v>
      </c>
      <c r="C1371" s="14" t="str">
        <f>"1700"</f>
        <v>1700</v>
      </c>
      <c r="D1371" s="14" t="str">
        <f>"06090D"</f>
        <v>06090D</v>
      </c>
      <c r="E1371" s="14" t="s">
        <v>948</v>
      </c>
      <c r="F1371" s="14" t="s">
        <v>426</v>
      </c>
      <c r="G1371" s="14" t="str">
        <f>""</f>
        <v/>
      </c>
      <c r="H1371" s="14" t="str">
        <f>" 20"</f>
        <v xml:space="preserve"> 20</v>
      </c>
      <c r="I1371" s="14">
        <v>500.01</v>
      </c>
      <c r="J1371" s="14">
        <v>9999999.9900000002</v>
      </c>
      <c r="K1371" s="14" t="s">
        <v>414</v>
      </c>
      <c r="L1371" s="14" t="s">
        <v>411</v>
      </c>
      <c r="M1371" s="14" t="s">
        <v>412</v>
      </c>
      <c r="P1371" s="14" t="s">
        <v>39</v>
      </c>
      <c r="Q1371" s="14" t="s">
        <v>25</v>
      </c>
      <c r="R1371" s="14" t="s">
        <v>410</v>
      </c>
    </row>
    <row r="1372" spans="1:18" s="14" customFormat="1" x14ac:dyDescent="0.25">
      <c r="A1372" s="14" t="str">
        <f>"30006"</f>
        <v>30006</v>
      </c>
      <c r="B1372" s="14" t="str">
        <f>"06100"</f>
        <v>06100</v>
      </c>
      <c r="C1372" s="14" t="str">
        <f>"1700"</f>
        <v>1700</v>
      </c>
      <c r="D1372" s="14" t="str">
        <f>"06100D"</f>
        <v>06100D</v>
      </c>
      <c r="E1372" s="14" t="s">
        <v>948</v>
      </c>
      <c r="F1372" s="14" t="s">
        <v>427</v>
      </c>
      <c r="G1372" s="14" t="str">
        <f>""</f>
        <v/>
      </c>
      <c r="H1372" s="14" t="str">
        <f>" 10"</f>
        <v xml:space="preserve"> 10</v>
      </c>
      <c r="I1372" s="14">
        <v>0.01</v>
      </c>
      <c r="J1372" s="14">
        <v>500</v>
      </c>
      <c r="K1372" s="14" t="s">
        <v>410</v>
      </c>
      <c r="L1372" s="14" t="s">
        <v>411</v>
      </c>
      <c r="M1372" s="14" t="s">
        <v>412</v>
      </c>
      <c r="N1372" s="14" t="s">
        <v>413</v>
      </c>
      <c r="P1372" s="14" t="s">
        <v>39</v>
      </c>
      <c r="Q1372" s="14" t="s">
        <v>25</v>
      </c>
      <c r="R1372" s="14" t="s">
        <v>410</v>
      </c>
    </row>
    <row r="1373" spans="1:18" s="14" customFormat="1" x14ac:dyDescent="0.25">
      <c r="A1373" s="14" t="str">
        <f>"30006"</f>
        <v>30006</v>
      </c>
      <c r="B1373" s="14" t="str">
        <f>"06100"</f>
        <v>06100</v>
      </c>
      <c r="C1373" s="14" t="str">
        <f>"1700"</f>
        <v>1700</v>
      </c>
      <c r="D1373" s="14" t="str">
        <f>"06100D"</f>
        <v>06100D</v>
      </c>
      <c r="E1373" s="14" t="s">
        <v>948</v>
      </c>
      <c r="F1373" s="14" t="s">
        <v>427</v>
      </c>
      <c r="G1373" s="14" t="str">
        <f>""</f>
        <v/>
      </c>
      <c r="H1373" s="14" t="str">
        <f>" 20"</f>
        <v xml:space="preserve"> 20</v>
      </c>
      <c r="I1373" s="14">
        <v>500.01</v>
      </c>
      <c r="J1373" s="14">
        <v>9999999.9900000002</v>
      </c>
      <c r="K1373" s="14" t="s">
        <v>414</v>
      </c>
      <c r="L1373" s="14" t="s">
        <v>411</v>
      </c>
      <c r="M1373" s="14" t="s">
        <v>412</v>
      </c>
      <c r="P1373" s="14" t="s">
        <v>39</v>
      </c>
      <c r="Q1373" s="14" t="s">
        <v>25</v>
      </c>
      <c r="R1373" s="14" t="s">
        <v>410</v>
      </c>
    </row>
    <row r="1374" spans="1:18" s="14" customFormat="1" x14ac:dyDescent="0.25">
      <c r="A1374" s="14" t="str">
        <f>"30006"</f>
        <v>30006</v>
      </c>
      <c r="B1374" s="14" t="str">
        <f>"06110"</f>
        <v>06110</v>
      </c>
      <c r="C1374" s="14" t="str">
        <f>"1700"</f>
        <v>1700</v>
      </c>
      <c r="D1374" s="14" t="str">
        <f>"06110D"</f>
        <v>06110D</v>
      </c>
      <c r="E1374" s="14" t="s">
        <v>948</v>
      </c>
      <c r="F1374" s="14" t="s">
        <v>428</v>
      </c>
      <c r="G1374" s="14" t="str">
        <f>""</f>
        <v/>
      </c>
      <c r="H1374" s="14" t="str">
        <f>" 10"</f>
        <v xml:space="preserve"> 10</v>
      </c>
      <c r="I1374" s="14">
        <v>0.01</v>
      </c>
      <c r="J1374" s="14">
        <v>500</v>
      </c>
      <c r="K1374" s="14" t="s">
        <v>410</v>
      </c>
      <c r="L1374" s="14" t="s">
        <v>411</v>
      </c>
      <c r="M1374" s="14" t="s">
        <v>412</v>
      </c>
      <c r="N1374" s="14" t="s">
        <v>413</v>
      </c>
      <c r="P1374" s="14" t="s">
        <v>39</v>
      </c>
      <c r="Q1374" s="14" t="s">
        <v>25</v>
      </c>
      <c r="R1374" s="14" t="s">
        <v>410</v>
      </c>
    </row>
    <row r="1375" spans="1:18" s="14" customFormat="1" x14ac:dyDescent="0.25">
      <c r="A1375" s="14" t="str">
        <f>"30006"</f>
        <v>30006</v>
      </c>
      <c r="B1375" s="14" t="str">
        <f>"06110"</f>
        <v>06110</v>
      </c>
      <c r="C1375" s="14" t="str">
        <f>"1700"</f>
        <v>1700</v>
      </c>
      <c r="D1375" s="14" t="str">
        <f>"06110D"</f>
        <v>06110D</v>
      </c>
      <c r="E1375" s="14" t="s">
        <v>948</v>
      </c>
      <c r="F1375" s="14" t="s">
        <v>428</v>
      </c>
      <c r="G1375" s="14" t="str">
        <f>""</f>
        <v/>
      </c>
      <c r="H1375" s="14" t="str">
        <f>" 20"</f>
        <v xml:space="preserve"> 20</v>
      </c>
      <c r="I1375" s="14">
        <v>500.01</v>
      </c>
      <c r="J1375" s="14">
        <v>9999999.9900000002</v>
      </c>
      <c r="K1375" s="14" t="s">
        <v>414</v>
      </c>
      <c r="L1375" s="14" t="s">
        <v>411</v>
      </c>
      <c r="M1375" s="14" t="s">
        <v>412</v>
      </c>
      <c r="P1375" s="14" t="s">
        <v>39</v>
      </c>
      <c r="Q1375" s="14" t="s">
        <v>25</v>
      </c>
      <c r="R1375" s="14" t="s">
        <v>410</v>
      </c>
    </row>
    <row r="1376" spans="1:18" s="14" customFormat="1" x14ac:dyDescent="0.25">
      <c r="A1376" s="14" t="str">
        <f>"30006"</f>
        <v>30006</v>
      </c>
      <c r="B1376" s="14" t="str">
        <f>"06120"</f>
        <v>06120</v>
      </c>
      <c r="C1376" s="14" t="str">
        <f>"1700"</f>
        <v>1700</v>
      </c>
      <c r="D1376" s="14" t="str">
        <f>"06120D"</f>
        <v>06120D</v>
      </c>
      <c r="E1376" s="14" t="s">
        <v>948</v>
      </c>
      <c r="F1376" s="14" t="s">
        <v>429</v>
      </c>
      <c r="G1376" s="14" t="str">
        <f>""</f>
        <v/>
      </c>
      <c r="H1376" s="14" t="str">
        <f>" 10"</f>
        <v xml:space="preserve"> 10</v>
      </c>
      <c r="I1376" s="14">
        <v>0.01</v>
      </c>
      <c r="J1376" s="14">
        <v>500</v>
      </c>
      <c r="K1376" s="14" t="s">
        <v>410</v>
      </c>
      <c r="L1376" s="14" t="s">
        <v>411</v>
      </c>
      <c r="M1376" s="14" t="s">
        <v>412</v>
      </c>
      <c r="N1376" s="14" t="s">
        <v>413</v>
      </c>
      <c r="P1376" s="14" t="s">
        <v>39</v>
      </c>
      <c r="Q1376" s="14" t="s">
        <v>25</v>
      </c>
      <c r="R1376" s="14" t="s">
        <v>410</v>
      </c>
    </row>
    <row r="1377" spans="1:18" s="14" customFormat="1" x14ac:dyDescent="0.25">
      <c r="A1377" s="14" t="str">
        <f>"30006"</f>
        <v>30006</v>
      </c>
      <c r="B1377" s="14" t="str">
        <f>"06120"</f>
        <v>06120</v>
      </c>
      <c r="C1377" s="14" t="str">
        <f>"1700"</f>
        <v>1700</v>
      </c>
      <c r="D1377" s="14" t="str">
        <f>"06120D"</f>
        <v>06120D</v>
      </c>
      <c r="E1377" s="14" t="s">
        <v>948</v>
      </c>
      <c r="F1377" s="14" t="s">
        <v>429</v>
      </c>
      <c r="G1377" s="14" t="str">
        <f>""</f>
        <v/>
      </c>
      <c r="H1377" s="14" t="str">
        <f>" 20"</f>
        <v xml:space="preserve"> 20</v>
      </c>
      <c r="I1377" s="14">
        <v>500.01</v>
      </c>
      <c r="J1377" s="14">
        <v>9999999.9900000002</v>
      </c>
      <c r="K1377" s="14" t="s">
        <v>414</v>
      </c>
      <c r="L1377" s="14" t="s">
        <v>411</v>
      </c>
      <c r="M1377" s="14" t="s">
        <v>412</v>
      </c>
      <c r="P1377" s="14" t="s">
        <v>39</v>
      </c>
      <c r="Q1377" s="14" t="s">
        <v>25</v>
      </c>
      <c r="R1377" s="14" t="s">
        <v>410</v>
      </c>
    </row>
    <row r="1378" spans="1:18" s="14" customFormat="1" x14ac:dyDescent="0.25">
      <c r="A1378" s="14" t="str">
        <f>"30006"</f>
        <v>30006</v>
      </c>
      <c r="B1378" s="14" t="str">
        <f>"06130"</f>
        <v>06130</v>
      </c>
      <c r="C1378" s="14" t="str">
        <f>"1700"</f>
        <v>1700</v>
      </c>
      <c r="D1378" s="14" t="str">
        <f>"06130D"</f>
        <v>06130D</v>
      </c>
      <c r="E1378" s="14" t="s">
        <v>948</v>
      </c>
      <c r="F1378" s="14" t="s">
        <v>430</v>
      </c>
      <c r="G1378" s="14" t="str">
        <f>""</f>
        <v/>
      </c>
      <c r="H1378" s="14" t="str">
        <f>" 10"</f>
        <v xml:space="preserve"> 10</v>
      </c>
      <c r="I1378" s="14">
        <v>0.01</v>
      </c>
      <c r="J1378" s="14">
        <v>500</v>
      </c>
      <c r="K1378" s="14" t="s">
        <v>410</v>
      </c>
      <c r="L1378" s="14" t="s">
        <v>411</v>
      </c>
      <c r="M1378" s="14" t="s">
        <v>412</v>
      </c>
      <c r="N1378" s="14" t="s">
        <v>413</v>
      </c>
      <c r="P1378" s="14" t="s">
        <v>39</v>
      </c>
      <c r="Q1378" s="14" t="s">
        <v>25</v>
      </c>
      <c r="R1378" s="14" t="s">
        <v>410</v>
      </c>
    </row>
    <row r="1379" spans="1:18" s="14" customFormat="1" x14ac:dyDescent="0.25">
      <c r="A1379" s="14" t="str">
        <f>"30006"</f>
        <v>30006</v>
      </c>
      <c r="B1379" s="14" t="str">
        <f>"06130"</f>
        <v>06130</v>
      </c>
      <c r="C1379" s="14" t="str">
        <f>"1700"</f>
        <v>1700</v>
      </c>
      <c r="D1379" s="14" t="str">
        <f>"06130D"</f>
        <v>06130D</v>
      </c>
      <c r="E1379" s="14" t="s">
        <v>948</v>
      </c>
      <c r="F1379" s="14" t="s">
        <v>430</v>
      </c>
      <c r="G1379" s="14" t="str">
        <f>""</f>
        <v/>
      </c>
      <c r="H1379" s="14" t="str">
        <f>" 20"</f>
        <v xml:space="preserve"> 20</v>
      </c>
      <c r="I1379" s="14">
        <v>500.01</v>
      </c>
      <c r="J1379" s="14">
        <v>9999999.9900000002</v>
      </c>
      <c r="K1379" s="14" t="s">
        <v>414</v>
      </c>
      <c r="L1379" s="14" t="s">
        <v>411</v>
      </c>
      <c r="M1379" s="14" t="s">
        <v>412</v>
      </c>
      <c r="P1379" s="14" t="s">
        <v>39</v>
      </c>
      <c r="Q1379" s="14" t="s">
        <v>25</v>
      </c>
      <c r="R1379" s="14" t="s">
        <v>410</v>
      </c>
    </row>
    <row r="1380" spans="1:18" s="14" customFormat="1" x14ac:dyDescent="0.25">
      <c r="A1380" s="14" t="str">
        <f>"30006"</f>
        <v>30006</v>
      </c>
      <c r="B1380" s="14" t="str">
        <f>"06140"</f>
        <v>06140</v>
      </c>
      <c r="C1380" s="14" t="str">
        <f>"1700"</f>
        <v>1700</v>
      </c>
      <c r="D1380" s="14" t="str">
        <f>"06140D"</f>
        <v>06140D</v>
      </c>
      <c r="E1380" s="14" t="s">
        <v>948</v>
      </c>
      <c r="F1380" s="14" t="s">
        <v>431</v>
      </c>
      <c r="G1380" s="14" t="str">
        <f>""</f>
        <v/>
      </c>
      <c r="H1380" s="14" t="str">
        <f>" 10"</f>
        <v xml:space="preserve"> 10</v>
      </c>
      <c r="I1380" s="14">
        <v>0.01</v>
      </c>
      <c r="J1380" s="14">
        <v>500</v>
      </c>
      <c r="K1380" s="14" t="s">
        <v>410</v>
      </c>
      <c r="L1380" s="14" t="s">
        <v>411</v>
      </c>
      <c r="M1380" s="14" t="s">
        <v>412</v>
      </c>
      <c r="N1380" s="14" t="s">
        <v>413</v>
      </c>
      <c r="P1380" s="14" t="s">
        <v>39</v>
      </c>
      <c r="Q1380" s="14" t="s">
        <v>25</v>
      </c>
      <c r="R1380" s="14" t="s">
        <v>410</v>
      </c>
    </row>
    <row r="1381" spans="1:18" s="14" customFormat="1" x14ac:dyDescent="0.25">
      <c r="A1381" s="14" t="str">
        <f>"30006"</f>
        <v>30006</v>
      </c>
      <c r="B1381" s="14" t="str">
        <f>"06140"</f>
        <v>06140</v>
      </c>
      <c r="C1381" s="14" t="str">
        <f>"1700"</f>
        <v>1700</v>
      </c>
      <c r="D1381" s="14" t="str">
        <f>"06140D"</f>
        <v>06140D</v>
      </c>
      <c r="E1381" s="14" t="s">
        <v>948</v>
      </c>
      <c r="F1381" s="14" t="s">
        <v>431</v>
      </c>
      <c r="G1381" s="14" t="str">
        <f>""</f>
        <v/>
      </c>
      <c r="H1381" s="14" t="str">
        <f>" 20"</f>
        <v xml:space="preserve"> 20</v>
      </c>
      <c r="I1381" s="14">
        <v>500.01</v>
      </c>
      <c r="J1381" s="14">
        <v>9999999.9900000002</v>
      </c>
      <c r="K1381" s="14" t="s">
        <v>414</v>
      </c>
      <c r="L1381" s="14" t="s">
        <v>411</v>
      </c>
      <c r="M1381" s="14" t="s">
        <v>412</v>
      </c>
      <c r="P1381" s="14" t="s">
        <v>39</v>
      </c>
      <c r="Q1381" s="14" t="s">
        <v>25</v>
      </c>
      <c r="R1381" s="14" t="s">
        <v>410</v>
      </c>
    </row>
    <row r="1382" spans="1:18" s="14" customFormat="1" x14ac:dyDescent="0.25">
      <c r="A1382" s="14" t="str">
        <f>"30006"</f>
        <v>30006</v>
      </c>
      <c r="B1382" s="14" t="str">
        <f>"06150"</f>
        <v>06150</v>
      </c>
      <c r="C1382" s="14" t="str">
        <f>"1700"</f>
        <v>1700</v>
      </c>
      <c r="D1382" s="14" t="str">
        <f>"06150D"</f>
        <v>06150D</v>
      </c>
      <c r="E1382" s="14" t="s">
        <v>948</v>
      </c>
      <c r="F1382" s="14" t="s">
        <v>432</v>
      </c>
      <c r="G1382" s="14" t="str">
        <f>""</f>
        <v/>
      </c>
      <c r="H1382" s="14" t="str">
        <f>" 10"</f>
        <v xml:space="preserve"> 10</v>
      </c>
      <c r="I1382" s="14">
        <v>0.01</v>
      </c>
      <c r="J1382" s="14">
        <v>500</v>
      </c>
      <c r="K1382" s="14" t="s">
        <v>410</v>
      </c>
      <c r="L1382" s="14" t="s">
        <v>411</v>
      </c>
      <c r="M1382" s="14" t="s">
        <v>412</v>
      </c>
      <c r="N1382" s="14" t="s">
        <v>413</v>
      </c>
      <c r="P1382" s="14" t="s">
        <v>39</v>
      </c>
      <c r="Q1382" s="14" t="s">
        <v>25</v>
      </c>
      <c r="R1382" s="14" t="s">
        <v>410</v>
      </c>
    </row>
    <row r="1383" spans="1:18" s="14" customFormat="1" x14ac:dyDescent="0.25">
      <c r="A1383" s="14" t="str">
        <f>"30006"</f>
        <v>30006</v>
      </c>
      <c r="B1383" s="14" t="str">
        <f>"06150"</f>
        <v>06150</v>
      </c>
      <c r="C1383" s="14" t="str">
        <f>"1700"</f>
        <v>1700</v>
      </c>
      <c r="D1383" s="14" t="str">
        <f>"06150D"</f>
        <v>06150D</v>
      </c>
      <c r="E1383" s="14" t="s">
        <v>948</v>
      </c>
      <c r="F1383" s="14" t="s">
        <v>432</v>
      </c>
      <c r="G1383" s="14" t="str">
        <f>""</f>
        <v/>
      </c>
      <c r="H1383" s="14" t="str">
        <f>" 20"</f>
        <v xml:space="preserve"> 20</v>
      </c>
      <c r="I1383" s="14">
        <v>500.01</v>
      </c>
      <c r="J1383" s="14">
        <v>9999999.9900000002</v>
      </c>
      <c r="K1383" s="14" t="s">
        <v>414</v>
      </c>
      <c r="L1383" s="14" t="s">
        <v>411</v>
      </c>
      <c r="M1383" s="14" t="s">
        <v>412</v>
      </c>
      <c r="P1383" s="14" t="s">
        <v>39</v>
      </c>
      <c r="Q1383" s="14" t="s">
        <v>25</v>
      </c>
      <c r="R1383" s="14" t="s">
        <v>410</v>
      </c>
    </row>
    <row r="1384" spans="1:18" s="14" customFormat="1" x14ac:dyDescent="0.25">
      <c r="A1384" s="14" t="str">
        <f>"30006"</f>
        <v>30006</v>
      </c>
      <c r="B1384" s="14" t="str">
        <f>"06151"</f>
        <v>06151</v>
      </c>
      <c r="C1384" s="14" t="str">
        <f>"1700"</f>
        <v>1700</v>
      </c>
      <c r="D1384" s="14" t="str">
        <f>"06151D"</f>
        <v>06151D</v>
      </c>
      <c r="E1384" s="14" t="s">
        <v>948</v>
      </c>
      <c r="F1384" s="14" t="s">
        <v>433</v>
      </c>
      <c r="G1384" s="14" t="str">
        <f>""</f>
        <v/>
      </c>
      <c r="H1384" s="14" t="str">
        <f>" 10"</f>
        <v xml:space="preserve"> 10</v>
      </c>
      <c r="I1384" s="14">
        <v>0.01</v>
      </c>
      <c r="J1384" s="14">
        <v>500</v>
      </c>
      <c r="K1384" s="14" t="s">
        <v>410</v>
      </c>
      <c r="L1384" s="14" t="s">
        <v>411</v>
      </c>
      <c r="M1384" s="14" t="s">
        <v>412</v>
      </c>
      <c r="N1384" s="14" t="s">
        <v>413</v>
      </c>
      <c r="P1384" s="14" t="s">
        <v>39</v>
      </c>
      <c r="Q1384" s="14" t="s">
        <v>25</v>
      </c>
      <c r="R1384" s="14" t="s">
        <v>410</v>
      </c>
    </row>
    <row r="1385" spans="1:18" s="14" customFormat="1" x14ac:dyDescent="0.25">
      <c r="A1385" s="14" t="str">
        <f>"30006"</f>
        <v>30006</v>
      </c>
      <c r="B1385" s="14" t="str">
        <f>"06151"</f>
        <v>06151</v>
      </c>
      <c r="C1385" s="14" t="str">
        <f>"1700"</f>
        <v>1700</v>
      </c>
      <c r="D1385" s="14" t="str">
        <f>"06151D"</f>
        <v>06151D</v>
      </c>
      <c r="E1385" s="14" t="s">
        <v>948</v>
      </c>
      <c r="F1385" s="14" t="s">
        <v>433</v>
      </c>
      <c r="G1385" s="14" t="str">
        <f>""</f>
        <v/>
      </c>
      <c r="H1385" s="14" t="str">
        <f>" 20"</f>
        <v xml:space="preserve"> 20</v>
      </c>
      <c r="I1385" s="14">
        <v>500.01</v>
      </c>
      <c r="J1385" s="14">
        <v>9999999.9900000002</v>
      </c>
      <c r="K1385" s="14" t="s">
        <v>414</v>
      </c>
      <c r="L1385" s="14" t="s">
        <v>411</v>
      </c>
      <c r="M1385" s="14" t="s">
        <v>412</v>
      </c>
      <c r="P1385" s="14" t="s">
        <v>39</v>
      </c>
      <c r="Q1385" s="14" t="s">
        <v>25</v>
      </c>
      <c r="R1385" s="14" t="s">
        <v>410</v>
      </c>
    </row>
    <row r="1386" spans="1:18" s="14" customFormat="1" x14ac:dyDescent="0.25">
      <c r="A1386" s="14" t="str">
        <f>"30006"</f>
        <v>30006</v>
      </c>
      <c r="B1386" s="14" t="str">
        <f>"06152"</f>
        <v>06152</v>
      </c>
      <c r="C1386" s="14" t="str">
        <f>"1700"</f>
        <v>1700</v>
      </c>
      <c r="D1386" s="14" t="str">
        <f>"06152D"</f>
        <v>06152D</v>
      </c>
      <c r="E1386" s="14" t="s">
        <v>948</v>
      </c>
      <c r="F1386" s="14" t="s">
        <v>434</v>
      </c>
      <c r="G1386" s="14" t="str">
        <f>""</f>
        <v/>
      </c>
      <c r="H1386" s="14" t="str">
        <f>" 10"</f>
        <v xml:space="preserve"> 10</v>
      </c>
      <c r="I1386" s="14">
        <v>0.01</v>
      </c>
      <c r="J1386" s="14">
        <v>500</v>
      </c>
      <c r="K1386" s="14" t="s">
        <v>410</v>
      </c>
      <c r="L1386" s="14" t="s">
        <v>411</v>
      </c>
      <c r="M1386" s="14" t="s">
        <v>412</v>
      </c>
      <c r="N1386" s="14" t="s">
        <v>413</v>
      </c>
      <c r="P1386" s="14" t="s">
        <v>39</v>
      </c>
      <c r="Q1386" s="14" t="s">
        <v>25</v>
      </c>
      <c r="R1386" s="14" t="s">
        <v>410</v>
      </c>
    </row>
    <row r="1387" spans="1:18" s="14" customFormat="1" x14ac:dyDescent="0.25">
      <c r="A1387" s="14" t="str">
        <f>"30006"</f>
        <v>30006</v>
      </c>
      <c r="B1387" s="14" t="str">
        <f>"06152"</f>
        <v>06152</v>
      </c>
      <c r="C1387" s="14" t="str">
        <f>"1700"</f>
        <v>1700</v>
      </c>
      <c r="D1387" s="14" t="str">
        <f>"06152D"</f>
        <v>06152D</v>
      </c>
      <c r="E1387" s="14" t="s">
        <v>948</v>
      </c>
      <c r="F1387" s="14" t="s">
        <v>434</v>
      </c>
      <c r="G1387" s="14" t="str">
        <f>""</f>
        <v/>
      </c>
      <c r="H1387" s="14" t="str">
        <f>" 20"</f>
        <v xml:space="preserve"> 20</v>
      </c>
      <c r="I1387" s="14">
        <v>500.01</v>
      </c>
      <c r="J1387" s="14">
        <v>9999999.9900000002</v>
      </c>
      <c r="K1387" s="14" t="s">
        <v>414</v>
      </c>
      <c r="L1387" s="14" t="s">
        <v>411</v>
      </c>
      <c r="M1387" s="14" t="s">
        <v>412</v>
      </c>
      <c r="P1387" s="14" t="s">
        <v>39</v>
      </c>
      <c r="Q1387" s="14" t="s">
        <v>25</v>
      </c>
      <c r="R1387" s="14" t="s">
        <v>410</v>
      </c>
    </row>
    <row r="1388" spans="1:18" s="14" customFormat="1" x14ac:dyDescent="0.25">
      <c r="A1388" s="14" t="str">
        <f>"30010"</f>
        <v>30010</v>
      </c>
      <c r="B1388" s="14" t="str">
        <f>"06000"</f>
        <v>06000</v>
      </c>
      <c r="C1388" s="14" t="str">
        <f>"1700"</f>
        <v>1700</v>
      </c>
      <c r="D1388" s="14" t="str">
        <f>""</f>
        <v/>
      </c>
      <c r="E1388" s="14" t="s">
        <v>949</v>
      </c>
      <c r="F1388" s="14" t="s">
        <v>409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414</v>
      </c>
      <c r="L1388" s="14" t="s">
        <v>411</v>
      </c>
      <c r="M1388" s="14" t="s">
        <v>412</v>
      </c>
      <c r="P1388" s="14" t="s">
        <v>39</v>
      </c>
      <c r="Q1388" s="14" t="s">
        <v>25</v>
      </c>
      <c r="R1388" s="14" t="s">
        <v>410</v>
      </c>
    </row>
    <row r="1389" spans="1:18" s="14" customFormat="1" x14ac:dyDescent="0.25">
      <c r="A1389" s="14" t="str">
        <f>"30015"</f>
        <v>30015</v>
      </c>
      <c r="B1389" s="14" t="str">
        <f>"06000"</f>
        <v>06000</v>
      </c>
      <c r="C1389" s="14" t="str">
        <f>"1800"</f>
        <v>1800</v>
      </c>
      <c r="D1389" s="14" t="str">
        <f>"06000C"</f>
        <v>06000C</v>
      </c>
      <c r="E1389" s="14" t="s">
        <v>950</v>
      </c>
      <c r="F1389" s="14" t="s">
        <v>409</v>
      </c>
      <c r="G1389" s="14" t="str">
        <f>""</f>
        <v/>
      </c>
      <c r="H1389" s="14" t="str">
        <f>" 10"</f>
        <v xml:space="preserve"> 10</v>
      </c>
      <c r="I1389" s="14">
        <v>0.01</v>
      </c>
      <c r="J1389" s="14">
        <v>500</v>
      </c>
      <c r="K1389" s="14" t="s">
        <v>410</v>
      </c>
      <c r="L1389" s="14" t="s">
        <v>411</v>
      </c>
      <c r="M1389" s="14" t="s">
        <v>412</v>
      </c>
      <c r="N1389" s="14" t="s">
        <v>413</v>
      </c>
      <c r="P1389" s="14" t="s">
        <v>39</v>
      </c>
      <c r="Q1389" s="14" t="s">
        <v>25</v>
      </c>
      <c r="R1389" s="14" t="s">
        <v>410</v>
      </c>
    </row>
    <row r="1390" spans="1:18" s="14" customFormat="1" x14ac:dyDescent="0.25">
      <c r="A1390" s="14" t="str">
        <f>"30015"</f>
        <v>30015</v>
      </c>
      <c r="B1390" s="14" t="str">
        <f>"06000"</f>
        <v>06000</v>
      </c>
      <c r="C1390" s="14" t="str">
        <f>"1800"</f>
        <v>1800</v>
      </c>
      <c r="D1390" s="14" t="str">
        <f>"06000C"</f>
        <v>06000C</v>
      </c>
      <c r="E1390" s="14" t="s">
        <v>950</v>
      </c>
      <c r="F1390" s="14" t="s">
        <v>409</v>
      </c>
      <c r="G1390" s="14" t="str">
        <f>""</f>
        <v/>
      </c>
      <c r="H1390" s="14" t="str">
        <f>" 20"</f>
        <v xml:space="preserve"> 20</v>
      </c>
      <c r="I1390" s="14">
        <v>500.01</v>
      </c>
      <c r="J1390" s="14">
        <v>9999999.9900000002</v>
      </c>
      <c r="K1390" s="14" t="s">
        <v>414</v>
      </c>
      <c r="L1390" s="14" t="s">
        <v>411</v>
      </c>
      <c r="M1390" s="14" t="s">
        <v>412</v>
      </c>
      <c r="P1390" s="14" t="s">
        <v>39</v>
      </c>
      <c r="Q1390" s="14" t="s">
        <v>25</v>
      </c>
      <c r="R1390" s="14" t="s">
        <v>410</v>
      </c>
    </row>
    <row r="1391" spans="1:18" s="14" customFormat="1" x14ac:dyDescent="0.25">
      <c r="A1391" s="14" t="str">
        <f>"30015"</f>
        <v>30015</v>
      </c>
      <c r="B1391" s="14" t="str">
        <f>"06010"</f>
        <v>06010</v>
      </c>
      <c r="C1391" s="14" t="str">
        <f>"1800"</f>
        <v>1800</v>
      </c>
      <c r="D1391" s="14" t="str">
        <f>"06010B"</f>
        <v>06010B</v>
      </c>
      <c r="E1391" s="14" t="s">
        <v>950</v>
      </c>
      <c r="F1391" s="14" t="s">
        <v>416</v>
      </c>
      <c r="G1391" s="14" t="str">
        <f>""</f>
        <v/>
      </c>
      <c r="H1391" s="14" t="str">
        <f>" 10"</f>
        <v xml:space="preserve"> 10</v>
      </c>
      <c r="I1391" s="14">
        <v>0.01</v>
      </c>
      <c r="J1391" s="14">
        <v>500</v>
      </c>
      <c r="K1391" s="14" t="s">
        <v>410</v>
      </c>
      <c r="L1391" s="14" t="s">
        <v>411</v>
      </c>
      <c r="M1391" s="14" t="s">
        <v>412</v>
      </c>
      <c r="N1391" s="14" t="s">
        <v>413</v>
      </c>
      <c r="P1391" s="14" t="s">
        <v>39</v>
      </c>
      <c r="Q1391" s="14" t="s">
        <v>25</v>
      </c>
      <c r="R1391" s="14" t="s">
        <v>410</v>
      </c>
    </row>
    <row r="1392" spans="1:18" s="14" customFormat="1" x14ac:dyDescent="0.25">
      <c r="A1392" s="14" t="str">
        <f>"30015"</f>
        <v>30015</v>
      </c>
      <c r="B1392" s="14" t="str">
        <f>"06010"</f>
        <v>06010</v>
      </c>
      <c r="C1392" s="14" t="str">
        <f>"1800"</f>
        <v>1800</v>
      </c>
      <c r="D1392" s="14" t="str">
        <f>"06010B"</f>
        <v>06010B</v>
      </c>
      <c r="E1392" s="14" t="s">
        <v>950</v>
      </c>
      <c r="F1392" s="14" t="s">
        <v>416</v>
      </c>
      <c r="G1392" s="14" t="str">
        <f>""</f>
        <v/>
      </c>
      <c r="H1392" s="14" t="str">
        <f>" 20"</f>
        <v xml:space="preserve"> 20</v>
      </c>
      <c r="I1392" s="14">
        <v>500.01</v>
      </c>
      <c r="J1392" s="14">
        <v>9999999.9900000002</v>
      </c>
      <c r="K1392" s="14" t="s">
        <v>414</v>
      </c>
      <c r="L1392" s="14" t="s">
        <v>411</v>
      </c>
      <c r="M1392" s="14" t="s">
        <v>412</v>
      </c>
      <c r="P1392" s="14" t="s">
        <v>39</v>
      </c>
      <c r="Q1392" s="14" t="s">
        <v>25</v>
      </c>
      <c r="R1392" s="14" t="s">
        <v>410</v>
      </c>
    </row>
    <row r="1393" spans="1:18" s="14" customFormat="1" x14ac:dyDescent="0.25">
      <c r="A1393" s="14" t="str">
        <f>"30015"</f>
        <v>30015</v>
      </c>
      <c r="B1393" s="14" t="str">
        <f>"06030"</f>
        <v>06030</v>
      </c>
      <c r="C1393" s="14" t="str">
        <f>"1800"</f>
        <v>1800</v>
      </c>
      <c r="D1393" s="14" t="str">
        <f>"06030B"</f>
        <v>06030B</v>
      </c>
      <c r="E1393" s="14" t="s">
        <v>950</v>
      </c>
      <c r="F1393" s="14" t="s">
        <v>420</v>
      </c>
      <c r="G1393" s="14" t="str">
        <f>""</f>
        <v/>
      </c>
      <c r="H1393" s="14" t="str">
        <f>" 10"</f>
        <v xml:space="preserve"> 10</v>
      </c>
      <c r="I1393" s="14">
        <v>0.01</v>
      </c>
      <c r="J1393" s="14">
        <v>500</v>
      </c>
      <c r="K1393" s="14" t="s">
        <v>410</v>
      </c>
      <c r="L1393" s="14" t="s">
        <v>411</v>
      </c>
      <c r="M1393" s="14" t="s">
        <v>412</v>
      </c>
      <c r="N1393" s="14" t="s">
        <v>413</v>
      </c>
      <c r="P1393" s="14" t="s">
        <v>39</v>
      </c>
      <c r="Q1393" s="14" t="s">
        <v>25</v>
      </c>
      <c r="R1393" s="14" t="s">
        <v>410</v>
      </c>
    </row>
    <row r="1394" spans="1:18" s="14" customFormat="1" x14ac:dyDescent="0.25">
      <c r="A1394" s="14" t="str">
        <f>"30015"</f>
        <v>30015</v>
      </c>
      <c r="B1394" s="14" t="str">
        <f>"06030"</f>
        <v>06030</v>
      </c>
      <c r="C1394" s="14" t="str">
        <f>"1800"</f>
        <v>1800</v>
      </c>
      <c r="D1394" s="14" t="str">
        <f>"06030B"</f>
        <v>06030B</v>
      </c>
      <c r="E1394" s="14" t="s">
        <v>950</v>
      </c>
      <c r="F1394" s="14" t="s">
        <v>420</v>
      </c>
      <c r="G1394" s="14" t="str">
        <f>""</f>
        <v/>
      </c>
      <c r="H1394" s="14" t="str">
        <f>" 20"</f>
        <v xml:space="preserve"> 20</v>
      </c>
      <c r="I1394" s="14">
        <v>500.01</v>
      </c>
      <c r="J1394" s="14">
        <v>9999999.9900000002</v>
      </c>
      <c r="K1394" s="14" t="s">
        <v>414</v>
      </c>
      <c r="L1394" s="14" t="s">
        <v>411</v>
      </c>
      <c r="M1394" s="14" t="s">
        <v>412</v>
      </c>
      <c r="P1394" s="14" t="s">
        <v>39</v>
      </c>
      <c r="Q1394" s="14" t="s">
        <v>25</v>
      </c>
      <c r="R1394" s="14" t="s">
        <v>410</v>
      </c>
    </row>
    <row r="1395" spans="1:18" s="14" customFormat="1" x14ac:dyDescent="0.25">
      <c r="A1395" s="14" t="str">
        <f>"30015"</f>
        <v>30015</v>
      </c>
      <c r="B1395" s="14" t="str">
        <f>"06040"</f>
        <v>06040</v>
      </c>
      <c r="C1395" s="14" t="str">
        <f>"1800"</f>
        <v>1800</v>
      </c>
      <c r="D1395" s="14" t="str">
        <f>"06040B"</f>
        <v>06040B</v>
      </c>
      <c r="E1395" s="14" t="s">
        <v>950</v>
      </c>
      <c r="F1395" s="14" t="s">
        <v>421</v>
      </c>
      <c r="G1395" s="14" t="str">
        <f>""</f>
        <v/>
      </c>
      <c r="H1395" s="14" t="str">
        <f>" 10"</f>
        <v xml:space="preserve"> 10</v>
      </c>
      <c r="I1395" s="14">
        <v>0.01</v>
      </c>
      <c r="J1395" s="14">
        <v>500</v>
      </c>
      <c r="K1395" s="14" t="s">
        <v>410</v>
      </c>
      <c r="L1395" s="14" t="s">
        <v>411</v>
      </c>
      <c r="M1395" s="14" t="s">
        <v>412</v>
      </c>
      <c r="N1395" s="14" t="s">
        <v>413</v>
      </c>
      <c r="P1395" s="14" t="s">
        <v>39</v>
      </c>
      <c r="Q1395" s="14" t="s">
        <v>25</v>
      </c>
      <c r="R1395" s="14" t="s">
        <v>410</v>
      </c>
    </row>
    <row r="1396" spans="1:18" s="14" customFormat="1" x14ac:dyDescent="0.25">
      <c r="A1396" s="14" t="str">
        <f>"30015"</f>
        <v>30015</v>
      </c>
      <c r="B1396" s="14" t="str">
        <f>"06040"</f>
        <v>06040</v>
      </c>
      <c r="C1396" s="14" t="str">
        <f>"1800"</f>
        <v>1800</v>
      </c>
      <c r="D1396" s="14" t="str">
        <f>"06040B"</f>
        <v>06040B</v>
      </c>
      <c r="E1396" s="14" t="s">
        <v>950</v>
      </c>
      <c r="F1396" s="14" t="s">
        <v>421</v>
      </c>
      <c r="G1396" s="14" t="str">
        <f>""</f>
        <v/>
      </c>
      <c r="H1396" s="14" t="str">
        <f>" 20"</f>
        <v xml:space="preserve"> 20</v>
      </c>
      <c r="I1396" s="14">
        <v>500.01</v>
      </c>
      <c r="J1396" s="14">
        <v>9999999.9900000002</v>
      </c>
      <c r="K1396" s="14" t="s">
        <v>414</v>
      </c>
      <c r="L1396" s="14" t="s">
        <v>411</v>
      </c>
      <c r="M1396" s="14" t="s">
        <v>412</v>
      </c>
      <c r="P1396" s="14" t="s">
        <v>39</v>
      </c>
      <c r="Q1396" s="14" t="s">
        <v>25</v>
      </c>
      <c r="R1396" s="14" t="s">
        <v>410</v>
      </c>
    </row>
    <row r="1397" spans="1:18" s="14" customFormat="1" x14ac:dyDescent="0.25">
      <c r="A1397" s="14" t="str">
        <f>"30015"</f>
        <v>30015</v>
      </c>
      <c r="B1397" s="14" t="str">
        <f>"06050"</f>
        <v>06050</v>
      </c>
      <c r="C1397" s="14" t="str">
        <f>"1800"</f>
        <v>1800</v>
      </c>
      <c r="D1397" s="14" t="str">
        <f>"06050B"</f>
        <v>06050B</v>
      </c>
      <c r="E1397" s="14" t="s">
        <v>950</v>
      </c>
      <c r="F1397" s="14" t="s">
        <v>422</v>
      </c>
      <c r="G1397" s="14" t="str">
        <f>""</f>
        <v/>
      </c>
      <c r="H1397" s="14" t="str">
        <f>" 10"</f>
        <v xml:space="preserve"> 10</v>
      </c>
      <c r="I1397" s="14">
        <v>0.01</v>
      </c>
      <c r="J1397" s="14">
        <v>500</v>
      </c>
      <c r="K1397" s="14" t="s">
        <v>410</v>
      </c>
      <c r="L1397" s="14" t="s">
        <v>411</v>
      </c>
      <c r="M1397" s="14" t="s">
        <v>412</v>
      </c>
      <c r="N1397" s="14" t="s">
        <v>413</v>
      </c>
      <c r="P1397" s="14" t="s">
        <v>39</v>
      </c>
      <c r="Q1397" s="14" t="s">
        <v>25</v>
      </c>
      <c r="R1397" s="14" t="s">
        <v>410</v>
      </c>
    </row>
    <row r="1398" spans="1:18" s="14" customFormat="1" x14ac:dyDescent="0.25">
      <c r="A1398" s="14" t="str">
        <f>"30015"</f>
        <v>30015</v>
      </c>
      <c r="B1398" s="14" t="str">
        <f>"06050"</f>
        <v>06050</v>
      </c>
      <c r="C1398" s="14" t="str">
        <f>"1800"</f>
        <v>1800</v>
      </c>
      <c r="D1398" s="14" t="str">
        <f>"06050B"</f>
        <v>06050B</v>
      </c>
      <c r="E1398" s="14" t="s">
        <v>950</v>
      </c>
      <c r="F1398" s="14" t="s">
        <v>422</v>
      </c>
      <c r="G1398" s="14" t="str">
        <f>""</f>
        <v/>
      </c>
      <c r="H1398" s="14" t="str">
        <f>" 20"</f>
        <v xml:space="preserve"> 20</v>
      </c>
      <c r="I1398" s="14">
        <v>500.01</v>
      </c>
      <c r="J1398" s="14">
        <v>9999999.9900000002</v>
      </c>
      <c r="K1398" s="14" t="s">
        <v>414</v>
      </c>
      <c r="L1398" s="14" t="s">
        <v>411</v>
      </c>
      <c r="M1398" s="14" t="s">
        <v>412</v>
      </c>
      <c r="P1398" s="14" t="s">
        <v>39</v>
      </c>
      <c r="Q1398" s="14" t="s">
        <v>25</v>
      </c>
      <c r="R1398" s="14" t="s">
        <v>410</v>
      </c>
    </row>
    <row r="1399" spans="1:18" s="14" customFormat="1" x14ac:dyDescent="0.25">
      <c r="A1399" s="14" t="str">
        <f>"30015"</f>
        <v>30015</v>
      </c>
      <c r="B1399" s="14" t="str">
        <f>"06060"</f>
        <v>06060</v>
      </c>
      <c r="C1399" s="14" t="str">
        <f>"1800"</f>
        <v>1800</v>
      </c>
      <c r="D1399" s="14" t="str">
        <f>"06060B"</f>
        <v>06060B</v>
      </c>
      <c r="E1399" s="14" t="s">
        <v>950</v>
      </c>
      <c r="F1399" s="14" t="s">
        <v>423</v>
      </c>
      <c r="G1399" s="14" t="str">
        <f>""</f>
        <v/>
      </c>
      <c r="H1399" s="14" t="str">
        <f>" 10"</f>
        <v xml:space="preserve"> 10</v>
      </c>
      <c r="I1399" s="14">
        <v>0.01</v>
      </c>
      <c r="J1399" s="14">
        <v>500</v>
      </c>
      <c r="K1399" s="14" t="s">
        <v>410</v>
      </c>
      <c r="L1399" s="14" t="s">
        <v>411</v>
      </c>
      <c r="M1399" s="14" t="s">
        <v>412</v>
      </c>
      <c r="N1399" s="14" t="s">
        <v>413</v>
      </c>
      <c r="P1399" s="14" t="s">
        <v>39</v>
      </c>
      <c r="Q1399" s="14" t="s">
        <v>25</v>
      </c>
      <c r="R1399" s="14" t="s">
        <v>410</v>
      </c>
    </row>
    <row r="1400" spans="1:18" s="14" customFormat="1" x14ac:dyDescent="0.25">
      <c r="A1400" s="14" t="str">
        <f>"30015"</f>
        <v>30015</v>
      </c>
      <c r="B1400" s="14" t="str">
        <f>"06060"</f>
        <v>06060</v>
      </c>
      <c r="C1400" s="14" t="str">
        <f>"1800"</f>
        <v>1800</v>
      </c>
      <c r="D1400" s="14" t="str">
        <f>"06060B"</f>
        <v>06060B</v>
      </c>
      <c r="E1400" s="14" t="s">
        <v>950</v>
      </c>
      <c r="F1400" s="14" t="s">
        <v>423</v>
      </c>
      <c r="G1400" s="14" t="str">
        <f>""</f>
        <v/>
      </c>
      <c r="H1400" s="14" t="str">
        <f>" 20"</f>
        <v xml:space="preserve"> 20</v>
      </c>
      <c r="I1400" s="14">
        <v>500.01</v>
      </c>
      <c r="J1400" s="14">
        <v>9999999.9900000002</v>
      </c>
      <c r="K1400" s="14" t="s">
        <v>414</v>
      </c>
      <c r="L1400" s="14" t="s">
        <v>411</v>
      </c>
      <c r="M1400" s="14" t="s">
        <v>412</v>
      </c>
      <c r="P1400" s="14" t="s">
        <v>39</v>
      </c>
      <c r="Q1400" s="14" t="s">
        <v>25</v>
      </c>
      <c r="R1400" s="14" t="s">
        <v>410</v>
      </c>
    </row>
    <row r="1401" spans="1:18" s="14" customFormat="1" x14ac:dyDescent="0.25">
      <c r="A1401" s="14" t="str">
        <f>"30015"</f>
        <v>30015</v>
      </c>
      <c r="B1401" s="14" t="str">
        <f>"06070"</f>
        <v>06070</v>
      </c>
      <c r="C1401" s="14" t="str">
        <f>"1800"</f>
        <v>1800</v>
      </c>
      <c r="D1401" s="14" t="str">
        <f>"06070B"</f>
        <v>06070B</v>
      </c>
      <c r="E1401" s="14" t="s">
        <v>950</v>
      </c>
      <c r="F1401" s="14" t="s">
        <v>424</v>
      </c>
      <c r="G1401" s="14" t="str">
        <f>""</f>
        <v/>
      </c>
      <c r="H1401" s="14" t="str">
        <f>" 10"</f>
        <v xml:space="preserve"> 10</v>
      </c>
      <c r="I1401" s="14">
        <v>0.01</v>
      </c>
      <c r="J1401" s="14">
        <v>500</v>
      </c>
      <c r="K1401" s="14" t="s">
        <v>410</v>
      </c>
      <c r="L1401" s="14" t="s">
        <v>411</v>
      </c>
      <c r="M1401" s="14" t="s">
        <v>412</v>
      </c>
      <c r="N1401" s="14" t="s">
        <v>413</v>
      </c>
      <c r="P1401" s="14" t="s">
        <v>39</v>
      </c>
      <c r="Q1401" s="14" t="s">
        <v>25</v>
      </c>
      <c r="R1401" s="14" t="s">
        <v>410</v>
      </c>
    </row>
    <row r="1402" spans="1:18" s="14" customFormat="1" x14ac:dyDescent="0.25">
      <c r="A1402" s="14" t="str">
        <f>"30015"</f>
        <v>30015</v>
      </c>
      <c r="B1402" s="14" t="str">
        <f>"06070"</f>
        <v>06070</v>
      </c>
      <c r="C1402" s="14" t="str">
        <f>"1800"</f>
        <v>1800</v>
      </c>
      <c r="D1402" s="14" t="str">
        <f>"06070B"</f>
        <v>06070B</v>
      </c>
      <c r="E1402" s="14" t="s">
        <v>950</v>
      </c>
      <c r="F1402" s="14" t="s">
        <v>424</v>
      </c>
      <c r="G1402" s="14" t="str">
        <f>""</f>
        <v/>
      </c>
      <c r="H1402" s="14" t="str">
        <f>" 20"</f>
        <v xml:space="preserve"> 20</v>
      </c>
      <c r="I1402" s="14">
        <v>500.01</v>
      </c>
      <c r="J1402" s="14">
        <v>9999999.9900000002</v>
      </c>
      <c r="K1402" s="14" t="s">
        <v>414</v>
      </c>
      <c r="L1402" s="14" t="s">
        <v>411</v>
      </c>
      <c r="M1402" s="14" t="s">
        <v>412</v>
      </c>
      <c r="P1402" s="14" t="s">
        <v>39</v>
      </c>
      <c r="Q1402" s="14" t="s">
        <v>25</v>
      </c>
      <c r="R1402" s="14" t="s">
        <v>410</v>
      </c>
    </row>
    <row r="1403" spans="1:18" s="14" customFormat="1" x14ac:dyDescent="0.25">
      <c r="A1403" s="14" t="str">
        <f>"30015"</f>
        <v>30015</v>
      </c>
      <c r="B1403" s="14" t="str">
        <f>"06080"</f>
        <v>06080</v>
      </c>
      <c r="C1403" s="14" t="str">
        <f>"1800"</f>
        <v>1800</v>
      </c>
      <c r="D1403" s="14" t="str">
        <f>"06080B"</f>
        <v>06080B</v>
      </c>
      <c r="E1403" s="14" t="s">
        <v>950</v>
      </c>
      <c r="F1403" s="14" t="s">
        <v>425</v>
      </c>
      <c r="G1403" s="14" t="str">
        <f>""</f>
        <v/>
      </c>
      <c r="H1403" s="14" t="str">
        <f>" 10"</f>
        <v xml:space="preserve"> 10</v>
      </c>
      <c r="I1403" s="14">
        <v>0.01</v>
      </c>
      <c r="J1403" s="14">
        <v>500</v>
      </c>
      <c r="K1403" s="14" t="s">
        <v>410</v>
      </c>
      <c r="L1403" s="14" t="s">
        <v>411</v>
      </c>
      <c r="M1403" s="14" t="s">
        <v>412</v>
      </c>
      <c r="N1403" s="14" t="s">
        <v>413</v>
      </c>
      <c r="P1403" s="14" t="s">
        <v>39</v>
      </c>
      <c r="Q1403" s="14" t="s">
        <v>25</v>
      </c>
      <c r="R1403" s="14" t="s">
        <v>410</v>
      </c>
    </row>
    <row r="1404" spans="1:18" s="14" customFormat="1" x14ac:dyDescent="0.25">
      <c r="A1404" s="14" t="str">
        <f>"30015"</f>
        <v>30015</v>
      </c>
      <c r="B1404" s="14" t="str">
        <f>"06080"</f>
        <v>06080</v>
      </c>
      <c r="C1404" s="14" t="str">
        <f>"1800"</f>
        <v>1800</v>
      </c>
      <c r="D1404" s="14" t="str">
        <f>"06080B"</f>
        <v>06080B</v>
      </c>
      <c r="E1404" s="14" t="s">
        <v>950</v>
      </c>
      <c r="F1404" s="14" t="s">
        <v>425</v>
      </c>
      <c r="G1404" s="14" t="str">
        <f>""</f>
        <v/>
      </c>
      <c r="H1404" s="14" t="str">
        <f>" 20"</f>
        <v xml:space="preserve"> 20</v>
      </c>
      <c r="I1404" s="14">
        <v>500.01</v>
      </c>
      <c r="J1404" s="14">
        <v>9999999.9900000002</v>
      </c>
      <c r="K1404" s="14" t="s">
        <v>414</v>
      </c>
      <c r="L1404" s="14" t="s">
        <v>411</v>
      </c>
      <c r="M1404" s="14" t="s">
        <v>412</v>
      </c>
      <c r="P1404" s="14" t="s">
        <v>39</v>
      </c>
      <c r="Q1404" s="14" t="s">
        <v>25</v>
      </c>
      <c r="R1404" s="14" t="s">
        <v>410</v>
      </c>
    </row>
    <row r="1405" spans="1:18" s="14" customFormat="1" x14ac:dyDescent="0.25">
      <c r="A1405" s="14" t="str">
        <f>"30015"</f>
        <v>30015</v>
      </c>
      <c r="B1405" s="14" t="str">
        <f>"06090"</f>
        <v>06090</v>
      </c>
      <c r="C1405" s="14" t="str">
        <f>"1800"</f>
        <v>1800</v>
      </c>
      <c r="D1405" s="14" t="str">
        <f>"06090B"</f>
        <v>06090B</v>
      </c>
      <c r="E1405" s="14" t="s">
        <v>950</v>
      </c>
      <c r="F1405" s="14" t="s">
        <v>426</v>
      </c>
      <c r="G1405" s="14" t="str">
        <f>""</f>
        <v/>
      </c>
      <c r="H1405" s="14" t="str">
        <f>" 10"</f>
        <v xml:space="preserve"> 10</v>
      </c>
      <c r="I1405" s="14">
        <v>0.01</v>
      </c>
      <c r="J1405" s="14">
        <v>500</v>
      </c>
      <c r="K1405" s="14" t="s">
        <v>410</v>
      </c>
      <c r="L1405" s="14" t="s">
        <v>411</v>
      </c>
      <c r="M1405" s="14" t="s">
        <v>412</v>
      </c>
      <c r="N1405" s="14" t="s">
        <v>413</v>
      </c>
      <c r="P1405" s="14" t="s">
        <v>39</v>
      </c>
      <c r="Q1405" s="14" t="s">
        <v>25</v>
      </c>
      <c r="R1405" s="14" t="s">
        <v>410</v>
      </c>
    </row>
    <row r="1406" spans="1:18" s="14" customFormat="1" x14ac:dyDescent="0.25">
      <c r="A1406" s="14" t="str">
        <f>"30015"</f>
        <v>30015</v>
      </c>
      <c r="B1406" s="14" t="str">
        <f>"06090"</f>
        <v>06090</v>
      </c>
      <c r="C1406" s="14" t="str">
        <f>"1800"</f>
        <v>1800</v>
      </c>
      <c r="D1406" s="14" t="str">
        <f>"06090B"</f>
        <v>06090B</v>
      </c>
      <c r="E1406" s="14" t="s">
        <v>950</v>
      </c>
      <c r="F1406" s="14" t="s">
        <v>426</v>
      </c>
      <c r="G1406" s="14" t="str">
        <f>""</f>
        <v/>
      </c>
      <c r="H1406" s="14" t="str">
        <f>" 20"</f>
        <v xml:space="preserve"> 20</v>
      </c>
      <c r="I1406" s="14">
        <v>500.01</v>
      </c>
      <c r="J1406" s="14">
        <v>9999999.9900000002</v>
      </c>
      <c r="K1406" s="14" t="s">
        <v>414</v>
      </c>
      <c r="L1406" s="14" t="s">
        <v>411</v>
      </c>
      <c r="M1406" s="14" t="s">
        <v>412</v>
      </c>
      <c r="P1406" s="14" t="s">
        <v>39</v>
      </c>
      <c r="Q1406" s="14" t="s">
        <v>25</v>
      </c>
      <c r="R1406" s="14" t="s">
        <v>410</v>
      </c>
    </row>
    <row r="1407" spans="1:18" s="14" customFormat="1" x14ac:dyDescent="0.25">
      <c r="A1407" s="14" t="str">
        <f>"30015"</f>
        <v>30015</v>
      </c>
      <c r="B1407" s="14" t="str">
        <f>"06100"</f>
        <v>06100</v>
      </c>
      <c r="C1407" s="14" t="str">
        <f>"1800"</f>
        <v>1800</v>
      </c>
      <c r="D1407" s="14" t="str">
        <f>"06100B"</f>
        <v>06100B</v>
      </c>
      <c r="E1407" s="14" t="s">
        <v>950</v>
      </c>
      <c r="F1407" s="14" t="s">
        <v>427</v>
      </c>
      <c r="G1407" s="14" t="str">
        <f>""</f>
        <v/>
      </c>
      <c r="H1407" s="14" t="str">
        <f>" 10"</f>
        <v xml:space="preserve"> 10</v>
      </c>
      <c r="I1407" s="14">
        <v>0.01</v>
      </c>
      <c r="J1407" s="14">
        <v>500</v>
      </c>
      <c r="K1407" s="14" t="s">
        <v>410</v>
      </c>
      <c r="L1407" s="14" t="s">
        <v>411</v>
      </c>
      <c r="M1407" s="14" t="s">
        <v>412</v>
      </c>
      <c r="N1407" s="14" t="s">
        <v>413</v>
      </c>
      <c r="P1407" s="14" t="s">
        <v>39</v>
      </c>
      <c r="Q1407" s="14" t="s">
        <v>25</v>
      </c>
      <c r="R1407" s="14" t="s">
        <v>410</v>
      </c>
    </row>
    <row r="1408" spans="1:18" s="14" customFormat="1" x14ac:dyDescent="0.25">
      <c r="A1408" s="14" t="str">
        <f>"30015"</f>
        <v>30015</v>
      </c>
      <c r="B1408" s="14" t="str">
        <f>"06100"</f>
        <v>06100</v>
      </c>
      <c r="C1408" s="14" t="str">
        <f>"1800"</f>
        <v>1800</v>
      </c>
      <c r="D1408" s="14" t="str">
        <f>"06100B"</f>
        <v>06100B</v>
      </c>
      <c r="E1408" s="14" t="s">
        <v>950</v>
      </c>
      <c r="F1408" s="14" t="s">
        <v>427</v>
      </c>
      <c r="G1408" s="14" t="str">
        <f>""</f>
        <v/>
      </c>
      <c r="H1408" s="14" t="str">
        <f>" 20"</f>
        <v xml:space="preserve"> 20</v>
      </c>
      <c r="I1408" s="14">
        <v>500.01</v>
      </c>
      <c r="J1408" s="14">
        <v>9999999.9900000002</v>
      </c>
      <c r="K1408" s="14" t="s">
        <v>414</v>
      </c>
      <c r="L1408" s="14" t="s">
        <v>411</v>
      </c>
      <c r="M1408" s="14" t="s">
        <v>412</v>
      </c>
      <c r="P1408" s="14" t="s">
        <v>39</v>
      </c>
      <c r="Q1408" s="14" t="s">
        <v>25</v>
      </c>
      <c r="R1408" s="14" t="s">
        <v>410</v>
      </c>
    </row>
    <row r="1409" spans="1:18" s="14" customFormat="1" x14ac:dyDescent="0.25">
      <c r="A1409" s="14" t="str">
        <f>"30015"</f>
        <v>30015</v>
      </c>
      <c r="B1409" s="14" t="str">
        <f>"06110"</f>
        <v>06110</v>
      </c>
      <c r="C1409" s="14" t="str">
        <f>"1800"</f>
        <v>1800</v>
      </c>
      <c r="D1409" s="14" t="str">
        <f>"06110B"</f>
        <v>06110B</v>
      </c>
      <c r="E1409" s="14" t="s">
        <v>950</v>
      </c>
      <c r="F1409" s="14" t="s">
        <v>428</v>
      </c>
      <c r="G1409" s="14" t="str">
        <f>""</f>
        <v/>
      </c>
      <c r="H1409" s="14" t="str">
        <f>" 10"</f>
        <v xml:space="preserve"> 10</v>
      </c>
      <c r="I1409" s="14">
        <v>0.01</v>
      </c>
      <c r="J1409" s="14">
        <v>500</v>
      </c>
      <c r="K1409" s="14" t="s">
        <v>410</v>
      </c>
      <c r="L1409" s="14" t="s">
        <v>411</v>
      </c>
      <c r="M1409" s="14" t="s">
        <v>412</v>
      </c>
      <c r="N1409" s="14" t="s">
        <v>413</v>
      </c>
      <c r="P1409" s="14" t="s">
        <v>39</v>
      </c>
      <c r="Q1409" s="14" t="s">
        <v>25</v>
      </c>
      <c r="R1409" s="14" t="s">
        <v>410</v>
      </c>
    </row>
    <row r="1410" spans="1:18" s="14" customFormat="1" x14ac:dyDescent="0.25">
      <c r="A1410" s="14" t="str">
        <f>"30015"</f>
        <v>30015</v>
      </c>
      <c r="B1410" s="14" t="str">
        <f>"06110"</f>
        <v>06110</v>
      </c>
      <c r="C1410" s="14" t="str">
        <f>"1800"</f>
        <v>1800</v>
      </c>
      <c r="D1410" s="14" t="str">
        <f>"06110B"</f>
        <v>06110B</v>
      </c>
      <c r="E1410" s="14" t="s">
        <v>950</v>
      </c>
      <c r="F1410" s="14" t="s">
        <v>428</v>
      </c>
      <c r="G1410" s="14" t="str">
        <f>""</f>
        <v/>
      </c>
      <c r="H1410" s="14" t="str">
        <f>" 20"</f>
        <v xml:space="preserve"> 20</v>
      </c>
      <c r="I1410" s="14">
        <v>500.01</v>
      </c>
      <c r="J1410" s="14">
        <v>9999999.9900000002</v>
      </c>
      <c r="K1410" s="14" t="s">
        <v>414</v>
      </c>
      <c r="L1410" s="14" t="s">
        <v>411</v>
      </c>
      <c r="M1410" s="14" t="s">
        <v>412</v>
      </c>
      <c r="P1410" s="14" t="s">
        <v>39</v>
      </c>
      <c r="Q1410" s="14" t="s">
        <v>25</v>
      </c>
      <c r="R1410" s="14" t="s">
        <v>410</v>
      </c>
    </row>
    <row r="1411" spans="1:18" s="14" customFormat="1" x14ac:dyDescent="0.25">
      <c r="A1411" s="14" t="str">
        <f>"30015"</f>
        <v>30015</v>
      </c>
      <c r="B1411" s="14" t="str">
        <f>"06120"</f>
        <v>06120</v>
      </c>
      <c r="C1411" s="14" t="str">
        <f>"1800"</f>
        <v>1800</v>
      </c>
      <c r="D1411" s="14" t="str">
        <f>"06120B"</f>
        <v>06120B</v>
      </c>
      <c r="E1411" s="14" t="s">
        <v>950</v>
      </c>
      <c r="F1411" s="14" t="s">
        <v>429</v>
      </c>
      <c r="G1411" s="14" t="str">
        <f>""</f>
        <v/>
      </c>
      <c r="H1411" s="14" t="str">
        <f>" 10"</f>
        <v xml:space="preserve"> 10</v>
      </c>
      <c r="I1411" s="14">
        <v>0.01</v>
      </c>
      <c r="J1411" s="14">
        <v>500</v>
      </c>
      <c r="K1411" s="14" t="s">
        <v>410</v>
      </c>
      <c r="L1411" s="14" t="s">
        <v>411</v>
      </c>
      <c r="M1411" s="14" t="s">
        <v>412</v>
      </c>
      <c r="N1411" s="14" t="s">
        <v>413</v>
      </c>
      <c r="P1411" s="14" t="s">
        <v>39</v>
      </c>
      <c r="Q1411" s="14" t="s">
        <v>25</v>
      </c>
      <c r="R1411" s="14" t="s">
        <v>410</v>
      </c>
    </row>
    <row r="1412" spans="1:18" s="14" customFormat="1" x14ac:dyDescent="0.25">
      <c r="A1412" s="14" t="str">
        <f>"30015"</f>
        <v>30015</v>
      </c>
      <c r="B1412" s="14" t="str">
        <f>"06120"</f>
        <v>06120</v>
      </c>
      <c r="C1412" s="14" t="str">
        <f>"1800"</f>
        <v>1800</v>
      </c>
      <c r="D1412" s="14" t="str">
        <f>"06120B"</f>
        <v>06120B</v>
      </c>
      <c r="E1412" s="14" t="s">
        <v>950</v>
      </c>
      <c r="F1412" s="14" t="s">
        <v>429</v>
      </c>
      <c r="G1412" s="14" t="str">
        <f>""</f>
        <v/>
      </c>
      <c r="H1412" s="14" t="str">
        <f>" 20"</f>
        <v xml:space="preserve"> 20</v>
      </c>
      <c r="I1412" s="14">
        <v>500.01</v>
      </c>
      <c r="J1412" s="14">
        <v>9999999.9900000002</v>
      </c>
      <c r="K1412" s="14" t="s">
        <v>414</v>
      </c>
      <c r="L1412" s="14" t="s">
        <v>411</v>
      </c>
      <c r="M1412" s="14" t="s">
        <v>412</v>
      </c>
      <c r="P1412" s="14" t="s">
        <v>39</v>
      </c>
      <c r="Q1412" s="14" t="s">
        <v>25</v>
      </c>
      <c r="R1412" s="14" t="s">
        <v>410</v>
      </c>
    </row>
    <row r="1413" spans="1:18" s="14" customFormat="1" x14ac:dyDescent="0.25">
      <c r="A1413" s="14" t="str">
        <f>"30015"</f>
        <v>30015</v>
      </c>
      <c r="B1413" s="14" t="str">
        <f>"06130"</f>
        <v>06130</v>
      </c>
      <c r="C1413" s="14" t="str">
        <f>"1800"</f>
        <v>1800</v>
      </c>
      <c r="D1413" s="14" t="str">
        <f>"06130B"</f>
        <v>06130B</v>
      </c>
      <c r="E1413" s="14" t="s">
        <v>950</v>
      </c>
      <c r="F1413" s="14" t="s">
        <v>430</v>
      </c>
      <c r="G1413" s="14" t="str">
        <f>""</f>
        <v/>
      </c>
      <c r="H1413" s="14" t="str">
        <f>" 10"</f>
        <v xml:space="preserve"> 10</v>
      </c>
      <c r="I1413" s="14">
        <v>0.01</v>
      </c>
      <c r="J1413" s="14">
        <v>500</v>
      </c>
      <c r="K1413" s="14" t="s">
        <v>410</v>
      </c>
      <c r="L1413" s="14" t="s">
        <v>411</v>
      </c>
      <c r="M1413" s="14" t="s">
        <v>412</v>
      </c>
      <c r="N1413" s="14" t="s">
        <v>413</v>
      </c>
      <c r="P1413" s="14" t="s">
        <v>39</v>
      </c>
      <c r="Q1413" s="14" t="s">
        <v>25</v>
      </c>
      <c r="R1413" s="14" t="s">
        <v>410</v>
      </c>
    </row>
    <row r="1414" spans="1:18" s="14" customFormat="1" x14ac:dyDescent="0.25">
      <c r="A1414" s="14" t="str">
        <f>"30015"</f>
        <v>30015</v>
      </c>
      <c r="B1414" s="14" t="str">
        <f>"06130"</f>
        <v>06130</v>
      </c>
      <c r="C1414" s="14" t="str">
        <f>"1800"</f>
        <v>1800</v>
      </c>
      <c r="D1414" s="14" t="str">
        <f>"06130B"</f>
        <v>06130B</v>
      </c>
      <c r="E1414" s="14" t="s">
        <v>950</v>
      </c>
      <c r="F1414" s="14" t="s">
        <v>430</v>
      </c>
      <c r="G1414" s="14" t="str">
        <f>""</f>
        <v/>
      </c>
      <c r="H1414" s="14" t="str">
        <f>" 20"</f>
        <v xml:space="preserve"> 20</v>
      </c>
      <c r="I1414" s="14">
        <v>500.01</v>
      </c>
      <c r="J1414" s="14">
        <v>9999999.9900000002</v>
      </c>
      <c r="K1414" s="14" t="s">
        <v>414</v>
      </c>
      <c r="L1414" s="14" t="s">
        <v>411</v>
      </c>
      <c r="M1414" s="14" t="s">
        <v>412</v>
      </c>
      <c r="P1414" s="14" t="s">
        <v>39</v>
      </c>
      <c r="Q1414" s="14" t="s">
        <v>25</v>
      </c>
      <c r="R1414" s="14" t="s">
        <v>410</v>
      </c>
    </row>
    <row r="1415" spans="1:18" s="14" customFormat="1" x14ac:dyDescent="0.25">
      <c r="A1415" s="14" t="str">
        <f>"30015"</f>
        <v>30015</v>
      </c>
      <c r="B1415" s="14" t="str">
        <f>"06140"</f>
        <v>06140</v>
      </c>
      <c r="C1415" s="14" t="str">
        <f>"1800"</f>
        <v>1800</v>
      </c>
      <c r="D1415" s="14" t="str">
        <f>"06140B"</f>
        <v>06140B</v>
      </c>
      <c r="E1415" s="14" t="s">
        <v>950</v>
      </c>
      <c r="F1415" s="14" t="s">
        <v>431</v>
      </c>
      <c r="G1415" s="14" t="str">
        <f>""</f>
        <v/>
      </c>
      <c r="H1415" s="14" t="str">
        <f>" 10"</f>
        <v xml:space="preserve"> 10</v>
      </c>
      <c r="I1415" s="14">
        <v>0.01</v>
      </c>
      <c r="J1415" s="14">
        <v>500</v>
      </c>
      <c r="K1415" s="14" t="s">
        <v>410</v>
      </c>
      <c r="L1415" s="14" t="s">
        <v>411</v>
      </c>
      <c r="M1415" s="14" t="s">
        <v>412</v>
      </c>
      <c r="N1415" s="14" t="s">
        <v>413</v>
      </c>
      <c r="P1415" s="14" t="s">
        <v>39</v>
      </c>
      <c r="Q1415" s="14" t="s">
        <v>25</v>
      </c>
      <c r="R1415" s="14" t="s">
        <v>410</v>
      </c>
    </row>
    <row r="1416" spans="1:18" s="14" customFormat="1" x14ac:dyDescent="0.25">
      <c r="A1416" s="14" t="str">
        <f>"30015"</f>
        <v>30015</v>
      </c>
      <c r="B1416" s="14" t="str">
        <f>"06140"</f>
        <v>06140</v>
      </c>
      <c r="C1416" s="14" t="str">
        <f>"1800"</f>
        <v>1800</v>
      </c>
      <c r="D1416" s="14" t="str">
        <f>"06140B"</f>
        <v>06140B</v>
      </c>
      <c r="E1416" s="14" t="s">
        <v>950</v>
      </c>
      <c r="F1416" s="14" t="s">
        <v>431</v>
      </c>
      <c r="G1416" s="14" t="str">
        <f>""</f>
        <v/>
      </c>
      <c r="H1416" s="14" t="str">
        <f>" 20"</f>
        <v xml:space="preserve"> 20</v>
      </c>
      <c r="I1416" s="14">
        <v>500.01</v>
      </c>
      <c r="J1416" s="14">
        <v>9999999.9900000002</v>
      </c>
      <c r="K1416" s="14" t="s">
        <v>414</v>
      </c>
      <c r="L1416" s="14" t="s">
        <v>411</v>
      </c>
      <c r="M1416" s="14" t="s">
        <v>412</v>
      </c>
      <c r="P1416" s="14" t="s">
        <v>39</v>
      </c>
      <c r="Q1416" s="14" t="s">
        <v>25</v>
      </c>
      <c r="R1416" s="14" t="s">
        <v>410</v>
      </c>
    </row>
    <row r="1417" spans="1:18" s="14" customFormat="1" x14ac:dyDescent="0.25">
      <c r="A1417" s="14" t="str">
        <f>"30015"</f>
        <v>30015</v>
      </c>
      <c r="B1417" s="14" t="str">
        <f>"06150"</f>
        <v>06150</v>
      </c>
      <c r="C1417" s="14" t="str">
        <f>"1800"</f>
        <v>1800</v>
      </c>
      <c r="D1417" s="14" t="str">
        <f>"06150B"</f>
        <v>06150B</v>
      </c>
      <c r="E1417" s="14" t="s">
        <v>950</v>
      </c>
      <c r="F1417" s="14" t="s">
        <v>432</v>
      </c>
      <c r="G1417" s="14" t="str">
        <f>""</f>
        <v/>
      </c>
      <c r="H1417" s="14" t="str">
        <f>" 10"</f>
        <v xml:space="preserve"> 10</v>
      </c>
      <c r="I1417" s="14">
        <v>0.01</v>
      </c>
      <c r="J1417" s="14">
        <v>500</v>
      </c>
      <c r="K1417" s="14" t="s">
        <v>410</v>
      </c>
      <c r="L1417" s="14" t="s">
        <v>411</v>
      </c>
      <c r="M1417" s="14" t="s">
        <v>412</v>
      </c>
      <c r="N1417" s="14" t="s">
        <v>413</v>
      </c>
      <c r="P1417" s="14" t="s">
        <v>39</v>
      </c>
      <c r="Q1417" s="14" t="s">
        <v>25</v>
      </c>
      <c r="R1417" s="14" t="s">
        <v>410</v>
      </c>
    </row>
    <row r="1418" spans="1:18" s="14" customFormat="1" x14ac:dyDescent="0.25">
      <c r="A1418" s="14" t="str">
        <f>"30015"</f>
        <v>30015</v>
      </c>
      <c r="B1418" s="14" t="str">
        <f>"06150"</f>
        <v>06150</v>
      </c>
      <c r="C1418" s="14" t="str">
        <f>"1800"</f>
        <v>1800</v>
      </c>
      <c r="D1418" s="14" t="str">
        <f>"06150B"</f>
        <v>06150B</v>
      </c>
      <c r="E1418" s="14" t="s">
        <v>950</v>
      </c>
      <c r="F1418" s="14" t="s">
        <v>432</v>
      </c>
      <c r="G1418" s="14" t="str">
        <f>""</f>
        <v/>
      </c>
      <c r="H1418" s="14" t="str">
        <f>" 20"</f>
        <v xml:space="preserve"> 20</v>
      </c>
      <c r="I1418" s="14">
        <v>500.01</v>
      </c>
      <c r="J1418" s="14">
        <v>9999999.9900000002</v>
      </c>
      <c r="K1418" s="14" t="s">
        <v>414</v>
      </c>
      <c r="L1418" s="14" t="s">
        <v>411</v>
      </c>
      <c r="M1418" s="14" t="s">
        <v>412</v>
      </c>
      <c r="P1418" s="14" t="s">
        <v>39</v>
      </c>
      <c r="Q1418" s="14" t="s">
        <v>25</v>
      </c>
      <c r="R1418" s="14" t="s">
        <v>410</v>
      </c>
    </row>
    <row r="1419" spans="1:18" s="14" customFormat="1" x14ac:dyDescent="0.25">
      <c r="A1419" s="14" t="str">
        <f>"30015"</f>
        <v>30015</v>
      </c>
      <c r="B1419" s="14" t="str">
        <f>"06151"</f>
        <v>06151</v>
      </c>
      <c r="C1419" s="14" t="str">
        <f>"1800"</f>
        <v>1800</v>
      </c>
      <c r="D1419" s="14" t="str">
        <f>"06151B"</f>
        <v>06151B</v>
      </c>
      <c r="E1419" s="14" t="s">
        <v>950</v>
      </c>
      <c r="F1419" s="14" t="s">
        <v>433</v>
      </c>
      <c r="G1419" s="14" t="str">
        <f>""</f>
        <v/>
      </c>
      <c r="H1419" s="14" t="str">
        <f>" 10"</f>
        <v xml:space="preserve"> 10</v>
      </c>
      <c r="I1419" s="14">
        <v>0.01</v>
      </c>
      <c r="J1419" s="14">
        <v>500</v>
      </c>
      <c r="K1419" s="14" t="s">
        <v>410</v>
      </c>
      <c r="L1419" s="14" t="s">
        <v>411</v>
      </c>
      <c r="M1419" s="14" t="s">
        <v>412</v>
      </c>
      <c r="N1419" s="14" t="s">
        <v>413</v>
      </c>
      <c r="P1419" s="14" t="s">
        <v>39</v>
      </c>
      <c r="Q1419" s="14" t="s">
        <v>25</v>
      </c>
      <c r="R1419" s="14" t="s">
        <v>410</v>
      </c>
    </row>
    <row r="1420" spans="1:18" s="14" customFormat="1" x14ac:dyDescent="0.25">
      <c r="A1420" s="14" t="str">
        <f>"30015"</f>
        <v>30015</v>
      </c>
      <c r="B1420" s="14" t="str">
        <f>"06151"</f>
        <v>06151</v>
      </c>
      <c r="C1420" s="14" t="str">
        <f>"1800"</f>
        <v>1800</v>
      </c>
      <c r="D1420" s="14" t="str">
        <f>"06151B"</f>
        <v>06151B</v>
      </c>
      <c r="E1420" s="14" t="s">
        <v>950</v>
      </c>
      <c r="F1420" s="14" t="s">
        <v>433</v>
      </c>
      <c r="G1420" s="14" t="str">
        <f>""</f>
        <v/>
      </c>
      <c r="H1420" s="14" t="str">
        <f>" 20"</f>
        <v xml:space="preserve"> 20</v>
      </c>
      <c r="I1420" s="14">
        <v>500.01</v>
      </c>
      <c r="J1420" s="14">
        <v>9999999.9900000002</v>
      </c>
      <c r="K1420" s="14" t="s">
        <v>414</v>
      </c>
      <c r="L1420" s="14" t="s">
        <v>411</v>
      </c>
      <c r="M1420" s="14" t="s">
        <v>412</v>
      </c>
      <c r="P1420" s="14" t="s">
        <v>39</v>
      </c>
      <c r="Q1420" s="14" t="s">
        <v>25</v>
      </c>
      <c r="R1420" s="14" t="s">
        <v>410</v>
      </c>
    </row>
    <row r="1421" spans="1:18" s="14" customFormat="1" x14ac:dyDescent="0.25">
      <c r="A1421" s="14" t="str">
        <f>"30015"</f>
        <v>30015</v>
      </c>
      <c r="B1421" s="14" t="str">
        <f>"06152"</f>
        <v>06152</v>
      </c>
      <c r="C1421" s="14" t="str">
        <f>"1800"</f>
        <v>1800</v>
      </c>
      <c r="D1421" s="14" t="str">
        <f>"06152B"</f>
        <v>06152B</v>
      </c>
      <c r="E1421" s="14" t="s">
        <v>950</v>
      </c>
      <c r="F1421" s="14" t="s">
        <v>434</v>
      </c>
      <c r="G1421" s="14" t="str">
        <f>""</f>
        <v/>
      </c>
      <c r="H1421" s="14" t="str">
        <f>" 10"</f>
        <v xml:space="preserve"> 10</v>
      </c>
      <c r="I1421" s="14">
        <v>0.01</v>
      </c>
      <c r="J1421" s="14">
        <v>500</v>
      </c>
      <c r="K1421" s="14" t="s">
        <v>410</v>
      </c>
      <c r="L1421" s="14" t="s">
        <v>411</v>
      </c>
      <c r="M1421" s="14" t="s">
        <v>412</v>
      </c>
      <c r="N1421" s="14" t="s">
        <v>413</v>
      </c>
      <c r="P1421" s="14" t="s">
        <v>39</v>
      </c>
      <c r="Q1421" s="14" t="s">
        <v>25</v>
      </c>
      <c r="R1421" s="14" t="s">
        <v>410</v>
      </c>
    </row>
    <row r="1422" spans="1:18" s="14" customFormat="1" x14ac:dyDescent="0.25">
      <c r="A1422" s="14" t="str">
        <f>"30015"</f>
        <v>30015</v>
      </c>
      <c r="B1422" s="14" t="str">
        <f>"06152"</f>
        <v>06152</v>
      </c>
      <c r="C1422" s="14" t="str">
        <f>"1800"</f>
        <v>1800</v>
      </c>
      <c r="D1422" s="14" t="str">
        <f>"06152B"</f>
        <v>06152B</v>
      </c>
      <c r="E1422" s="14" t="s">
        <v>950</v>
      </c>
      <c r="F1422" s="14" t="s">
        <v>434</v>
      </c>
      <c r="G1422" s="14" t="str">
        <f>""</f>
        <v/>
      </c>
      <c r="H1422" s="14" t="str">
        <f>" 20"</f>
        <v xml:space="preserve"> 20</v>
      </c>
      <c r="I1422" s="14">
        <v>500.01</v>
      </c>
      <c r="J1422" s="14">
        <v>9999999.9900000002</v>
      </c>
      <c r="K1422" s="14" t="s">
        <v>414</v>
      </c>
      <c r="L1422" s="14" t="s">
        <v>411</v>
      </c>
      <c r="M1422" s="14" t="s">
        <v>412</v>
      </c>
      <c r="P1422" s="14" t="s">
        <v>39</v>
      </c>
      <c r="Q1422" s="14" t="s">
        <v>25</v>
      </c>
      <c r="R1422" s="14" t="s">
        <v>410</v>
      </c>
    </row>
    <row r="1423" spans="1:18" s="14" customFormat="1" x14ac:dyDescent="0.25">
      <c r="A1423" s="14" t="str">
        <f>"30105"</f>
        <v>30105</v>
      </c>
      <c r="B1423" s="14" t="str">
        <f>"05040"</f>
        <v>05040</v>
      </c>
      <c r="C1423" s="14" t="str">
        <f>"1930"</f>
        <v>1930</v>
      </c>
      <c r="D1423" s="14" t="str">
        <f>"05040"</f>
        <v>05040</v>
      </c>
      <c r="E1423" s="14" t="s">
        <v>951</v>
      </c>
      <c r="F1423" s="14" t="s">
        <v>952</v>
      </c>
      <c r="G1423" s="14" t="str">
        <f>""</f>
        <v/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381</v>
      </c>
      <c r="L1423" s="14" t="s">
        <v>382</v>
      </c>
      <c r="P1423" s="14" t="s">
        <v>31</v>
      </c>
      <c r="Q1423" s="14" t="s">
        <v>25</v>
      </c>
      <c r="R1423" s="14" t="s">
        <v>383</v>
      </c>
    </row>
    <row r="1424" spans="1:18" s="14" customFormat="1" x14ac:dyDescent="0.25">
      <c r="A1424" s="14" t="str">
        <f>"30105"</f>
        <v>30105</v>
      </c>
      <c r="B1424" s="14" t="str">
        <f>"05050"</f>
        <v>05050</v>
      </c>
      <c r="C1424" s="14" t="str">
        <f>"1930"</f>
        <v>1930</v>
      </c>
      <c r="D1424" s="14" t="str">
        <f>"05050"</f>
        <v>05050</v>
      </c>
      <c r="E1424" s="14" t="s">
        <v>951</v>
      </c>
      <c r="F1424" s="14" t="s">
        <v>563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381</v>
      </c>
      <c r="L1424" s="14" t="s">
        <v>382</v>
      </c>
      <c r="P1424" s="14" t="s">
        <v>31</v>
      </c>
      <c r="Q1424" s="14" t="s">
        <v>25</v>
      </c>
      <c r="R1424" s="14" t="s">
        <v>383</v>
      </c>
    </row>
    <row r="1425" spans="1:18" s="14" customFormat="1" x14ac:dyDescent="0.25">
      <c r="A1425" s="14" t="str">
        <f>"30110"</f>
        <v>30110</v>
      </c>
      <c r="B1425" s="14" t="str">
        <f>"05000"</f>
        <v>05000</v>
      </c>
      <c r="C1425" s="14" t="str">
        <f>"1930"</f>
        <v>1930</v>
      </c>
      <c r="D1425" s="14" t="str">
        <f>""</f>
        <v/>
      </c>
      <c r="E1425" s="14" t="s">
        <v>953</v>
      </c>
      <c r="F1425" s="14" t="s">
        <v>366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47</v>
      </c>
      <c r="L1425" s="14" t="s">
        <v>37</v>
      </c>
      <c r="P1425" s="14" t="s">
        <v>31</v>
      </c>
      <c r="Q1425" s="14" t="s">
        <v>25</v>
      </c>
      <c r="R1425" s="14" t="s">
        <v>367</v>
      </c>
    </row>
    <row r="1426" spans="1:18" s="14" customFormat="1" x14ac:dyDescent="0.25">
      <c r="A1426" s="14" t="str">
        <f>"31010"</f>
        <v>31010</v>
      </c>
      <c r="B1426" s="14" t="str">
        <f>"03140"</f>
        <v>03140</v>
      </c>
      <c r="C1426" s="14" t="str">
        <f>"1921"</f>
        <v>1921</v>
      </c>
      <c r="D1426" s="14" t="str">
        <f>"03140B"</f>
        <v>03140B</v>
      </c>
      <c r="E1426" s="14" t="s">
        <v>954</v>
      </c>
      <c r="F1426" s="14" t="s">
        <v>247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236</v>
      </c>
      <c r="L1426" s="14" t="s">
        <v>237</v>
      </c>
      <c r="M1426" s="14" t="s">
        <v>238</v>
      </c>
      <c r="P1426" s="14" t="s">
        <v>31</v>
      </c>
      <c r="Q1426" s="14" t="s">
        <v>25</v>
      </c>
      <c r="R1426" s="14" t="s">
        <v>1930</v>
      </c>
    </row>
    <row r="1427" spans="1:18" s="14" customFormat="1" x14ac:dyDescent="0.25">
      <c r="A1427" s="14" t="str">
        <f>"31010"</f>
        <v>31010</v>
      </c>
      <c r="B1427" s="14" t="str">
        <f>"05170"</f>
        <v>05170</v>
      </c>
      <c r="C1427" s="14" t="str">
        <f>"1921"</f>
        <v>1921</v>
      </c>
      <c r="D1427" s="14" t="str">
        <f>"05170A"</f>
        <v>05170A</v>
      </c>
      <c r="E1427" s="14" t="s">
        <v>954</v>
      </c>
      <c r="F1427" s="14" t="s">
        <v>954</v>
      </c>
      <c r="G1427" s="14" t="str">
        <f>""</f>
        <v/>
      </c>
      <c r="H1427" s="14" t="str">
        <f>" 10"</f>
        <v xml:space="preserve"> 10</v>
      </c>
      <c r="I1427" s="14">
        <v>0.01</v>
      </c>
      <c r="J1427" s="14">
        <v>500</v>
      </c>
      <c r="K1427" s="14" t="s">
        <v>955</v>
      </c>
      <c r="L1427" s="14" t="s">
        <v>956</v>
      </c>
      <c r="P1427" s="14" t="s">
        <v>31</v>
      </c>
      <c r="Q1427" s="14" t="s">
        <v>25</v>
      </c>
      <c r="R1427" s="14" t="s">
        <v>955</v>
      </c>
    </row>
    <row r="1428" spans="1:18" s="14" customFormat="1" x14ac:dyDescent="0.25">
      <c r="A1428" s="14" t="str">
        <f>"31010"</f>
        <v>31010</v>
      </c>
      <c r="B1428" s="14" t="str">
        <f>"05170"</f>
        <v>05170</v>
      </c>
      <c r="C1428" s="14" t="str">
        <f>"1921"</f>
        <v>1921</v>
      </c>
      <c r="D1428" s="14" t="str">
        <f>"05170A"</f>
        <v>05170A</v>
      </c>
      <c r="E1428" s="14" t="s">
        <v>954</v>
      </c>
      <c r="F1428" s="14" t="s">
        <v>954</v>
      </c>
      <c r="G1428" s="14" t="str">
        <f>""</f>
        <v/>
      </c>
      <c r="H1428" s="14" t="str">
        <f>" 20"</f>
        <v xml:space="preserve"> 20</v>
      </c>
      <c r="I1428" s="14">
        <v>500.01</v>
      </c>
      <c r="J1428" s="14">
        <v>9999999.9900000002</v>
      </c>
      <c r="K1428" s="14" t="s">
        <v>956</v>
      </c>
      <c r="L1428" s="14" t="s">
        <v>957</v>
      </c>
      <c r="M1428" s="14" t="s">
        <v>47</v>
      </c>
      <c r="P1428" s="14" t="s">
        <v>31</v>
      </c>
      <c r="Q1428" s="14" t="s">
        <v>25</v>
      </c>
      <c r="R1428" s="14" t="s">
        <v>955</v>
      </c>
    </row>
    <row r="1429" spans="1:18" s="14" customFormat="1" x14ac:dyDescent="0.25">
      <c r="A1429" s="14" t="str">
        <f>"31010"</f>
        <v>31010</v>
      </c>
      <c r="B1429" s="14" t="str">
        <f>"05175"</f>
        <v>05175</v>
      </c>
      <c r="C1429" s="14" t="str">
        <f>"1921"</f>
        <v>1921</v>
      </c>
      <c r="D1429" s="14" t="str">
        <f>""</f>
        <v/>
      </c>
      <c r="E1429" s="14" t="s">
        <v>954</v>
      </c>
      <c r="F1429" s="14" t="s">
        <v>958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956</v>
      </c>
      <c r="L1429" s="14" t="s">
        <v>957</v>
      </c>
      <c r="M1429" s="14" t="s">
        <v>47</v>
      </c>
      <c r="P1429" s="14" t="s">
        <v>31</v>
      </c>
      <c r="Q1429" s="14" t="s">
        <v>25</v>
      </c>
      <c r="R1429" s="14" t="s">
        <v>955</v>
      </c>
    </row>
    <row r="1430" spans="1:18" s="14" customFormat="1" x14ac:dyDescent="0.25">
      <c r="A1430" s="14" t="str">
        <f>"31010"</f>
        <v>31010</v>
      </c>
      <c r="B1430" s="14" t="str">
        <f>"05190"</f>
        <v>05190</v>
      </c>
      <c r="C1430" s="14" t="str">
        <f>"1921"</f>
        <v>1921</v>
      </c>
      <c r="D1430" s="14" t="str">
        <f>"05190"</f>
        <v>05190</v>
      </c>
      <c r="E1430" s="14" t="s">
        <v>954</v>
      </c>
      <c r="F1430" s="14" t="s">
        <v>959</v>
      </c>
      <c r="G1430" s="14" t="str">
        <f>""</f>
        <v/>
      </c>
      <c r="H1430" s="14" t="str">
        <f>" 10"</f>
        <v xml:space="preserve"> 10</v>
      </c>
      <c r="I1430" s="14">
        <v>0.01</v>
      </c>
      <c r="J1430" s="14">
        <v>500</v>
      </c>
      <c r="K1430" s="14" t="s">
        <v>955</v>
      </c>
      <c r="L1430" s="14" t="s">
        <v>956</v>
      </c>
      <c r="P1430" s="14" t="s">
        <v>31</v>
      </c>
      <c r="Q1430" s="14" t="s">
        <v>25</v>
      </c>
      <c r="R1430" s="14" t="s">
        <v>955</v>
      </c>
    </row>
    <row r="1431" spans="1:18" s="14" customFormat="1" x14ac:dyDescent="0.25">
      <c r="A1431" s="14" t="str">
        <f>"31010"</f>
        <v>31010</v>
      </c>
      <c r="B1431" s="14" t="str">
        <f>"05190"</f>
        <v>05190</v>
      </c>
      <c r="C1431" s="14" t="str">
        <f>"1921"</f>
        <v>1921</v>
      </c>
      <c r="D1431" s="14" t="str">
        <f>"05190"</f>
        <v>05190</v>
      </c>
      <c r="E1431" s="14" t="s">
        <v>954</v>
      </c>
      <c r="F1431" s="14" t="s">
        <v>959</v>
      </c>
      <c r="G1431" s="14" t="str">
        <f>""</f>
        <v/>
      </c>
      <c r="H1431" s="14" t="str">
        <f>" 20"</f>
        <v xml:space="preserve"> 20</v>
      </c>
      <c r="I1431" s="14">
        <v>500.01</v>
      </c>
      <c r="J1431" s="14">
        <v>9999999.9900000002</v>
      </c>
      <c r="K1431" s="14" t="s">
        <v>956</v>
      </c>
      <c r="L1431" s="14" t="s">
        <v>957</v>
      </c>
      <c r="M1431" s="14" t="s">
        <v>47</v>
      </c>
      <c r="P1431" s="14" t="s">
        <v>31</v>
      </c>
      <c r="Q1431" s="14" t="s">
        <v>25</v>
      </c>
      <c r="R1431" s="14" t="s">
        <v>955</v>
      </c>
    </row>
    <row r="1432" spans="1:18" s="14" customFormat="1" x14ac:dyDescent="0.25">
      <c r="A1432" s="14" t="str">
        <f>"31010"</f>
        <v>31010</v>
      </c>
      <c r="B1432" s="14" t="str">
        <f>"05210"</f>
        <v>05210</v>
      </c>
      <c r="C1432" s="14" t="str">
        <f>"1921"</f>
        <v>1921</v>
      </c>
      <c r="D1432" s="14" t="str">
        <f>"05210"</f>
        <v>05210</v>
      </c>
      <c r="E1432" s="14" t="s">
        <v>954</v>
      </c>
      <c r="F1432" s="14" t="s">
        <v>960</v>
      </c>
      <c r="G1432" s="14" t="str">
        <f>""</f>
        <v/>
      </c>
      <c r="H1432" s="14" t="str">
        <f>" 10"</f>
        <v xml:space="preserve"> 10</v>
      </c>
      <c r="I1432" s="14">
        <v>0.01</v>
      </c>
      <c r="J1432" s="14">
        <v>500</v>
      </c>
      <c r="K1432" s="14" t="s">
        <v>955</v>
      </c>
      <c r="L1432" s="14" t="s">
        <v>956</v>
      </c>
      <c r="P1432" s="14" t="s">
        <v>31</v>
      </c>
      <c r="Q1432" s="14" t="s">
        <v>25</v>
      </c>
      <c r="R1432" s="14" t="s">
        <v>955</v>
      </c>
    </row>
    <row r="1433" spans="1:18" s="14" customFormat="1" x14ac:dyDescent="0.25">
      <c r="A1433" s="14" t="str">
        <f>"31010"</f>
        <v>31010</v>
      </c>
      <c r="B1433" s="14" t="str">
        <f>"05210"</f>
        <v>05210</v>
      </c>
      <c r="C1433" s="14" t="str">
        <f>"1921"</f>
        <v>1921</v>
      </c>
      <c r="D1433" s="14" t="str">
        <f>"05210"</f>
        <v>05210</v>
      </c>
      <c r="E1433" s="14" t="s">
        <v>954</v>
      </c>
      <c r="F1433" s="14" t="s">
        <v>960</v>
      </c>
      <c r="G1433" s="14" t="str">
        <f>""</f>
        <v/>
      </c>
      <c r="H1433" s="14" t="str">
        <f>" 20"</f>
        <v xml:space="preserve"> 20</v>
      </c>
      <c r="I1433" s="14">
        <v>500.01</v>
      </c>
      <c r="J1433" s="14">
        <v>9999999.9900000002</v>
      </c>
      <c r="K1433" s="14" t="s">
        <v>956</v>
      </c>
      <c r="L1433" s="14" t="s">
        <v>957</v>
      </c>
      <c r="M1433" s="14" t="s">
        <v>47</v>
      </c>
      <c r="P1433" s="14" t="s">
        <v>31</v>
      </c>
      <c r="Q1433" s="14" t="s">
        <v>25</v>
      </c>
      <c r="R1433" s="14" t="s">
        <v>955</v>
      </c>
    </row>
    <row r="1434" spans="1:18" s="14" customFormat="1" x14ac:dyDescent="0.25">
      <c r="A1434" s="14" t="str">
        <f>"31010"</f>
        <v>31010</v>
      </c>
      <c r="B1434" s="14" t="str">
        <f>"05220"</f>
        <v>05220</v>
      </c>
      <c r="C1434" s="14" t="str">
        <f>"1921"</f>
        <v>1921</v>
      </c>
      <c r="D1434" s="14" t="str">
        <f>"05220"</f>
        <v>05220</v>
      </c>
      <c r="E1434" s="14" t="s">
        <v>954</v>
      </c>
      <c r="F1434" s="14" t="s">
        <v>961</v>
      </c>
      <c r="G1434" s="14" t="str">
        <f>""</f>
        <v/>
      </c>
      <c r="H1434" s="14" t="str">
        <f>" 10"</f>
        <v xml:space="preserve"> 10</v>
      </c>
      <c r="I1434" s="14">
        <v>0.01</v>
      </c>
      <c r="J1434" s="14">
        <v>500</v>
      </c>
      <c r="K1434" s="14" t="s">
        <v>955</v>
      </c>
      <c r="L1434" s="14" t="s">
        <v>956</v>
      </c>
      <c r="P1434" s="14" t="s">
        <v>31</v>
      </c>
      <c r="Q1434" s="14" t="s">
        <v>25</v>
      </c>
      <c r="R1434" s="14" t="s">
        <v>955</v>
      </c>
    </row>
    <row r="1435" spans="1:18" s="14" customFormat="1" x14ac:dyDescent="0.25">
      <c r="A1435" s="14" t="str">
        <f>"31010"</f>
        <v>31010</v>
      </c>
      <c r="B1435" s="14" t="str">
        <f>"05220"</f>
        <v>05220</v>
      </c>
      <c r="C1435" s="14" t="str">
        <f>"1921"</f>
        <v>1921</v>
      </c>
      <c r="D1435" s="14" t="str">
        <f>"05220"</f>
        <v>05220</v>
      </c>
      <c r="E1435" s="14" t="s">
        <v>954</v>
      </c>
      <c r="F1435" s="14" t="s">
        <v>961</v>
      </c>
      <c r="G1435" s="14" t="str">
        <f>""</f>
        <v/>
      </c>
      <c r="H1435" s="14" t="str">
        <f>" 20"</f>
        <v xml:space="preserve"> 20</v>
      </c>
      <c r="I1435" s="14">
        <v>500.01</v>
      </c>
      <c r="J1435" s="14">
        <v>9999999.9900000002</v>
      </c>
      <c r="K1435" s="14" t="s">
        <v>956</v>
      </c>
      <c r="L1435" s="14" t="s">
        <v>957</v>
      </c>
      <c r="M1435" s="14" t="s">
        <v>47</v>
      </c>
      <c r="P1435" s="14" t="s">
        <v>31</v>
      </c>
      <c r="Q1435" s="14" t="s">
        <v>25</v>
      </c>
      <c r="R1435" s="14" t="s">
        <v>955</v>
      </c>
    </row>
    <row r="1436" spans="1:18" s="14" customFormat="1" x14ac:dyDescent="0.25">
      <c r="A1436" s="14" t="str">
        <f>"31015"</f>
        <v>31015</v>
      </c>
      <c r="B1436" s="14" t="str">
        <f>"05170"</f>
        <v>05170</v>
      </c>
      <c r="C1436" s="14" t="str">
        <f>"1921"</f>
        <v>1921</v>
      </c>
      <c r="D1436" s="14" t="str">
        <f>"05170B"</f>
        <v>05170B</v>
      </c>
      <c r="E1436" s="14" t="s">
        <v>962</v>
      </c>
      <c r="F1436" s="14" t="s">
        <v>954</v>
      </c>
      <c r="G1436" s="14" t="str">
        <f>""</f>
        <v/>
      </c>
      <c r="H1436" s="14" t="str">
        <f>" 10"</f>
        <v xml:space="preserve"> 10</v>
      </c>
      <c r="I1436" s="14">
        <v>0.01</v>
      </c>
      <c r="J1436" s="14">
        <v>500</v>
      </c>
      <c r="K1436" s="14" t="s">
        <v>955</v>
      </c>
      <c r="L1436" s="14" t="s">
        <v>956</v>
      </c>
      <c r="P1436" s="14" t="s">
        <v>31</v>
      </c>
      <c r="Q1436" s="14" t="s">
        <v>25</v>
      </c>
      <c r="R1436" s="14" t="s">
        <v>955</v>
      </c>
    </row>
    <row r="1437" spans="1:18" s="14" customFormat="1" x14ac:dyDescent="0.25">
      <c r="A1437" s="14" t="str">
        <f>"31015"</f>
        <v>31015</v>
      </c>
      <c r="B1437" s="14" t="str">
        <f>"05170"</f>
        <v>05170</v>
      </c>
      <c r="C1437" s="14" t="str">
        <f>"1921"</f>
        <v>1921</v>
      </c>
      <c r="D1437" s="14" t="str">
        <f>"05170B"</f>
        <v>05170B</v>
      </c>
      <c r="E1437" s="14" t="s">
        <v>962</v>
      </c>
      <c r="F1437" s="14" t="s">
        <v>954</v>
      </c>
      <c r="G1437" s="14" t="str">
        <f>""</f>
        <v/>
      </c>
      <c r="H1437" s="14" t="str">
        <f>" 20"</f>
        <v xml:space="preserve"> 20</v>
      </c>
      <c r="I1437" s="14">
        <v>500.01</v>
      </c>
      <c r="J1437" s="14">
        <v>9999999.9900000002</v>
      </c>
      <c r="K1437" s="14" t="s">
        <v>956</v>
      </c>
      <c r="L1437" s="14" t="s">
        <v>957</v>
      </c>
      <c r="M1437" s="14" t="s">
        <v>47</v>
      </c>
      <c r="P1437" s="14" t="s">
        <v>31</v>
      </c>
      <c r="Q1437" s="14" t="s">
        <v>25</v>
      </c>
      <c r="R1437" s="14" t="s">
        <v>955</v>
      </c>
    </row>
    <row r="1438" spans="1:18" s="14" customFormat="1" x14ac:dyDescent="0.25">
      <c r="A1438" s="14" t="str">
        <f>"31015"</f>
        <v>31015</v>
      </c>
      <c r="B1438" s="14" t="str">
        <f>"05200"</f>
        <v>05200</v>
      </c>
      <c r="C1438" s="14" t="str">
        <f>"1921"</f>
        <v>1921</v>
      </c>
      <c r="D1438" s="14" t="str">
        <f>"05200"</f>
        <v>05200</v>
      </c>
      <c r="E1438" s="14" t="s">
        <v>962</v>
      </c>
      <c r="F1438" s="14" t="s">
        <v>963</v>
      </c>
      <c r="G1438" s="14" t="str">
        <f>""</f>
        <v/>
      </c>
      <c r="H1438" s="14" t="str">
        <f>" 10"</f>
        <v xml:space="preserve"> 10</v>
      </c>
      <c r="I1438" s="14">
        <v>0.01</v>
      </c>
      <c r="J1438" s="14">
        <v>500</v>
      </c>
      <c r="K1438" s="14" t="s">
        <v>955</v>
      </c>
      <c r="L1438" s="14" t="s">
        <v>956</v>
      </c>
      <c r="P1438" s="14" t="s">
        <v>31</v>
      </c>
      <c r="Q1438" s="14" t="s">
        <v>25</v>
      </c>
      <c r="R1438" s="14" t="s">
        <v>955</v>
      </c>
    </row>
    <row r="1439" spans="1:18" s="14" customFormat="1" x14ac:dyDescent="0.25">
      <c r="A1439" s="14" t="str">
        <f>"31015"</f>
        <v>31015</v>
      </c>
      <c r="B1439" s="14" t="str">
        <f>"05200"</f>
        <v>05200</v>
      </c>
      <c r="C1439" s="14" t="str">
        <f>"1921"</f>
        <v>1921</v>
      </c>
      <c r="D1439" s="14" t="str">
        <f>"05200"</f>
        <v>05200</v>
      </c>
      <c r="E1439" s="14" t="s">
        <v>962</v>
      </c>
      <c r="F1439" s="14" t="s">
        <v>963</v>
      </c>
      <c r="G1439" s="14" t="str">
        <f>""</f>
        <v/>
      </c>
      <c r="H1439" s="14" t="str">
        <f>" 20"</f>
        <v xml:space="preserve"> 20</v>
      </c>
      <c r="I1439" s="14">
        <v>500.01</v>
      </c>
      <c r="J1439" s="14">
        <v>9999999.9900000002</v>
      </c>
      <c r="K1439" s="14" t="s">
        <v>956</v>
      </c>
      <c r="L1439" s="14" t="s">
        <v>957</v>
      </c>
      <c r="M1439" s="14" t="s">
        <v>47</v>
      </c>
      <c r="P1439" s="14" t="s">
        <v>31</v>
      </c>
      <c r="Q1439" s="14" t="s">
        <v>25</v>
      </c>
      <c r="R1439" s="14" t="s">
        <v>955</v>
      </c>
    </row>
    <row r="1440" spans="1:18" s="14" customFormat="1" x14ac:dyDescent="0.25">
      <c r="A1440" s="14" t="str">
        <f>"31049"</f>
        <v>31049</v>
      </c>
      <c r="B1440" s="14" t="str">
        <f>"03170"</f>
        <v>03170</v>
      </c>
      <c r="C1440" s="14" t="str">
        <f>"1921"</f>
        <v>1921</v>
      </c>
      <c r="D1440" s="14" t="str">
        <f>"31049"</f>
        <v>31049</v>
      </c>
      <c r="E1440" s="14" t="s">
        <v>964</v>
      </c>
      <c r="F1440" s="14" t="s">
        <v>251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252</v>
      </c>
      <c r="L1440" s="14" t="s">
        <v>253</v>
      </c>
      <c r="P1440" s="14" t="s">
        <v>31</v>
      </c>
      <c r="Q1440" s="14" t="s">
        <v>25</v>
      </c>
      <c r="R1440" s="14" t="s">
        <v>254</v>
      </c>
    </row>
    <row r="1441" spans="1:18" s="14" customFormat="1" x14ac:dyDescent="0.25">
      <c r="A1441" s="14" t="str">
        <f>"31064"</f>
        <v>31064</v>
      </c>
      <c r="B1441" s="14" t="str">
        <f>"03140"</f>
        <v>03140</v>
      </c>
      <c r="C1441" s="14" t="str">
        <f>"1921"</f>
        <v>1921</v>
      </c>
      <c r="D1441" s="14" t="str">
        <f>"31064"</f>
        <v>31064</v>
      </c>
      <c r="E1441" s="14" t="s">
        <v>965</v>
      </c>
      <c r="F1441" s="14" t="s">
        <v>247</v>
      </c>
      <c r="G1441" s="14" t="str">
        <f>"GN0031064"</f>
        <v>GN0031064</v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236</v>
      </c>
      <c r="L1441" s="14" t="s">
        <v>237</v>
      </c>
      <c r="M1441" s="14" t="s">
        <v>238</v>
      </c>
      <c r="P1441" s="14" t="s">
        <v>31</v>
      </c>
      <c r="Q1441" s="14" t="s">
        <v>25</v>
      </c>
      <c r="R1441" s="14" t="s">
        <v>1930</v>
      </c>
    </row>
    <row r="1442" spans="1:18" s="14" customFormat="1" x14ac:dyDescent="0.25">
      <c r="A1442" s="14" t="str">
        <f>"31065"</f>
        <v>31065</v>
      </c>
      <c r="B1442" s="14" t="str">
        <f>"05170"</f>
        <v>05170</v>
      </c>
      <c r="C1442" s="14" t="str">
        <f>"1921"</f>
        <v>1921</v>
      </c>
      <c r="D1442" s="14" t="str">
        <f>"31065"</f>
        <v>31065</v>
      </c>
      <c r="E1442" s="14" t="s">
        <v>966</v>
      </c>
      <c r="F1442" s="14" t="s">
        <v>954</v>
      </c>
      <c r="G1442" s="14" t="str">
        <f>"GN0031065"</f>
        <v>GN0031065</v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957</v>
      </c>
      <c r="L1442" s="14" t="s">
        <v>956</v>
      </c>
      <c r="M1442" s="14" t="s">
        <v>47</v>
      </c>
      <c r="P1442" s="14" t="s">
        <v>31</v>
      </c>
      <c r="Q1442" s="14" t="s">
        <v>25</v>
      </c>
      <c r="R1442" s="14" t="s">
        <v>955</v>
      </c>
    </row>
    <row r="1443" spans="1:18" s="14" customFormat="1" x14ac:dyDescent="0.25">
      <c r="A1443" s="14" t="str">
        <f>"31105"</f>
        <v>31105</v>
      </c>
      <c r="B1443" s="14" t="str">
        <f>"03000"</f>
        <v>03000</v>
      </c>
      <c r="C1443" s="14" t="str">
        <f>"1930"</f>
        <v>1930</v>
      </c>
      <c r="D1443" s="14" t="str">
        <f>"31105"</f>
        <v>31105</v>
      </c>
      <c r="E1443" s="14" t="s">
        <v>967</v>
      </c>
      <c r="F1443" s="14" t="s">
        <v>217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34</v>
      </c>
      <c r="L1443" s="14" t="s">
        <v>226</v>
      </c>
      <c r="P1443" s="14" t="s">
        <v>31</v>
      </c>
      <c r="Q1443" s="14" t="s">
        <v>25</v>
      </c>
      <c r="R1443" s="14" t="s">
        <v>35</v>
      </c>
    </row>
    <row r="1444" spans="1:18" s="14" customFormat="1" x14ac:dyDescent="0.25">
      <c r="A1444" s="14" t="str">
        <f>"31110"</f>
        <v>31110</v>
      </c>
      <c r="B1444" s="14" t="str">
        <f>"03000"</f>
        <v>03000</v>
      </c>
      <c r="C1444" s="14" t="str">
        <f>"1930"</f>
        <v>1930</v>
      </c>
      <c r="D1444" s="14" t="str">
        <f>"31110"</f>
        <v>31110</v>
      </c>
      <c r="E1444" s="14" t="s">
        <v>968</v>
      </c>
      <c r="F1444" s="14" t="s">
        <v>217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34</v>
      </c>
      <c r="L1444" s="14" t="s">
        <v>226</v>
      </c>
      <c r="P1444" s="14" t="s">
        <v>260</v>
      </c>
      <c r="Q1444" s="14" t="s">
        <v>25</v>
      </c>
      <c r="R1444" s="14" t="s">
        <v>35</v>
      </c>
    </row>
    <row r="1445" spans="1:18" s="14" customFormat="1" x14ac:dyDescent="0.25">
      <c r="A1445" s="14" t="str">
        <f>"31205"</f>
        <v>31205</v>
      </c>
      <c r="B1445" s="14" t="str">
        <f>"03000"</f>
        <v>03000</v>
      </c>
      <c r="C1445" s="14" t="str">
        <f>"1930"</f>
        <v>1930</v>
      </c>
      <c r="D1445" s="14" t="str">
        <f>"31205"</f>
        <v>31205</v>
      </c>
      <c r="E1445" s="14" t="s">
        <v>969</v>
      </c>
      <c r="F1445" s="14" t="s">
        <v>217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34</v>
      </c>
      <c r="P1445" s="14" t="s">
        <v>31</v>
      </c>
      <c r="Q1445" s="14" t="s">
        <v>25</v>
      </c>
      <c r="R1445" s="14" t="s">
        <v>35</v>
      </c>
    </row>
    <row r="1446" spans="1:18" s="14" customFormat="1" x14ac:dyDescent="0.25">
      <c r="A1446" s="14" t="str">
        <f>"31205"</f>
        <v>31205</v>
      </c>
      <c r="B1446" s="14" t="str">
        <f>"03929"</f>
        <v>03929</v>
      </c>
      <c r="C1446" s="14" t="str">
        <f>"1930"</f>
        <v>1930</v>
      </c>
      <c r="D1446" s="14" t="str">
        <f>""</f>
        <v/>
      </c>
      <c r="E1446" s="14" t="s">
        <v>969</v>
      </c>
      <c r="F1446" s="14" t="s">
        <v>970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318</v>
      </c>
      <c r="L1446" s="14" t="s">
        <v>319</v>
      </c>
      <c r="P1446" s="14" t="s">
        <v>260</v>
      </c>
      <c r="Q1446" s="14" t="s">
        <v>25</v>
      </c>
      <c r="R1446" s="14" t="s">
        <v>318</v>
      </c>
    </row>
    <row r="1447" spans="1:18" s="14" customFormat="1" x14ac:dyDescent="0.25">
      <c r="A1447" s="14" t="str">
        <f>"32005"</f>
        <v>32005</v>
      </c>
      <c r="B1447" s="14" t="str">
        <f>"03100"</f>
        <v>03100</v>
      </c>
      <c r="C1447" s="14" t="str">
        <f>"1930"</f>
        <v>1930</v>
      </c>
      <c r="D1447" s="14" t="str">
        <f>"03100"</f>
        <v>03100</v>
      </c>
      <c r="E1447" s="14" t="s">
        <v>971</v>
      </c>
      <c r="F1447" s="14" t="s">
        <v>736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226</v>
      </c>
      <c r="L1447" s="14" t="s">
        <v>228</v>
      </c>
      <c r="P1447" s="14" t="s">
        <v>260</v>
      </c>
      <c r="Q1447" s="14" t="s">
        <v>25</v>
      </c>
      <c r="R1447" s="14" t="s">
        <v>229</v>
      </c>
    </row>
    <row r="1448" spans="1:18" s="14" customFormat="1" x14ac:dyDescent="0.25">
      <c r="A1448" s="14" t="str">
        <f>"32105"</f>
        <v>32105</v>
      </c>
      <c r="B1448" s="14" t="str">
        <f>"02120"</f>
        <v>02120</v>
      </c>
      <c r="C1448" s="14" t="str">
        <f>"1930"</f>
        <v>1930</v>
      </c>
      <c r="D1448" s="14" t="str">
        <f>"02120B"</f>
        <v>02120B</v>
      </c>
      <c r="E1448" s="14" t="s">
        <v>972</v>
      </c>
      <c r="F1448" s="14" t="s">
        <v>209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29</v>
      </c>
      <c r="L1448" s="14" t="s">
        <v>210</v>
      </c>
      <c r="P1448" s="14" t="s">
        <v>31</v>
      </c>
      <c r="Q1448" s="14" t="s">
        <v>25</v>
      </c>
      <c r="R1448" s="14" t="s">
        <v>210</v>
      </c>
    </row>
    <row r="1449" spans="1:18" s="14" customFormat="1" x14ac:dyDescent="0.25">
      <c r="A1449" s="14" t="str">
        <f>"32105"</f>
        <v>32105</v>
      </c>
      <c r="B1449" s="14" t="str">
        <f>"03000"</f>
        <v>03000</v>
      </c>
      <c r="C1449" s="14" t="str">
        <f>"1930"</f>
        <v>1930</v>
      </c>
      <c r="D1449" s="14" t="str">
        <f>"03000B"</f>
        <v>03000B</v>
      </c>
      <c r="E1449" s="14" t="s">
        <v>972</v>
      </c>
      <c r="F1449" s="14" t="s">
        <v>217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34</v>
      </c>
      <c r="L1449" s="14" t="s">
        <v>25</v>
      </c>
      <c r="P1449" s="14" t="s">
        <v>31</v>
      </c>
      <c r="Q1449" s="14" t="s">
        <v>25</v>
      </c>
      <c r="R1449" s="14" t="s">
        <v>35</v>
      </c>
    </row>
    <row r="1450" spans="1:18" s="14" customFormat="1" x14ac:dyDescent="0.25">
      <c r="A1450" s="14" t="str">
        <f>"32115"</f>
        <v>32115</v>
      </c>
      <c r="B1450" s="14" t="str">
        <f>"03000"</f>
        <v>03000</v>
      </c>
      <c r="C1450" s="14" t="str">
        <f>"1930"</f>
        <v>1930</v>
      </c>
      <c r="D1450" s="14" t="str">
        <f>"32115"</f>
        <v>32115</v>
      </c>
      <c r="E1450" s="14" t="s">
        <v>973</v>
      </c>
      <c r="F1450" s="14" t="s">
        <v>217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34</v>
      </c>
      <c r="L1450" s="14" t="s">
        <v>226</v>
      </c>
      <c r="P1450" s="14" t="s">
        <v>31</v>
      </c>
      <c r="Q1450" s="14" t="s">
        <v>25</v>
      </c>
      <c r="R1450" s="14" t="s">
        <v>35</v>
      </c>
    </row>
    <row r="1451" spans="1:18" s="14" customFormat="1" x14ac:dyDescent="0.25">
      <c r="A1451" s="14" t="str">
        <f>"33005"</f>
        <v>33005</v>
      </c>
      <c r="B1451" s="14" t="str">
        <f>"01150"</f>
        <v>01150</v>
      </c>
      <c r="C1451" s="14" t="str">
        <f>"1930"</f>
        <v>1930</v>
      </c>
      <c r="D1451" s="14" t="str">
        <f>"01150A"</f>
        <v>01150A</v>
      </c>
      <c r="E1451" s="14" t="s">
        <v>974</v>
      </c>
      <c r="F1451" s="14" t="s">
        <v>975</v>
      </c>
      <c r="G1451" s="14" t="str">
        <f>""</f>
        <v/>
      </c>
      <c r="H1451" s="14" t="str">
        <f>" 10"</f>
        <v xml:space="preserve"> 10</v>
      </c>
      <c r="I1451" s="14">
        <v>0.01</v>
      </c>
      <c r="J1451" s="14">
        <v>500</v>
      </c>
      <c r="K1451" s="14" t="s">
        <v>727</v>
      </c>
      <c r="L1451" s="14" t="s">
        <v>55</v>
      </c>
      <c r="P1451" s="14" t="s">
        <v>31</v>
      </c>
      <c r="Q1451" s="14" t="s">
        <v>25</v>
      </c>
      <c r="R1451" s="14" t="s">
        <v>727</v>
      </c>
    </row>
    <row r="1452" spans="1:18" s="14" customFormat="1" x14ac:dyDescent="0.25">
      <c r="A1452" s="14" t="str">
        <f>"33005"</f>
        <v>33005</v>
      </c>
      <c r="B1452" s="14" t="str">
        <f>"01150"</f>
        <v>01150</v>
      </c>
      <c r="C1452" s="14" t="str">
        <f>"1930"</f>
        <v>1930</v>
      </c>
      <c r="D1452" s="14" t="str">
        <f>"01150A"</f>
        <v>01150A</v>
      </c>
      <c r="E1452" s="14" t="s">
        <v>974</v>
      </c>
      <c r="F1452" s="14" t="s">
        <v>975</v>
      </c>
      <c r="G1452" s="14" t="str">
        <f>""</f>
        <v/>
      </c>
      <c r="H1452" s="14" t="str">
        <f>" 20"</f>
        <v xml:space="preserve"> 20</v>
      </c>
      <c r="I1452" s="14">
        <v>500.01</v>
      </c>
      <c r="J1452" s="14">
        <v>9999999.9900000002</v>
      </c>
      <c r="K1452" s="14" t="s">
        <v>55</v>
      </c>
      <c r="L1452" s="14" t="s">
        <v>53</v>
      </c>
      <c r="M1452" s="14" t="s">
        <v>726</v>
      </c>
      <c r="P1452" s="14" t="s">
        <v>31</v>
      </c>
      <c r="Q1452" s="14" t="s">
        <v>25</v>
      </c>
      <c r="R1452" s="14" t="s">
        <v>727</v>
      </c>
    </row>
    <row r="1453" spans="1:18" s="14" customFormat="1" x14ac:dyDescent="0.25">
      <c r="A1453" s="14" t="str">
        <f>"33005"</f>
        <v>33005</v>
      </c>
      <c r="B1453" s="14" t="str">
        <f>"01151"</f>
        <v>01151</v>
      </c>
      <c r="C1453" s="14" t="str">
        <f>"1930"</f>
        <v>1930</v>
      </c>
      <c r="D1453" s="14" t="str">
        <f>"01151"</f>
        <v>01151</v>
      </c>
      <c r="E1453" s="14" t="s">
        <v>974</v>
      </c>
      <c r="F1453" s="14" t="s">
        <v>976</v>
      </c>
      <c r="G1453" s="14" t="str">
        <f>""</f>
        <v/>
      </c>
      <c r="H1453" s="14" t="str">
        <f>" 10"</f>
        <v xml:space="preserve"> 10</v>
      </c>
      <c r="I1453" s="14">
        <v>0.01</v>
      </c>
      <c r="J1453" s="14">
        <v>500</v>
      </c>
      <c r="K1453" s="14" t="s">
        <v>727</v>
      </c>
      <c r="L1453" s="14" t="s">
        <v>55</v>
      </c>
      <c r="P1453" s="14" t="s">
        <v>31</v>
      </c>
      <c r="Q1453" s="14" t="s">
        <v>25</v>
      </c>
      <c r="R1453" s="14" t="s">
        <v>727</v>
      </c>
    </row>
    <row r="1454" spans="1:18" s="14" customFormat="1" x14ac:dyDescent="0.25">
      <c r="A1454" s="14" t="str">
        <f>"33005"</f>
        <v>33005</v>
      </c>
      <c r="B1454" s="14" t="str">
        <f>"01151"</f>
        <v>01151</v>
      </c>
      <c r="C1454" s="14" t="str">
        <f>"1930"</f>
        <v>1930</v>
      </c>
      <c r="D1454" s="14" t="str">
        <f>"01151"</f>
        <v>01151</v>
      </c>
      <c r="E1454" s="14" t="s">
        <v>974</v>
      </c>
      <c r="F1454" s="14" t="s">
        <v>976</v>
      </c>
      <c r="G1454" s="14" t="str">
        <f>""</f>
        <v/>
      </c>
      <c r="H1454" s="14" t="str">
        <f>" 20"</f>
        <v xml:space="preserve"> 20</v>
      </c>
      <c r="I1454" s="14">
        <v>500.01</v>
      </c>
      <c r="J1454" s="14">
        <v>9999999.9900000002</v>
      </c>
      <c r="K1454" s="14" t="s">
        <v>55</v>
      </c>
      <c r="L1454" s="14" t="s">
        <v>53</v>
      </c>
      <c r="M1454" s="14" t="s">
        <v>726</v>
      </c>
      <c r="P1454" s="14" t="s">
        <v>31</v>
      </c>
      <c r="Q1454" s="14" t="s">
        <v>25</v>
      </c>
      <c r="R1454" s="14" t="s">
        <v>727</v>
      </c>
    </row>
    <row r="1455" spans="1:18" s="14" customFormat="1" x14ac:dyDescent="0.25">
      <c r="A1455" s="14" t="str">
        <f>"33005"</f>
        <v>33005</v>
      </c>
      <c r="B1455" s="14" t="str">
        <f>"01152"</f>
        <v>01152</v>
      </c>
      <c r="C1455" s="14" t="str">
        <f>"1930"</f>
        <v>1930</v>
      </c>
      <c r="D1455" s="14" t="str">
        <f>"01152"</f>
        <v>01152</v>
      </c>
      <c r="E1455" s="14" t="s">
        <v>974</v>
      </c>
      <c r="F1455" s="14" t="s">
        <v>977</v>
      </c>
      <c r="G1455" s="14" t="str">
        <f>""</f>
        <v/>
      </c>
      <c r="H1455" s="14" t="str">
        <f>" 10"</f>
        <v xml:space="preserve"> 10</v>
      </c>
      <c r="I1455" s="14">
        <v>0.01</v>
      </c>
      <c r="J1455" s="14">
        <v>500</v>
      </c>
      <c r="K1455" s="14" t="s">
        <v>727</v>
      </c>
      <c r="L1455" s="14" t="s">
        <v>55</v>
      </c>
      <c r="P1455" s="14" t="s">
        <v>31</v>
      </c>
      <c r="Q1455" s="14" t="s">
        <v>25</v>
      </c>
      <c r="R1455" s="14" t="s">
        <v>727</v>
      </c>
    </row>
    <row r="1456" spans="1:18" s="14" customFormat="1" x14ac:dyDescent="0.25">
      <c r="A1456" s="14" t="str">
        <f>"33005"</f>
        <v>33005</v>
      </c>
      <c r="B1456" s="14" t="str">
        <f>"01152"</f>
        <v>01152</v>
      </c>
      <c r="C1456" s="14" t="str">
        <f>"1930"</f>
        <v>1930</v>
      </c>
      <c r="D1456" s="14" t="str">
        <f>"01152"</f>
        <v>01152</v>
      </c>
      <c r="E1456" s="14" t="s">
        <v>974</v>
      </c>
      <c r="F1456" s="14" t="s">
        <v>977</v>
      </c>
      <c r="G1456" s="14" t="str">
        <f>""</f>
        <v/>
      </c>
      <c r="H1456" s="14" t="str">
        <f>" 20"</f>
        <v xml:space="preserve"> 20</v>
      </c>
      <c r="I1456" s="14">
        <v>500.01</v>
      </c>
      <c r="J1456" s="14">
        <v>9999999.9900000002</v>
      </c>
      <c r="K1456" s="14" t="s">
        <v>55</v>
      </c>
      <c r="L1456" s="14" t="s">
        <v>53</v>
      </c>
      <c r="M1456" s="14" t="s">
        <v>726</v>
      </c>
      <c r="P1456" s="14" t="s">
        <v>31</v>
      </c>
      <c r="Q1456" s="14" t="s">
        <v>25</v>
      </c>
      <c r="R1456" s="14" t="s">
        <v>727</v>
      </c>
    </row>
    <row r="1457" spans="1:18" s="14" customFormat="1" x14ac:dyDescent="0.25">
      <c r="A1457" s="14" t="str">
        <f>"33005"</f>
        <v>33005</v>
      </c>
      <c r="B1457" s="14" t="str">
        <f>"01154"</f>
        <v>01154</v>
      </c>
      <c r="C1457" s="14" t="str">
        <f>"1930"</f>
        <v>1930</v>
      </c>
      <c r="D1457" s="14" t="str">
        <f>"01154"</f>
        <v>01154</v>
      </c>
      <c r="E1457" s="14" t="s">
        <v>974</v>
      </c>
      <c r="F1457" s="14" t="s">
        <v>978</v>
      </c>
      <c r="G1457" s="14" t="str">
        <f>""</f>
        <v/>
      </c>
      <c r="H1457" s="14" t="str">
        <f>" 10"</f>
        <v xml:space="preserve"> 10</v>
      </c>
      <c r="I1457" s="14">
        <v>0.01</v>
      </c>
      <c r="J1457" s="14">
        <v>500</v>
      </c>
      <c r="K1457" s="14" t="s">
        <v>727</v>
      </c>
      <c r="L1457" s="14" t="s">
        <v>55</v>
      </c>
      <c r="P1457" s="14" t="s">
        <v>31</v>
      </c>
      <c r="Q1457" s="14" t="s">
        <v>25</v>
      </c>
      <c r="R1457" s="14" t="s">
        <v>727</v>
      </c>
    </row>
    <row r="1458" spans="1:18" s="14" customFormat="1" x14ac:dyDescent="0.25">
      <c r="A1458" s="14" t="str">
        <f>"33005"</f>
        <v>33005</v>
      </c>
      <c r="B1458" s="14" t="str">
        <f>"01154"</f>
        <v>01154</v>
      </c>
      <c r="C1458" s="14" t="str">
        <f>"1930"</f>
        <v>1930</v>
      </c>
      <c r="D1458" s="14" t="str">
        <f>"01154"</f>
        <v>01154</v>
      </c>
      <c r="E1458" s="14" t="s">
        <v>974</v>
      </c>
      <c r="F1458" s="14" t="s">
        <v>978</v>
      </c>
      <c r="G1458" s="14" t="str">
        <f>""</f>
        <v/>
      </c>
      <c r="H1458" s="14" t="str">
        <f>" 20"</f>
        <v xml:space="preserve"> 20</v>
      </c>
      <c r="I1458" s="14">
        <v>500.01</v>
      </c>
      <c r="J1458" s="14">
        <v>9999999.9900000002</v>
      </c>
      <c r="K1458" s="14" t="s">
        <v>55</v>
      </c>
      <c r="L1458" s="14" t="s">
        <v>53</v>
      </c>
      <c r="M1458" s="14" t="s">
        <v>726</v>
      </c>
      <c r="P1458" s="14" t="s">
        <v>31</v>
      </c>
      <c r="Q1458" s="14" t="s">
        <v>25</v>
      </c>
      <c r="R1458" s="14" t="s">
        <v>727</v>
      </c>
    </row>
    <row r="1459" spans="1:18" s="14" customFormat="1" x14ac:dyDescent="0.25">
      <c r="A1459" s="14" t="str">
        <f>"33010"</f>
        <v>33010</v>
      </c>
      <c r="B1459" s="14" t="str">
        <f>"01150"</f>
        <v>01150</v>
      </c>
      <c r="C1459" s="14" t="str">
        <f>"1930"</f>
        <v>1930</v>
      </c>
      <c r="D1459" s="14" t="str">
        <f>"01150B"</f>
        <v>01150B</v>
      </c>
      <c r="E1459" s="14" t="s">
        <v>979</v>
      </c>
      <c r="F1459" s="14" t="s">
        <v>975</v>
      </c>
      <c r="G1459" s="14" t="str">
        <f>""</f>
        <v/>
      </c>
      <c r="H1459" s="14" t="str">
        <f>" 10"</f>
        <v xml:space="preserve"> 10</v>
      </c>
      <c r="I1459" s="14">
        <v>0.01</v>
      </c>
      <c r="J1459" s="14">
        <v>500</v>
      </c>
      <c r="K1459" s="14" t="s">
        <v>727</v>
      </c>
      <c r="L1459" s="14" t="s">
        <v>55</v>
      </c>
      <c r="P1459" s="14" t="s">
        <v>31</v>
      </c>
      <c r="Q1459" s="14" t="s">
        <v>25</v>
      </c>
      <c r="R1459" s="14" t="s">
        <v>727</v>
      </c>
    </row>
    <row r="1460" spans="1:18" s="14" customFormat="1" x14ac:dyDescent="0.25">
      <c r="A1460" s="14" t="str">
        <f>"33010"</f>
        <v>33010</v>
      </c>
      <c r="B1460" s="14" t="str">
        <f>"01150"</f>
        <v>01150</v>
      </c>
      <c r="C1460" s="14" t="str">
        <f>"1930"</f>
        <v>1930</v>
      </c>
      <c r="D1460" s="14" t="str">
        <f>"01150B"</f>
        <v>01150B</v>
      </c>
      <c r="E1460" s="14" t="s">
        <v>979</v>
      </c>
      <c r="F1460" s="14" t="s">
        <v>975</v>
      </c>
      <c r="G1460" s="14" t="str">
        <f>""</f>
        <v/>
      </c>
      <c r="H1460" s="14" t="str">
        <f>" 20"</f>
        <v xml:space="preserve"> 20</v>
      </c>
      <c r="I1460" s="14">
        <v>500.01</v>
      </c>
      <c r="J1460" s="14">
        <v>9999999.9900000002</v>
      </c>
      <c r="K1460" s="14" t="s">
        <v>55</v>
      </c>
      <c r="L1460" s="14" t="s">
        <v>53</v>
      </c>
      <c r="M1460" s="14" t="s">
        <v>726</v>
      </c>
      <c r="P1460" s="14" t="s">
        <v>31</v>
      </c>
      <c r="Q1460" s="14" t="s">
        <v>25</v>
      </c>
      <c r="R1460" s="14" t="s">
        <v>727</v>
      </c>
    </row>
    <row r="1461" spans="1:18" s="14" customFormat="1" x14ac:dyDescent="0.25">
      <c r="A1461" s="14" t="str">
        <f>"33105"</f>
        <v>33105</v>
      </c>
      <c r="B1461" s="14" t="str">
        <f>"01100"</f>
        <v>01100</v>
      </c>
      <c r="C1461" s="14" t="str">
        <f>"1930"</f>
        <v>1930</v>
      </c>
      <c r="D1461" s="14" t="str">
        <f>"01100"</f>
        <v>01100</v>
      </c>
      <c r="E1461" s="14" t="s">
        <v>725</v>
      </c>
      <c r="F1461" s="14" t="s">
        <v>725</v>
      </c>
      <c r="G1461" s="14" t="str">
        <f>""</f>
        <v/>
      </c>
      <c r="H1461" s="14" t="str">
        <f>" 10"</f>
        <v xml:space="preserve"> 10</v>
      </c>
      <c r="I1461" s="14">
        <v>0.01</v>
      </c>
      <c r="J1461" s="14">
        <v>500</v>
      </c>
      <c r="K1461" s="14" t="s">
        <v>727</v>
      </c>
      <c r="L1461" s="14" t="s">
        <v>55</v>
      </c>
      <c r="P1461" s="14" t="s">
        <v>31</v>
      </c>
      <c r="Q1461" s="14" t="s">
        <v>25</v>
      </c>
      <c r="R1461" s="14" t="s">
        <v>727</v>
      </c>
    </row>
    <row r="1462" spans="1:18" s="14" customFormat="1" x14ac:dyDescent="0.25">
      <c r="A1462" s="14" t="str">
        <f>"33105"</f>
        <v>33105</v>
      </c>
      <c r="B1462" s="14" t="str">
        <f>"01100"</f>
        <v>01100</v>
      </c>
      <c r="C1462" s="14" t="str">
        <f>"1930"</f>
        <v>1930</v>
      </c>
      <c r="D1462" s="14" t="str">
        <f>"01100"</f>
        <v>01100</v>
      </c>
      <c r="E1462" s="14" t="s">
        <v>725</v>
      </c>
      <c r="F1462" s="14" t="s">
        <v>725</v>
      </c>
      <c r="G1462" s="14" t="str">
        <f>""</f>
        <v/>
      </c>
      <c r="H1462" s="14" t="str">
        <f>" 20"</f>
        <v xml:space="preserve"> 20</v>
      </c>
      <c r="I1462" s="14">
        <v>500.01</v>
      </c>
      <c r="J1462" s="14">
        <v>9999999.9900000002</v>
      </c>
      <c r="K1462" s="14" t="s">
        <v>55</v>
      </c>
      <c r="L1462" s="14" t="s">
        <v>53</v>
      </c>
      <c r="M1462" s="14" t="s">
        <v>726</v>
      </c>
      <c r="P1462" s="14" t="s">
        <v>31</v>
      </c>
      <c r="Q1462" s="14" t="s">
        <v>25</v>
      </c>
      <c r="R1462" s="14" t="s">
        <v>727</v>
      </c>
    </row>
    <row r="1463" spans="1:18" s="14" customFormat="1" x14ac:dyDescent="0.25">
      <c r="A1463" s="14" t="str">
        <f>"33105"</f>
        <v>33105</v>
      </c>
      <c r="B1463" s="14" t="str">
        <f>"01110"</f>
        <v>01110</v>
      </c>
      <c r="C1463" s="14" t="str">
        <f>"1930"</f>
        <v>1930</v>
      </c>
      <c r="D1463" s="14" t="str">
        <f>"01110"</f>
        <v>01110</v>
      </c>
      <c r="E1463" s="14" t="s">
        <v>725</v>
      </c>
      <c r="F1463" s="14" t="s">
        <v>905</v>
      </c>
      <c r="G1463" s="14" t="str">
        <f>""</f>
        <v/>
      </c>
      <c r="H1463" s="14" t="str">
        <f>" 10"</f>
        <v xml:space="preserve"> 10</v>
      </c>
      <c r="I1463" s="14">
        <v>0.01</v>
      </c>
      <c r="J1463" s="14">
        <v>500</v>
      </c>
      <c r="K1463" s="14" t="s">
        <v>727</v>
      </c>
      <c r="L1463" s="14" t="s">
        <v>906</v>
      </c>
      <c r="M1463" s="14" t="s">
        <v>55</v>
      </c>
      <c r="P1463" s="14" t="s">
        <v>31</v>
      </c>
      <c r="Q1463" s="14" t="s">
        <v>25</v>
      </c>
      <c r="R1463" s="14" t="s">
        <v>727</v>
      </c>
    </row>
    <row r="1464" spans="1:18" s="14" customFormat="1" x14ac:dyDescent="0.25">
      <c r="A1464" s="14" t="str">
        <f>"33105"</f>
        <v>33105</v>
      </c>
      <c r="B1464" s="14" t="str">
        <f>"01110"</f>
        <v>01110</v>
      </c>
      <c r="C1464" s="14" t="str">
        <f>"1930"</f>
        <v>1930</v>
      </c>
      <c r="D1464" s="14" t="str">
        <f>"01110"</f>
        <v>01110</v>
      </c>
      <c r="E1464" s="14" t="s">
        <v>725</v>
      </c>
      <c r="F1464" s="14" t="s">
        <v>905</v>
      </c>
      <c r="G1464" s="14" t="str">
        <f>""</f>
        <v/>
      </c>
      <c r="H1464" s="14" t="str">
        <f>" 20"</f>
        <v xml:space="preserve"> 20</v>
      </c>
      <c r="I1464" s="14">
        <v>500.01</v>
      </c>
      <c r="J1464" s="14">
        <v>9999999.9900000002</v>
      </c>
      <c r="K1464" s="14" t="s">
        <v>906</v>
      </c>
      <c r="L1464" s="14" t="s">
        <v>55</v>
      </c>
      <c r="M1464" s="14" t="s">
        <v>53</v>
      </c>
      <c r="P1464" s="14" t="s">
        <v>31</v>
      </c>
      <c r="Q1464" s="14" t="s">
        <v>25</v>
      </c>
      <c r="R1464" s="14" t="s">
        <v>727</v>
      </c>
    </row>
    <row r="1465" spans="1:18" s="14" customFormat="1" x14ac:dyDescent="0.25">
      <c r="A1465" s="14" t="str">
        <f>"33110"</f>
        <v>33110</v>
      </c>
      <c r="B1465" s="14" t="str">
        <f>"03140"</f>
        <v>03140</v>
      </c>
      <c r="C1465" s="14" t="str">
        <f>"1930"</f>
        <v>1930</v>
      </c>
      <c r="D1465" s="14" t="str">
        <f>"33110"</f>
        <v>33110</v>
      </c>
      <c r="E1465" s="14" t="s">
        <v>980</v>
      </c>
      <c r="F1465" s="14" t="s">
        <v>247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236</v>
      </c>
      <c r="L1465" s="14" t="s">
        <v>237</v>
      </c>
      <c r="M1465" s="14" t="s">
        <v>238</v>
      </c>
      <c r="P1465" s="14" t="s">
        <v>31</v>
      </c>
      <c r="Q1465" s="14" t="s">
        <v>25</v>
      </c>
      <c r="R1465" s="14" t="s">
        <v>1930</v>
      </c>
    </row>
    <row r="1466" spans="1:18" s="14" customFormat="1" x14ac:dyDescent="0.25">
      <c r="A1466" s="14" t="str">
        <f>"34001"</f>
        <v>34001</v>
      </c>
      <c r="B1466" s="14" t="str">
        <f>"01450"</f>
        <v>01450</v>
      </c>
      <c r="C1466" s="14" t="str">
        <f>"1300"</f>
        <v>1300</v>
      </c>
      <c r="D1466" s="14" t="str">
        <f>"34001"</f>
        <v>34001</v>
      </c>
      <c r="E1466" s="14" t="s">
        <v>981</v>
      </c>
      <c r="F1466" s="14" t="s">
        <v>126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69</v>
      </c>
      <c r="L1466" s="14" t="s">
        <v>70</v>
      </c>
      <c r="M1466" s="14" t="s">
        <v>71</v>
      </c>
      <c r="P1466" s="14" t="s">
        <v>31</v>
      </c>
      <c r="Q1466" s="14" t="s">
        <v>25</v>
      </c>
      <c r="R1466" s="14" t="s">
        <v>72</v>
      </c>
    </row>
    <row r="1467" spans="1:18" s="14" customFormat="1" x14ac:dyDescent="0.25">
      <c r="A1467" s="14" t="str">
        <f>"34205"</f>
        <v>34205</v>
      </c>
      <c r="B1467" s="14" t="str">
        <f>"01450"</f>
        <v>01450</v>
      </c>
      <c r="C1467" s="14" t="str">
        <f>"1300"</f>
        <v>1300</v>
      </c>
      <c r="D1467" s="14" t="str">
        <f>"34205"</f>
        <v>34205</v>
      </c>
      <c r="E1467" s="14" t="s">
        <v>982</v>
      </c>
      <c r="F1467" s="14" t="s">
        <v>126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69</v>
      </c>
      <c r="L1467" s="14" t="s">
        <v>70</v>
      </c>
      <c r="M1467" s="14" t="s">
        <v>71</v>
      </c>
      <c r="P1467" s="14" t="s">
        <v>31</v>
      </c>
      <c r="Q1467" s="14" t="s">
        <v>25</v>
      </c>
      <c r="R1467" s="14" t="s">
        <v>72</v>
      </c>
    </row>
    <row r="1468" spans="1:18" s="14" customFormat="1" x14ac:dyDescent="0.25">
      <c r="A1468" s="14" t="str">
        <f>"35010"</f>
        <v>35010</v>
      </c>
      <c r="B1468" s="14" t="str">
        <f>"03140"</f>
        <v>03140</v>
      </c>
      <c r="C1468" s="14" t="str">
        <f>"1930"</f>
        <v>1930</v>
      </c>
      <c r="D1468" s="14" t="str">
        <f>"35010"</f>
        <v>35010</v>
      </c>
      <c r="E1468" s="14" t="s">
        <v>983</v>
      </c>
      <c r="F1468" s="14" t="s">
        <v>247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236</v>
      </c>
      <c r="L1468" s="14" t="s">
        <v>237</v>
      </c>
      <c r="M1468" s="14" t="s">
        <v>238</v>
      </c>
      <c r="P1468" s="14" t="s">
        <v>239</v>
      </c>
      <c r="Q1468" s="14" t="s">
        <v>25</v>
      </c>
      <c r="R1468" s="14" t="s">
        <v>1930</v>
      </c>
    </row>
    <row r="1469" spans="1:18" s="14" customFormat="1" x14ac:dyDescent="0.25">
      <c r="A1469" s="14" t="str">
        <f>"35015"</f>
        <v>35015</v>
      </c>
      <c r="B1469" s="14" t="str">
        <f>"02120"</f>
        <v>02120</v>
      </c>
      <c r="C1469" s="14" t="str">
        <f>"1930"</f>
        <v>1930</v>
      </c>
      <c r="D1469" s="14" t="str">
        <f>"35015"</f>
        <v>35015</v>
      </c>
      <c r="E1469" s="14" t="s">
        <v>984</v>
      </c>
      <c r="F1469" s="14" t="s">
        <v>209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29</v>
      </c>
      <c r="L1469" s="14" t="s">
        <v>210</v>
      </c>
      <c r="P1469" s="14" t="s">
        <v>31</v>
      </c>
      <c r="Q1469" s="14" t="s">
        <v>25</v>
      </c>
      <c r="R1469" s="14" t="s">
        <v>210</v>
      </c>
    </row>
    <row r="1470" spans="1:18" s="14" customFormat="1" x14ac:dyDescent="0.25">
      <c r="A1470" s="14" t="str">
        <f>"35020"</f>
        <v>35020</v>
      </c>
      <c r="B1470" s="14" t="str">
        <f>"02120"</f>
        <v>02120</v>
      </c>
      <c r="C1470" s="14" t="str">
        <f>"1930"</f>
        <v>1930</v>
      </c>
      <c r="D1470" s="14" t="str">
        <f>"35020"</f>
        <v>35020</v>
      </c>
      <c r="E1470" s="14" t="s">
        <v>985</v>
      </c>
      <c r="F1470" s="14" t="s">
        <v>209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29</v>
      </c>
      <c r="L1470" s="14" t="s">
        <v>210</v>
      </c>
      <c r="P1470" s="14" t="s">
        <v>31</v>
      </c>
      <c r="Q1470" s="14" t="s">
        <v>25</v>
      </c>
      <c r="R1470" s="14" t="s">
        <v>210</v>
      </c>
    </row>
    <row r="1471" spans="1:18" s="14" customFormat="1" x14ac:dyDescent="0.25">
      <c r="A1471" s="14" t="str">
        <f>"35021"</f>
        <v>35021</v>
      </c>
      <c r="B1471" s="14" t="str">
        <f>"06020"</f>
        <v>06020</v>
      </c>
      <c r="C1471" s="14" t="str">
        <f>"1930"</f>
        <v>1930</v>
      </c>
      <c r="D1471" s="14" t="str">
        <f>"35021"</f>
        <v>35021</v>
      </c>
      <c r="E1471" s="14" t="s">
        <v>986</v>
      </c>
      <c r="F1471" s="14" t="s">
        <v>417</v>
      </c>
      <c r="G1471" s="14" t="str">
        <f>""</f>
        <v/>
      </c>
      <c r="H1471" s="14" t="str">
        <f>" 10"</f>
        <v xml:space="preserve"> 10</v>
      </c>
      <c r="I1471" s="14">
        <v>0.01</v>
      </c>
      <c r="J1471" s="14">
        <v>500</v>
      </c>
      <c r="K1471" s="14" t="s">
        <v>410</v>
      </c>
      <c r="L1471" s="14" t="s">
        <v>411</v>
      </c>
      <c r="M1471" s="14" t="s">
        <v>412</v>
      </c>
      <c r="N1471" s="14" t="s">
        <v>413</v>
      </c>
      <c r="P1471" s="14" t="s">
        <v>39</v>
      </c>
      <c r="Q1471" s="14" t="s">
        <v>25</v>
      </c>
      <c r="R1471" s="14" t="s">
        <v>410</v>
      </c>
    </row>
    <row r="1472" spans="1:18" s="14" customFormat="1" x14ac:dyDescent="0.25">
      <c r="A1472" s="14" t="str">
        <f>"35021"</f>
        <v>35021</v>
      </c>
      <c r="B1472" s="14" t="str">
        <f>"06020"</f>
        <v>06020</v>
      </c>
      <c r="C1472" s="14" t="str">
        <f>"1930"</f>
        <v>1930</v>
      </c>
      <c r="D1472" s="14" t="str">
        <f>"35021"</f>
        <v>35021</v>
      </c>
      <c r="E1472" s="14" t="s">
        <v>986</v>
      </c>
      <c r="F1472" s="14" t="s">
        <v>417</v>
      </c>
      <c r="G1472" s="14" t="str">
        <f>""</f>
        <v/>
      </c>
      <c r="H1472" s="14" t="str">
        <f>" 20"</f>
        <v xml:space="preserve"> 20</v>
      </c>
      <c r="I1472" s="14">
        <v>500.01</v>
      </c>
      <c r="J1472" s="14">
        <v>9999999.9900000002</v>
      </c>
      <c r="K1472" s="14" t="s">
        <v>414</v>
      </c>
      <c r="L1472" s="14" t="s">
        <v>411</v>
      </c>
      <c r="M1472" s="14" t="s">
        <v>412</v>
      </c>
      <c r="N1472" s="14" t="s">
        <v>418</v>
      </c>
      <c r="P1472" s="14" t="s">
        <v>39</v>
      </c>
      <c r="Q1472" s="14" t="s">
        <v>25</v>
      </c>
      <c r="R1472" s="14" t="s">
        <v>410</v>
      </c>
    </row>
    <row r="1473" spans="1:18" s="14" customFormat="1" x14ac:dyDescent="0.25">
      <c r="A1473" s="14" t="str">
        <f>"35025"</f>
        <v>35025</v>
      </c>
      <c r="B1473" s="14" t="str">
        <f>"01100"</f>
        <v>01100</v>
      </c>
      <c r="C1473" s="14" t="str">
        <f>"1930"</f>
        <v>1930</v>
      </c>
      <c r="D1473" s="14" t="str">
        <f>"35025"</f>
        <v>35025</v>
      </c>
      <c r="E1473" s="14" t="s">
        <v>987</v>
      </c>
      <c r="F1473" s="14" t="s">
        <v>725</v>
      </c>
      <c r="G1473" s="14" t="str">
        <f>""</f>
        <v/>
      </c>
      <c r="H1473" s="14" t="str">
        <f>" 10"</f>
        <v xml:space="preserve"> 10</v>
      </c>
      <c r="I1473" s="14">
        <v>0.01</v>
      </c>
      <c r="J1473" s="14">
        <v>500</v>
      </c>
      <c r="K1473" s="14" t="s">
        <v>727</v>
      </c>
      <c r="L1473" s="14" t="s">
        <v>55</v>
      </c>
      <c r="P1473" s="14" t="s">
        <v>31</v>
      </c>
      <c r="Q1473" s="14" t="s">
        <v>25</v>
      </c>
      <c r="R1473" s="14" t="s">
        <v>727</v>
      </c>
    </row>
    <row r="1474" spans="1:18" s="14" customFormat="1" x14ac:dyDescent="0.25">
      <c r="A1474" s="14" t="str">
        <f>"35025"</f>
        <v>35025</v>
      </c>
      <c r="B1474" s="14" t="str">
        <f>"01100"</f>
        <v>01100</v>
      </c>
      <c r="C1474" s="14" t="str">
        <f>"1930"</f>
        <v>1930</v>
      </c>
      <c r="D1474" s="14" t="str">
        <f>"35025"</f>
        <v>35025</v>
      </c>
      <c r="E1474" s="14" t="s">
        <v>987</v>
      </c>
      <c r="F1474" s="14" t="s">
        <v>725</v>
      </c>
      <c r="G1474" s="14" t="str">
        <f>""</f>
        <v/>
      </c>
      <c r="H1474" s="14" t="str">
        <f>" 20"</f>
        <v xml:space="preserve"> 20</v>
      </c>
      <c r="I1474" s="14">
        <v>500.01</v>
      </c>
      <c r="J1474" s="14">
        <v>9999999.9900000002</v>
      </c>
      <c r="K1474" s="14" t="s">
        <v>55</v>
      </c>
      <c r="L1474" s="14" t="s">
        <v>53</v>
      </c>
      <c r="M1474" s="14" t="s">
        <v>726</v>
      </c>
      <c r="P1474" s="14" t="s">
        <v>31</v>
      </c>
      <c r="Q1474" s="14" t="s">
        <v>25</v>
      </c>
      <c r="R1474" s="14" t="s">
        <v>727</v>
      </c>
    </row>
    <row r="1475" spans="1:18" s="14" customFormat="1" x14ac:dyDescent="0.25">
      <c r="A1475" s="14" t="str">
        <f>"35105"</f>
        <v>35105</v>
      </c>
      <c r="B1475" s="14" t="str">
        <f>"03140"</f>
        <v>03140</v>
      </c>
      <c r="C1475" s="14" t="str">
        <f>"1930"</f>
        <v>1930</v>
      </c>
      <c r="D1475" s="14" t="str">
        <f>"35105"</f>
        <v>35105</v>
      </c>
      <c r="E1475" s="14" t="s">
        <v>988</v>
      </c>
      <c r="F1475" s="14" t="s">
        <v>247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236</v>
      </c>
      <c r="L1475" s="14" t="s">
        <v>237</v>
      </c>
      <c r="M1475" s="14" t="s">
        <v>238</v>
      </c>
      <c r="P1475" s="14" t="s">
        <v>239</v>
      </c>
      <c r="Q1475" s="14" t="s">
        <v>25</v>
      </c>
      <c r="R1475" s="14" t="s">
        <v>1930</v>
      </c>
    </row>
    <row r="1476" spans="1:18" s="14" customFormat="1" x14ac:dyDescent="0.25">
      <c r="A1476" s="14" t="str">
        <f>"35115"</f>
        <v>35115</v>
      </c>
      <c r="B1476" s="14" t="str">
        <f>"03000"</f>
        <v>03000</v>
      </c>
      <c r="C1476" s="14" t="str">
        <f>"1930"</f>
        <v>1930</v>
      </c>
      <c r="D1476" s="14" t="str">
        <f>"35115"</f>
        <v>35115</v>
      </c>
      <c r="E1476" s="14" t="s">
        <v>989</v>
      </c>
      <c r="F1476" s="14" t="s">
        <v>217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34</v>
      </c>
      <c r="P1476" s="14" t="s">
        <v>31</v>
      </c>
      <c r="Q1476" s="14" t="s">
        <v>25</v>
      </c>
      <c r="R1476" s="14" t="s">
        <v>35</v>
      </c>
    </row>
    <row r="1477" spans="1:18" s="14" customFormat="1" x14ac:dyDescent="0.25">
      <c r="A1477" s="14" t="str">
        <f>"35135"</f>
        <v>35135</v>
      </c>
      <c r="B1477" s="14" t="str">
        <f>"03140"</f>
        <v>03140</v>
      </c>
      <c r="C1477" s="14" t="str">
        <f>"1930"</f>
        <v>1930</v>
      </c>
      <c r="D1477" s="14" t="str">
        <f>"35135"</f>
        <v>35135</v>
      </c>
      <c r="E1477" s="14" t="s">
        <v>990</v>
      </c>
      <c r="F1477" s="14" t="s">
        <v>247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236</v>
      </c>
      <c r="L1477" s="14" t="s">
        <v>237</v>
      </c>
      <c r="M1477" s="14" t="s">
        <v>238</v>
      </c>
      <c r="P1477" s="14" t="s">
        <v>239</v>
      </c>
      <c r="Q1477" s="14" t="s">
        <v>25</v>
      </c>
      <c r="R1477" s="14" t="s">
        <v>1930</v>
      </c>
    </row>
    <row r="1478" spans="1:18" s="14" customFormat="1" x14ac:dyDescent="0.25">
      <c r="A1478" s="14" t="str">
        <f>"35234"</f>
        <v>35234</v>
      </c>
      <c r="B1478" s="14" t="str">
        <f>"01900"</f>
        <v>01900</v>
      </c>
      <c r="C1478" s="14" t="str">
        <f>"1930"</f>
        <v>1930</v>
      </c>
      <c r="D1478" s="14" t="str">
        <f>"35234"</f>
        <v>35234</v>
      </c>
      <c r="E1478" s="14" t="s">
        <v>991</v>
      </c>
      <c r="F1478" s="14" t="s">
        <v>992</v>
      </c>
      <c r="G1478" s="14" t="str">
        <f>"GN0035234"</f>
        <v>GN0035234</v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112</v>
      </c>
      <c r="L1478" s="14" t="s">
        <v>113</v>
      </c>
      <c r="M1478" s="14" t="s">
        <v>114</v>
      </c>
      <c r="N1478" s="14" t="s">
        <v>993</v>
      </c>
      <c r="O1478" s="14" t="s">
        <v>112</v>
      </c>
      <c r="P1478" s="14" t="s">
        <v>31</v>
      </c>
      <c r="Q1478" s="14" t="s">
        <v>25</v>
      </c>
      <c r="R1478" s="14" t="s">
        <v>115</v>
      </c>
    </row>
    <row r="1479" spans="1:18" s="14" customFormat="1" x14ac:dyDescent="0.25">
      <c r="A1479" s="14" t="str">
        <f>"84028"</f>
        <v>84028</v>
      </c>
      <c r="B1479" s="14" t="str">
        <f>"07020"</f>
        <v>07020</v>
      </c>
      <c r="C1479" s="14" t="str">
        <f>"1700"</f>
        <v>1700</v>
      </c>
      <c r="D1479" s="14" t="str">
        <f>"84028"</f>
        <v>84028</v>
      </c>
      <c r="E1479" s="14" t="s">
        <v>1569</v>
      </c>
      <c r="F1479" s="14" t="s">
        <v>1532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1570</v>
      </c>
      <c r="L1479" s="14" t="s">
        <v>392</v>
      </c>
      <c r="P1479" s="14" t="s">
        <v>31</v>
      </c>
      <c r="Q1479" s="14" t="s">
        <v>25</v>
      </c>
      <c r="R1479" s="14" t="s">
        <v>392</v>
      </c>
    </row>
    <row r="1480" spans="1:18" s="14" customFormat="1" x14ac:dyDescent="0.25">
      <c r="A1480" s="14" t="str">
        <f>"84209"</f>
        <v>84209</v>
      </c>
      <c r="B1480" s="14" t="str">
        <f>"07020"</f>
        <v>07020</v>
      </c>
      <c r="C1480" s="14" t="str">
        <f>"1700"</f>
        <v>1700</v>
      </c>
      <c r="D1480" s="14" t="str">
        <f>"84209"</f>
        <v>84209</v>
      </c>
      <c r="E1480" s="14" t="s">
        <v>1714</v>
      </c>
      <c r="F1480" s="14" t="s">
        <v>1532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388</v>
      </c>
      <c r="L1480" s="14" t="s">
        <v>387</v>
      </c>
      <c r="M1480" s="14" t="s">
        <v>392</v>
      </c>
      <c r="N1480" s="14" t="s">
        <v>386</v>
      </c>
      <c r="P1480" s="14" t="s">
        <v>31</v>
      </c>
      <c r="Q1480" s="14" t="s">
        <v>25</v>
      </c>
      <c r="R1480" s="14" t="s">
        <v>388</v>
      </c>
    </row>
    <row r="1481" spans="1:18" s="14" customFormat="1" x14ac:dyDescent="0.25">
      <c r="A1481" s="14" t="str">
        <f>"84249"</f>
        <v>84249</v>
      </c>
      <c r="B1481" s="14" t="str">
        <f>"07020"</f>
        <v>07020</v>
      </c>
      <c r="C1481" s="14" t="str">
        <f>"1700"</f>
        <v>1700</v>
      </c>
      <c r="D1481" s="14" t="str">
        <f>"84249"</f>
        <v>84249</v>
      </c>
      <c r="E1481" s="14" t="s">
        <v>1767</v>
      </c>
      <c r="F1481" s="14" t="s">
        <v>1532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762</v>
      </c>
      <c r="L1481" s="14" t="s">
        <v>392</v>
      </c>
      <c r="P1481" s="14" t="s">
        <v>31</v>
      </c>
      <c r="Q1481" s="14" t="s">
        <v>25</v>
      </c>
      <c r="R1481" s="14" t="s">
        <v>762</v>
      </c>
    </row>
    <row r="1482" spans="1:18" s="14" customFormat="1" x14ac:dyDescent="0.25">
      <c r="A1482" s="14" t="str">
        <f>"84250"</f>
        <v>84250</v>
      </c>
      <c r="B1482" s="14" t="str">
        <f>"07020"</f>
        <v>07020</v>
      </c>
      <c r="C1482" s="14" t="str">
        <f>"1700"</f>
        <v>1700</v>
      </c>
      <c r="D1482" s="14" t="str">
        <f>"84250"</f>
        <v>84250</v>
      </c>
      <c r="E1482" s="14" t="s">
        <v>1768</v>
      </c>
      <c r="F1482" s="14" t="s">
        <v>1532</v>
      </c>
      <c r="G1482" s="14" t="str">
        <f>""</f>
        <v/>
      </c>
      <c r="H1482" s="14" t="str">
        <f>" 00"</f>
        <v xml:space="preserve"> 00</v>
      </c>
      <c r="I1482" s="14">
        <v>0.01</v>
      </c>
      <c r="J1482" s="14">
        <v>9999999.9900000002</v>
      </c>
      <c r="K1482" s="14" t="s">
        <v>1697</v>
      </c>
      <c r="L1482" s="14" t="s">
        <v>1698</v>
      </c>
      <c r="P1482" s="14" t="s">
        <v>31</v>
      </c>
      <c r="Q1482" s="14" t="s">
        <v>25</v>
      </c>
      <c r="R1482" s="14" t="s">
        <v>392</v>
      </c>
    </row>
    <row r="1483" spans="1:18" s="14" customFormat="1" x14ac:dyDescent="0.25">
      <c r="A1483" s="14" t="str">
        <f>"84251"</f>
        <v>84251</v>
      </c>
      <c r="B1483" s="14" t="str">
        <f>"07020"</f>
        <v>07020</v>
      </c>
      <c r="C1483" s="14" t="str">
        <f>"1700"</f>
        <v>1700</v>
      </c>
      <c r="D1483" s="14" t="str">
        <f>"84251"</f>
        <v>84251</v>
      </c>
      <c r="E1483" s="14" t="s">
        <v>1769</v>
      </c>
      <c r="F1483" s="14" t="s">
        <v>1532</v>
      </c>
      <c r="G1483" s="14" t="str">
        <f>""</f>
        <v/>
      </c>
      <c r="H1483" s="14" t="str">
        <f>" 00"</f>
        <v xml:space="preserve"> 00</v>
      </c>
      <c r="I1483" s="14">
        <v>0.01</v>
      </c>
      <c r="J1483" s="14">
        <v>9999999.9900000002</v>
      </c>
      <c r="K1483" s="14" t="s">
        <v>1630</v>
      </c>
      <c r="L1483" s="14" t="s">
        <v>392</v>
      </c>
      <c r="M1483" s="14" t="s">
        <v>72</v>
      </c>
      <c r="P1483" s="14" t="s">
        <v>31</v>
      </c>
      <c r="Q1483" s="14" t="s">
        <v>25</v>
      </c>
      <c r="R1483" s="14" t="s">
        <v>392</v>
      </c>
    </row>
    <row r="1484" spans="1:18" s="14" customFormat="1" x14ac:dyDescent="0.25">
      <c r="A1484" s="14" t="str">
        <f>"90005"</f>
        <v>90005</v>
      </c>
      <c r="B1484" s="14" t="str">
        <f>"03000"</f>
        <v>03000</v>
      </c>
      <c r="C1484" s="14" t="str">
        <f>"1921"</f>
        <v>1921</v>
      </c>
      <c r="D1484" s="14" t="str">
        <f>""</f>
        <v/>
      </c>
      <c r="E1484" s="14" t="s">
        <v>1794</v>
      </c>
      <c r="F1484" s="14" t="s">
        <v>217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34</v>
      </c>
      <c r="P1484" s="14" t="s">
        <v>239</v>
      </c>
      <c r="Q1484" s="14" t="s">
        <v>25</v>
      </c>
      <c r="R1484" s="14" t="s">
        <v>35</v>
      </c>
    </row>
    <row r="1485" spans="1:18" s="14" customFormat="1" x14ac:dyDescent="0.25">
      <c r="A1485" s="14" t="str">
        <f>"90007"</f>
        <v>90007</v>
      </c>
      <c r="B1485" s="14" t="str">
        <f>"03000"</f>
        <v>03000</v>
      </c>
      <c r="C1485" s="14" t="str">
        <f>"1930"</f>
        <v>1930</v>
      </c>
      <c r="D1485" s="14" t="str">
        <f>""</f>
        <v/>
      </c>
      <c r="E1485" s="14" t="s">
        <v>1795</v>
      </c>
      <c r="F1485" s="14" t="s">
        <v>217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34</v>
      </c>
      <c r="P1485" s="14" t="s">
        <v>239</v>
      </c>
      <c r="Q1485" s="14" t="s">
        <v>25</v>
      </c>
      <c r="R1485" s="14" t="s">
        <v>35</v>
      </c>
    </row>
    <row r="1486" spans="1:18" s="14" customFormat="1" x14ac:dyDescent="0.25">
      <c r="A1486" s="14" t="str">
        <f>"90010"</f>
        <v>90010</v>
      </c>
      <c r="B1486" s="14" t="str">
        <f>"03000"</f>
        <v>03000</v>
      </c>
      <c r="C1486" s="14" t="str">
        <f>"1921"</f>
        <v>1921</v>
      </c>
      <c r="D1486" s="14" t="str">
        <f>""</f>
        <v/>
      </c>
      <c r="E1486" s="14" t="s">
        <v>1796</v>
      </c>
      <c r="F1486" s="14" t="s">
        <v>217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34</v>
      </c>
      <c r="P1486" s="14" t="s">
        <v>239</v>
      </c>
      <c r="Q1486" s="14" t="s">
        <v>25</v>
      </c>
      <c r="R1486" s="14" t="s">
        <v>35</v>
      </c>
    </row>
    <row r="1487" spans="1:18" s="14" customFormat="1" x14ac:dyDescent="0.25">
      <c r="A1487" s="14" t="str">
        <f>"90015"</f>
        <v>90015</v>
      </c>
      <c r="B1487" s="14" t="str">
        <f>"03000"</f>
        <v>03000</v>
      </c>
      <c r="C1487" s="14" t="str">
        <f>"1921"</f>
        <v>1921</v>
      </c>
      <c r="D1487" s="14" t="str">
        <f>""</f>
        <v/>
      </c>
      <c r="E1487" s="14" t="s">
        <v>1797</v>
      </c>
      <c r="F1487" s="14" t="s">
        <v>217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34</v>
      </c>
      <c r="P1487" s="14" t="s">
        <v>239</v>
      </c>
      <c r="Q1487" s="14" t="s">
        <v>25</v>
      </c>
      <c r="R1487" s="14" t="s">
        <v>35</v>
      </c>
    </row>
    <row r="1488" spans="1:18" s="14" customFormat="1" x14ac:dyDescent="0.25">
      <c r="A1488" s="14" t="str">
        <f>"90020"</f>
        <v>90020</v>
      </c>
      <c r="B1488" s="14" t="str">
        <f>"03000"</f>
        <v>03000</v>
      </c>
      <c r="C1488" s="14" t="str">
        <f>"1930"</f>
        <v>1930</v>
      </c>
      <c r="D1488" s="14" t="str">
        <f>""</f>
        <v/>
      </c>
      <c r="E1488" s="14" t="s">
        <v>1798</v>
      </c>
      <c r="F1488" s="14" t="s">
        <v>217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34</v>
      </c>
      <c r="P1488" s="14" t="s">
        <v>239</v>
      </c>
      <c r="Q1488" s="14" t="s">
        <v>25</v>
      </c>
      <c r="R1488" s="14" t="s">
        <v>35</v>
      </c>
    </row>
    <row r="1489" spans="1:18" s="14" customFormat="1" x14ac:dyDescent="0.25">
      <c r="A1489" s="14" t="str">
        <f>"90105"</f>
        <v>90105</v>
      </c>
      <c r="B1489" s="14" t="str">
        <f>"03000"</f>
        <v>03000</v>
      </c>
      <c r="C1489" s="14" t="str">
        <f>"1930"</f>
        <v>1930</v>
      </c>
      <c r="D1489" s="14" t="str">
        <f>""</f>
        <v/>
      </c>
      <c r="E1489" s="14" t="s">
        <v>1799</v>
      </c>
      <c r="F1489" s="14" t="s">
        <v>217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34</v>
      </c>
      <c r="P1489" s="14" t="s">
        <v>239</v>
      </c>
      <c r="Q1489" s="14" t="s">
        <v>25</v>
      </c>
      <c r="R1489" s="14" t="s">
        <v>35</v>
      </c>
    </row>
    <row r="1490" spans="1:18" s="14" customFormat="1" x14ac:dyDescent="0.25">
      <c r="A1490" s="14" t="str">
        <f>"90110"</f>
        <v>90110</v>
      </c>
      <c r="B1490" s="14" t="str">
        <f>"03000"</f>
        <v>03000</v>
      </c>
      <c r="C1490" s="14" t="str">
        <f>"1930"</f>
        <v>1930</v>
      </c>
      <c r="D1490" s="14" t="str">
        <f>""</f>
        <v/>
      </c>
      <c r="E1490" s="14" t="s">
        <v>1800</v>
      </c>
      <c r="F1490" s="14" t="s">
        <v>217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34</v>
      </c>
      <c r="P1490" s="14" t="s">
        <v>239</v>
      </c>
      <c r="Q1490" s="14" t="s">
        <v>25</v>
      </c>
      <c r="R1490" s="14" t="s">
        <v>35</v>
      </c>
    </row>
    <row r="1491" spans="1:18" s="14" customFormat="1" x14ac:dyDescent="0.25">
      <c r="A1491" s="14" t="str">
        <f>"90121"</f>
        <v>90121</v>
      </c>
      <c r="B1491" s="14" t="str">
        <f>"03000"</f>
        <v>03000</v>
      </c>
      <c r="C1491" s="14" t="str">
        <f>"1300"</f>
        <v>1300</v>
      </c>
      <c r="D1491" s="14" t="str">
        <f>""</f>
        <v/>
      </c>
      <c r="E1491" s="14" t="s">
        <v>1801</v>
      </c>
      <c r="F1491" s="14" t="s">
        <v>217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34</v>
      </c>
      <c r="P1491" s="14" t="s">
        <v>239</v>
      </c>
      <c r="Q1491" s="14" t="s">
        <v>25</v>
      </c>
      <c r="R1491" s="14" t="s">
        <v>35</v>
      </c>
    </row>
    <row r="1492" spans="1:18" s="14" customFormat="1" x14ac:dyDescent="0.25">
      <c r="A1492" s="14" t="str">
        <f>"90130"</f>
        <v>90130</v>
      </c>
      <c r="B1492" s="14" t="str">
        <f>"03000"</f>
        <v>03000</v>
      </c>
      <c r="C1492" s="14" t="str">
        <f>"1930"</f>
        <v>1930</v>
      </c>
      <c r="D1492" s="14" t="str">
        <f>""</f>
        <v/>
      </c>
      <c r="E1492" s="14" t="s">
        <v>1802</v>
      </c>
      <c r="F1492" s="14" t="s">
        <v>217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34</v>
      </c>
      <c r="P1492" s="14" t="s">
        <v>239</v>
      </c>
      <c r="Q1492" s="14" t="s">
        <v>25</v>
      </c>
      <c r="R1492" s="14" t="s">
        <v>35</v>
      </c>
    </row>
    <row r="1493" spans="1:18" s="14" customFormat="1" x14ac:dyDescent="0.25">
      <c r="A1493" s="14" t="str">
        <f>"90135"</f>
        <v>90135</v>
      </c>
      <c r="B1493" s="14" t="str">
        <f>"03000"</f>
        <v>03000</v>
      </c>
      <c r="C1493" s="14" t="str">
        <f>"1930"</f>
        <v>1930</v>
      </c>
      <c r="D1493" s="14" t="str">
        <f>""</f>
        <v/>
      </c>
      <c r="E1493" s="14" t="s">
        <v>1803</v>
      </c>
      <c r="F1493" s="14" t="s">
        <v>217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34</v>
      </c>
      <c r="P1493" s="14" t="s">
        <v>239</v>
      </c>
      <c r="Q1493" s="14" t="s">
        <v>25</v>
      </c>
      <c r="R1493" s="14" t="s">
        <v>35</v>
      </c>
    </row>
    <row r="1494" spans="1:18" s="14" customFormat="1" x14ac:dyDescent="0.25">
      <c r="A1494" s="14" t="str">
        <f>"90136"</f>
        <v>90136</v>
      </c>
      <c r="B1494" s="14" t="str">
        <f>"03000"</f>
        <v>03000</v>
      </c>
      <c r="C1494" s="14" t="str">
        <f>"1930"</f>
        <v>1930</v>
      </c>
      <c r="D1494" s="14" t="str">
        <f>""</f>
        <v/>
      </c>
      <c r="E1494" s="14" t="s">
        <v>1804</v>
      </c>
      <c r="F1494" s="14" t="s">
        <v>217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34</v>
      </c>
      <c r="P1494" s="14" t="s">
        <v>239</v>
      </c>
      <c r="Q1494" s="14" t="s">
        <v>25</v>
      </c>
      <c r="R1494" s="14" t="s">
        <v>35</v>
      </c>
    </row>
    <row r="1495" spans="1:18" s="14" customFormat="1" x14ac:dyDescent="0.25">
      <c r="A1495" s="14" t="str">
        <f>"90145"</f>
        <v>90145</v>
      </c>
      <c r="B1495" s="14" t="str">
        <f>"02000"</f>
        <v>02000</v>
      </c>
      <c r="C1495" s="14" t="str">
        <f>"1400"</f>
        <v>1400</v>
      </c>
      <c r="D1495" s="14" t="str">
        <f>""</f>
        <v/>
      </c>
      <c r="E1495" s="14" t="s">
        <v>1805</v>
      </c>
      <c r="F1495" s="14" t="s">
        <v>189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28</v>
      </c>
      <c r="L1495" s="14" t="s">
        <v>204</v>
      </c>
      <c r="P1495" s="14" t="s">
        <v>239</v>
      </c>
      <c r="Q1495" s="14" t="s">
        <v>25</v>
      </c>
      <c r="R1495" s="14" t="s">
        <v>205</v>
      </c>
    </row>
    <row r="1496" spans="1:18" s="14" customFormat="1" x14ac:dyDescent="0.25">
      <c r="A1496" s="14" t="str">
        <f>"90150"</f>
        <v>90150</v>
      </c>
      <c r="B1496" s="14" t="str">
        <f>"03000"</f>
        <v>03000</v>
      </c>
      <c r="C1496" s="14" t="str">
        <f>"1500"</f>
        <v>1500</v>
      </c>
      <c r="D1496" s="14" t="str">
        <f>""</f>
        <v/>
      </c>
      <c r="E1496" s="14" t="s">
        <v>1806</v>
      </c>
      <c r="F1496" s="14" t="s">
        <v>217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34</v>
      </c>
      <c r="P1496" s="14" t="s">
        <v>239</v>
      </c>
      <c r="Q1496" s="14" t="s">
        <v>25</v>
      </c>
      <c r="R1496" s="14" t="s">
        <v>35</v>
      </c>
    </row>
    <row r="1497" spans="1:18" s="14" customFormat="1" x14ac:dyDescent="0.25">
      <c r="A1497" s="14" t="str">
        <f>"90165"</f>
        <v>90165</v>
      </c>
      <c r="B1497" s="14" t="str">
        <f>"03000"</f>
        <v>03000</v>
      </c>
      <c r="C1497" s="14" t="str">
        <f>"1930"</f>
        <v>1930</v>
      </c>
      <c r="D1497" s="14" t="str">
        <f>""</f>
        <v/>
      </c>
      <c r="E1497" s="14" t="s">
        <v>1807</v>
      </c>
      <c r="F1497" s="14" t="s">
        <v>217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34</v>
      </c>
      <c r="P1497" s="14" t="s">
        <v>239</v>
      </c>
      <c r="Q1497" s="14" t="s">
        <v>25</v>
      </c>
      <c r="R1497" s="14" t="s">
        <v>35</v>
      </c>
    </row>
    <row r="1498" spans="1:18" s="14" customFormat="1" x14ac:dyDescent="0.25">
      <c r="A1498" s="14" t="str">
        <f>"90175"</f>
        <v>90175</v>
      </c>
      <c r="B1498" s="14" t="str">
        <f>"03000"</f>
        <v>03000</v>
      </c>
      <c r="C1498" s="14" t="str">
        <f>"1930"</f>
        <v>1930</v>
      </c>
      <c r="D1498" s="14" t="str">
        <f>""</f>
        <v/>
      </c>
      <c r="E1498" s="14" t="s">
        <v>1808</v>
      </c>
      <c r="F1498" s="14" t="s">
        <v>217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34</v>
      </c>
      <c r="P1498" s="14" t="s">
        <v>239</v>
      </c>
      <c r="Q1498" s="14" t="s">
        <v>25</v>
      </c>
      <c r="R1498" s="14" t="s">
        <v>35</v>
      </c>
    </row>
    <row r="1499" spans="1:18" s="14" customFormat="1" x14ac:dyDescent="0.25">
      <c r="A1499" s="14" t="str">
        <f>"90205"</f>
        <v>90205</v>
      </c>
      <c r="B1499" s="14" t="str">
        <f>"03000"</f>
        <v>03000</v>
      </c>
      <c r="C1499" s="14" t="str">
        <f>"1500"</f>
        <v>1500</v>
      </c>
      <c r="D1499" s="14" t="str">
        <f>""</f>
        <v/>
      </c>
      <c r="E1499" s="14" t="s">
        <v>1809</v>
      </c>
      <c r="F1499" s="14" t="s">
        <v>217</v>
      </c>
      <c r="G1499" s="14" t="str">
        <f>""</f>
        <v/>
      </c>
      <c r="H1499" s="14" t="str">
        <f>" 00"</f>
        <v xml:space="preserve"> 00</v>
      </c>
      <c r="I1499" s="14">
        <v>0.01</v>
      </c>
      <c r="J1499" s="14">
        <v>9999999.9900000002</v>
      </c>
      <c r="K1499" s="14" t="s">
        <v>34</v>
      </c>
      <c r="P1499" s="14" t="s">
        <v>239</v>
      </c>
      <c r="Q1499" s="14" t="s">
        <v>25</v>
      </c>
      <c r="R1499" s="14" t="s">
        <v>35</v>
      </c>
    </row>
    <row r="1500" spans="1:18" s="14" customFormat="1" x14ac:dyDescent="0.25">
      <c r="A1500" s="14" t="str">
        <f>"92155"</f>
        <v>92155</v>
      </c>
      <c r="B1500" s="14" t="str">
        <f>"03050"</f>
        <v>03050</v>
      </c>
      <c r="C1500" s="14" t="str">
        <f>"1500"</f>
        <v>1500</v>
      </c>
      <c r="D1500" s="14" t="str">
        <f>"92155"</f>
        <v>92155</v>
      </c>
      <c r="E1500" s="14" t="s">
        <v>1825</v>
      </c>
      <c r="F1500" s="14" t="s">
        <v>225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226</v>
      </c>
      <c r="L1500" s="14" t="s">
        <v>227</v>
      </c>
      <c r="P1500" s="14" t="s">
        <v>239</v>
      </c>
      <c r="Q1500" s="14" t="s">
        <v>25</v>
      </c>
      <c r="R1500" s="14" t="s">
        <v>229</v>
      </c>
    </row>
    <row r="1501" spans="1:18" s="14" customFormat="1" x14ac:dyDescent="0.25">
      <c r="A1501" s="14" t="str">
        <f>"94035"</f>
        <v>94035</v>
      </c>
      <c r="B1501" s="14" t="str">
        <f>"03050"</f>
        <v>03050</v>
      </c>
      <c r="C1501" s="14" t="str">
        <f>"2100"</f>
        <v>2100</v>
      </c>
      <c r="D1501" s="14" t="str">
        <f>"94035"</f>
        <v>94035</v>
      </c>
      <c r="E1501" s="14" t="s">
        <v>1840</v>
      </c>
      <c r="F1501" s="14" t="s">
        <v>225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226</v>
      </c>
      <c r="L1501" s="14" t="s">
        <v>227</v>
      </c>
      <c r="P1501" s="14" t="s">
        <v>239</v>
      </c>
      <c r="Q1501" s="14" t="s">
        <v>25</v>
      </c>
      <c r="R1501" s="14" t="s">
        <v>229</v>
      </c>
    </row>
    <row r="1502" spans="1:18" s="14" customFormat="1" x14ac:dyDescent="0.25">
      <c r="A1502" s="14" t="str">
        <f>"94041"</f>
        <v>94041</v>
      </c>
      <c r="B1502" s="14" t="str">
        <f>"03050"</f>
        <v>03050</v>
      </c>
      <c r="C1502" s="14" t="str">
        <f>"2100"</f>
        <v>2100</v>
      </c>
      <c r="D1502" s="14" t="str">
        <f>"94041"</f>
        <v>94041</v>
      </c>
      <c r="E1502" s="14" t="s">
        <v>1841</v>
      </c>
      <c r="F1502" s="14" t="s">
        <v>225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226</v>
      </c>
      <c r="L1502" s="14" t="s">
        <v>227</v>
      </c>
      <c r="P1502" s="14" t="s">
        <v>239</v>
      </c>
      <c r="Q1502" s="14" t="s">
        <v>25</v>
      </c>
      <c r="R1502" s="14" t="s">
        <v>229</v>
      </c>
    </row>
    <row r="1503" spans="1:18" s="14" customFormat="1" x14ac:dyDescent="0.25">
      <c r="A1503" s="14" t="str">
        <f>"94042"</f>
        <v>94042</v>
      </c>
      <c r="B1503" s="14" t="str">
        <f>"03050"</f>
        <v>03050</v>
      </c>
      <c r="C1503" s="14" t="str">
        <f>"2100"</f>
        <v>2100</v>
      </c>
      <c r="D1503" s="14" t="str">
        <f>"94042"</f>
        <v>94042</v>
      </c>
      <c r="E1503" s="14" t="s">
        <v>1842</v>
      </c>
      <c r="F1503" s="14" t="s">
        <v>225</v>
      </c>
      <c r="G1503" s="14" t="str">
        <f>""</f>
        <v/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226</v>
      </c>
      <c r="L1503" s="14" t="s">
        <v>227</v>
      </c>
      <c r="P1503" s="14" t="s">
        <v>239</v>
      </c>
      <c r="Q1503" s="14" t="s">
        <v>25</v>
      </c>
      <c r="R1503" s="14" t="s">
        <v>229</v>
      </c>
    </row>
    <row r="1504" spans="1:18" s="14" customFormat="1" x14ac:dyDescent="0.25">
      <c r="A1504" s="14" t="str">
        <f>"94043"</f>
        <v>94043</v>
      </c>
      <c r="B1504" s="14" t="str">
        <f>"03050"</f>
        <v>03050</v>
      </c>
      <c r="C1504" s="14" t="str">
        <f>"2100"</f>
        <v>2100</v>
      </c>
      <c r="D1504" s="14" t="str">
        <f>"94043"</f>
        <v>94043</v>
      </c>
      <c r="E1504" s="14" t="s">
        <v>1843</v>
      </c>
      <c r="F1504" s="14" t="s">
        <v>225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226</v>
      </c>
      <c r="L1504" s="14" t="s">
        <v>227</v>
      </c>
      <c r="P1504" s="14" t="s">
        <v>239</v>
      </c>
      <c r="Q1504" s="14" t="s">
        <v>25</v>
      </c>
      <c r="R1504" s="14" t="s">
        <v>229</v>
      </c>
    </row>
    <row r="1505" spans="1:18" s="14" customFormat="1" x14ac:dyDescent="0.25">
      <c r="A1505" s="14" t="str">
        <f>"94045"</f>
        <v>94045</v>
      </c>
      <c r="B1505" s="14" t="str">
        <f>"03050"</f>
        <v>03050</v>
      </c>
      <c r="C1505" s="14" t="str">
        <f>"2100"</f>
        <v>2100</v>
      </c>
      <c r="D1505" s="14" t="str">
        <f>"94045"</f>
        <v>94045</v>
      </c>
      <c r="E1505" s="14" t="s">
        <v>1844</v>
      </c>
      <c r="F1505" s="14" t="s">
        <v>225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226</v>
      </c>
      <c r="L1505" s="14" t="s">
        <v>227</v>
      </c>
      <c r="P1505" s="14" t="s">
        <v>239</v>
      </c>
      <c r="Q1505" s="14" t="s">
        <v>25</v>
      </c>
      <c r="R1505" s="14" t="s">
        <v>229</v>
      </c>
    </row>
    <row r="1506" spans="1:18" s="14" customFormat="1" x14ac:dyDescent="0.25">
      <c r="A1506" s="14" t="str">
        <f>"94046"</f>
        <v>94046</v>
      </c>
      <c r="B1506" s="14" t="str">
        <f>"03050"</f>
        <v>03050</v>
      </c>
      <c r="C1506" s="14" t="str">
        <f>"2100"</f>
        <v>2100</v>
      </c>
      <c r="D1506" s="14" t="str">
        <f>"94046"</f>
        <v>94046</v>
      </c>
      <c r="E1506" s="14" t="s">
        <v>1845</v>
      </c>
      <c r="F1506" s="14" t="s">
        <v>225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226</v>
      </c>
      <c r="L1506" s="14" t="s">
        <v>227</v>
      </c>
      <c r="P1506" s="14" t="s">
        <v>239</v>
      </c>
      <c r="Q1506" s="14" t="s">
        <v>25</v>
      </c>
      <c r="R1506" s="14" t="s">
        <v>229</v>
      </c>
    </row>
    <row r="1507" spans="1:18" s="14" customFormat="1" x14ac:dyDescent="0.25">
      <c r="A1507" s="14" t="str">
        <f>"94115"</f>
        <v>94115</v>
      </c>
      <c r="B1507" s="14" t="str">
        <f>"03050"</f>
        <v>03050</v>
      </c>
      <c r="C1507" s="14" t="str">
        <f>"2100"</f>
        <v>2100</v>
      </c>
      <c r="D1507" s="14" t="str">
        <f>"94115"</f>
        <v>94115</v>
      </c>
      <c r="E1507" s="14" t="s">
        <v>1846</v>
      </c>
      <c r="F1507" s="14" t="s">
        <v>225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226</v>
      </c>
      <c r="L1507" s="14" t="s">
        <v>227</v>
      </c>
      <c r="P1507" s="14" t="s">
        <v>239</v>
      </c>
      <c r="Q1507" s="14" t="s">
        <v>25</v>
      </c>
      <c r="R1507" s="14" t="s">
        <v>229</v>
      </c>
    </row>
    <row r="1508" spans="1:18" s="14" customFormat="1" x14ac:dyDescent="0.25">
      <c r="A1508" s="14" t="str">
        <f>"94225"</f>
        <v>94225</v>
      </c>
      <c r="B1508" s="14" t="str">
        <f>"03050"</f>
        <v>03050</v>
      </c>
      <c r="C1508" s="14" t="str">
        <f>"2100"</f>
        <v>2100</v>
      </c>
      <c r="D1508" s="14" t="str">
        <f>"94225"</f>
        <v>94225</v>
      </c>
      <c r="E1508" s="14" t="s">
        <v>1847</v>
      </c>
      <c r="F1508" s="14" t="s">
        <v>225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226</v>
      </c>
      <c r="L1508" s="14" t="s">
        <v>227</v>
      </c>
      <c r="P1508" s="14" t="s">
        <v>239</v>
      </c>
      <c r="Q1508" s="14" t="s">
        <v>25</v>
      </c>
      <c r="R1508" s="14" t="s">
        <v>229</v>
      </c>
    </row>
    <row r="1509" spans="1:18" s="14" customFormat="1" x14ac:dyDescent="0.25">
      <c r="A1509" s="14" t="str">
        <f>"40002"</f>
        <v>40002</v>
      </c>
      <c r="B1509" s="14" t="str">
        <f>"03050"</f>
        <v>03050</v>
      </c>
      <c r="C1509" s="14" t="str">
        <f>"1400"</f>
        <v>1400</v>
      </c>
      <c r="D1509" s="14" t="str">
        <f>""</f>
        <v/>
      </c>
      <c r="E1509" s="14" t="s">
        <v>994</v>
      </c>
      <c r="F1509" s="14" t="s">
        <v>225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226</v>
      </c>
      <c r="P1509" s="14" t="s">
        <v>995</v>
      </c>
      <c r="Q1509" s="14" t="s">
        <v>995</v>
      </c>
      <c r="R1509" s="14" t="s">
        <v>995</v>
      </c>
    </row>
    <row r="1510" spans="1:18" s="14" customFormat="1" x14ac:dyDescent="0.25">
      <c r="A1510" s="14" t="str">
        <f>"18121"</f>
        <v>18121</v>
      </c>
      <c r="B1510" s="14" t="str">
        <f>"03140"</f>
        <v>03140</v>
      </c>
      <c r="C1510" s="14" t="str">
        <f>"1500"</f>
        <v>1500</v>
      </c>
      <c r="D1510" s="14" t="str">
        <f>"18121"</f>
        <v>18121</v>
      </c>
      <c r="E1510" s="14" t="s">
        <v>686</v>
      </c>
      <c r="F1510" s="14" t="s">
        <v>247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236</v>
      </c>
      <c r="L1510" s="14" t="s">
        <v>237</v>
      </c>
      <c r="M1510" s="14" t="s">
        <v>238</v>
      </c>
      <c r="P1510" s="14" t="s">
        <v>239</v>
      </c>
      <c r="Q1510" s="14" t="s">
        <v>239</v>
      </c>
      <c r="R1510" s="14" t="s">
        <v>1930</v>
      </c>
    </row>
    <row r="1511" spans="1:18" s="14" customFormat="1" x14ac:dyDescent="0.25">
      <c r="A1511" s="14" t="str">
        <f>"91005"</f>
        <v>91005</v>
      </c>
      <c r="B1511" s="14" t="str">
        <f>"03000"</f>
        <v>03000</v>
      </c>
      <c r="C1511" s="14" t="str">
        <f>"1500"</f>
        <v>1500</v>
      </c>
      <c r="D1511" s="14" t="str">
        <f>"91005"</f>
        <v>91005</v>
      </c>
      <c r="E1511" s="14" t="s">
        <v>1810</v>
      </c>
      <c r="F1511" s="14" t="s">
        <v>217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34</v>
      </c>
      <c r="P1511" s="14" t="s">
        <v>239</v>
      </c>
      <c r="Q1511" s="14" t="s">
        <v>239</v>
      </c>
      <c r="R1511" s="14" t="s">
        <v>35</v>
      </c>
    </row>
    <row r="1512" spans="1:18" s="14" customFormat="1" x14ac:dyDescent="0.25">
      <c r="A1512" s="14" t="str">
        <f>"91025"</f>
        <v>91025</v>
      </c>
      <c r="B1512" s="14" t="str">
        <f>"03000"</f>
        <v>03000</v>
      </c>
      <c r="C1512" s="14" t="str">
        <f>"1500"</f>
        <v>1500</v>
      </c>
      <c r="D1512" s="14" t="str">
        <f>"91025"</f>
        <v>91025</v>
      </c>
      <c r="E1512" s="14" t="s">
        <v>1811</v>
      </c>
      <c r="F1512" s="14" t="s">
        <v>217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34</v>
      </c>
      <c r="P1512" s="14" t="s">
        <v>239</v>
      </c>
      <c r="Q1512" s="14" t="s">
        <v>239</v>
      </c>
      <c r="R1512" s="14" t="s">
        <v>35</v>
      </c>
    </row>
    <row r="1513" spans="1:18" s="14" customFormat="1" x14ac:dyDescent="0.25">
      <c r="A1513" s="14" t="str">
        <f>"91050"</f>
        <v>91050</v>
      </c>
      <c r="B1513" s="14" t="str">
        <f>"03140"</f>
        <v>03140</v>
      </c>
      <c r="C1513" s="14" t="str">
        <f>"1500"</f>
        <v>1500</v>
      </c>
      <c r="D1513" s="14" t="str">
        <f>"91050"</f>
        <v>91050</v>
      </c>
      <c r="E1513" s="14" t="s">
        <v>1812</v>
      </c>
      <c r="F1513" s="14" t="s">
        <v>247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236</v>
      </c>
      <c r="L1513" s="14" t="s">
        <v>237</v>
      </c>
      <c r="M1513" s="14" t="s">
        <v>238</v>
      </c>
      <c r="P1513" s="14" t="s">
        <v>239</v>
      </c>
      <c r="Q1513" s="14" t="s">
        <v>239</v>
      </c>
      <c r="R1513" s="14" t="s">
        <v>1930</v>
      </c>
    </row>
    <row r="1514" spans="1:18" s="14" customFormat="1" x14ac:dyDescent="0.25">
      <c r="A1514" s="14" t="str">
        <f>"91372"</f>
        <v>91372</v>
      </c>
      <c r="B1514" s="14" t="str">
        <f>"03050"</f>
        <v>03050</v>
      </c>
      <c r="C1514" s="14" t="str">
        <f>"1500"</f>
        <v>1500</v>
      </c>
      <c r="D1514" s="14" t="str">
        <f>"91372A"</f>
        <v>91372A</v>
      </c>
      <c r="E1514" s="14" t="s">
        <v>1813</v>
      </c>
      <c r="F1514" s="14" t="s">
        <v>225</v>
      </c>
      <c r="G1514" s="14" t="str">
        <f>"GN0091372"</f>
        <v>GN0091372</v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226</v>
      </c>
      <c r="L1514" s="14" t="s">
        <v>227</v>
      </c>
      <c r="P1514" s="14" t="s">
        <v>239</v>
      </c>
      <c r="Q1514" s="14" t="s">
        <v>239</v>
      </c>
      <c r="R1514" s="14" t="s">
        <v>229</v>
      </c>
    </row>
    <row r="1515" spans="1:18" s="14" customFormat="1" x14ac:dyDescent="0.25">
      <c r="A1515" s="14" t="str">
        <f>"91372"</f>
        <v>91372</v>
      </c>
      <c r="B1515" s="14" t="str">
        <f>"03140"</f>
        <v>03140</v>
      </c>
      <c r="C1515" s="14" t="str">
        <f>"1500"</f>
        <v>1500</v>
      </c>
      <c r="D1515" s="14" t="str">
        <f>"91372"</f>
        <v>91372</v>
      </c>
      <c r="E1515" s="14" t="s">
        <v>1813</v>
      </c>
      <c r="F1515" s="14" t="s">
        <v>247</v>
      </c>
      <c r="G1515" s="14" t="str">
        <f>"GN0091372"</f>
        <v>GN0091372</v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236</v>
      </c>
      <c r="L1515" s="14" t="s">
        <v>237</v>
      </c>
      <c r="M1515" s="14" t="s">
        <v>238</v>
      </c>
      <c r="P1515" s="14" t="s">
        <v>239</v>
      </c>
      <c r="Q1515" s="14" t="s">
        <v>239</v>
      </c>
      <c r="R1515" s="14" t="s">
        <v>1930</v>
      </c>
    </row>
    <row r="1516" spans="1:18" s="14" customFormat="1" x14ac:dyDescent="0.25">
      <c r="A1516" s="14" t="str">
        <f>"91379"</f>
        <v>91379</v>
      </c>
      <c r="B1516" s="14" t="str">
        <f>"03140"</f>
        <v>03140</v>
      </c>
      <c r="C1516" s="14" t="str">
        <f>"1930"</f>
        <v>1930</v>
      </c>
      <c r="D1516" s="14" t="str">
        <f>"91379"</f>
        <v>91379</v>
      </c>
      <c r="E1516" s="14" t="s">
        <v>1815</v>
      </c>
      <c r="F1516" s="14" t="s">
        <v>247</v>
      </c>
      <c r="G1516" s="14" t="str">
        <f>"GN0091379"</f>
        <v>GN0091379</v>
      </c>
      <c r="H1516" s="14" t="str">
        <f>" 00"</f>
        <v xml:space="preserve"> 00</v>
      </c>
      <c r="I1516" s="14">
        <v>0.01</v>
      </c>
      <c r="J1516" s="14">
        <v>9999999.9900000002</v>
      </c>
      <c r="K1516" s="14" t="s">
        <v>236</v>
      </c>
      <c r="L1516" s="14" t="s">
        <v>237</v>
      </c>
      <c r="M1516" s="14" t="s">
        <v>238</v>
      </c>
      <c r="P1516" s="14" t="s">
        <v>239</v>
      </c>
      <c r="Q1516" s="14" t="s">
        <v>239</v>
      </c>
      <c r="R1516" s="14" t="s">
        <v>1930</v>
      </c>
    </row>
    <row r="1517" spans="1:18" s="14" customFormat="1" x14ac:dyDescent="0.25">
      <c r="A1517" s="14" t="str">
        <f>"91390"</f>
        <v>91390</v>
      </c>
      <c r="B1517" s="14" t="str">
        <f>"03170"</f>
        <v>03170</v>
      </c>
      <c r="C1517" s="14" t="str">
        <f>"1921"</f>
        <v>1921</v>
      </c>
      <c r="D1517" s="14" t="str">
        <f>"91390"</f>
        <v>91390</v>
      </c>
      <c r="E1517" s="14" t="s">
        <v>1816</v>
      </c>
      <c r="F1517" s="14" t="s">
        <v>251</v>
      </c>
      <c r="G1517" s="14" t="str">
        <f>"GN0091390"</f>
        <v>GN0091390</v>
      </c>
      <c r="H1517" s="14" t="str">
        <f>" 00"</f>
        <v xml:space="preserve"> 00</v>
      </c>
      <c r="I1517" s="14">
        <v>0.01</v>
      </c>
      <c r="J1517" s="14">
        <v>9999999.9900000002</v>
      </c>
      <c r="K1517" s="14" t="s">
        <v>252</v>
      </c>
      <c r="L1517" s="14" t="s">
        <v>253</v>
      </c>
      <c r="O1517" s="14" t="s">
        <v>252</v>
      </c>
      <c r="P1517" s="14" t="s">
        <v>239</v>
      </c>
      <c r="Q1517" s="14" t="s">
        <v>239</v>
      </c>
      <c r="R1517" s="14" t="s">
        <v>254</v>
      </c>
    </row>
    <row r="1518" spans="1:18" s="14" customFormat="1" x14ac:dyDescent="0.25">
      <c r="A1518" s="14" t="str">
        <f>"91395"</f>
        <v>91395</v>
      </c>
      <c r="B1518" s="14" t="str">
        <f>"03140"</f>
        <v>03140</v>
      </c>
      <c r="C1518" s="14" t="str">
        <f>"1500"</f>
        <v>1500</v>
      </c>
      <c r="D1518" s="14" t="str">
        <f>"91395"</f>
        <v>91395</v>
      </c>
      <c r="E1518" s="14" t="s">
        <v>1817</v>
      </c>
      <c r="F1518" s="14" t="s">
        <v>247</v>
      </c>
      <c r="G1518" s="14" t="str">
        <f>"GN0091395"</f>
        <v>GN0091395</v>
      </c>
      <c r="H1518" s="14" t="str">
        <f>" 00"</f>
        <v xml:space="preserve"> 00</v>
      </c>
      <c r="I1518" s="14">
        <v>0.01</v>
      </c>
      <c r="J1518" s="14">
        <v>9999999.9900000002</v>
      </c>
      <c r="K1518" s="14" t="s">
        <v>236</v>
      </c>
      <c r="L1518" s="14" t="s">
        <v>237</v>
      </c>
      <c r="M1518" s="14" t="s">
        <v>238</v>
      </c>
      <c r="O1518" s="14" t="s">
        <v>236</v>
      </c>
      <c r="P1518" s="14" t="s">
        <v>239</v>
      </c>
      <c r="Q1518" s="14" t="s">
        <v>239</v>
      </c>
      <c r="R1518" s="14" t="s">
        <v>1930</v>
      </c>
    </row>
    <row r="1519" spans="1:18" s="14" customFormat="1" x14ac:dyDescent="0.25">
      <c r="A1519" s="14" t="str">
        <f>"91396"</f>
        <v>91396</v>
      </c>
      <c r="B1519" s="14" t="str">
        <f>"03140"</f>
        <v>03140</v>
      </c>
      <c r="C1519" s="14" t="str">
        <f>"1921"</f>
        <v>1921</v>
      </c>
      <c r="D1519" s="14" t="str">
        <f>"91396"</f>
        <v>91396</v>
      </c>
      <c r="E1519" s="14" t="s">
        <v>1818</v>
      </c>
      <c r="F1519" s="14" t="s">
        <v>247</v>
      </c>
      <c r="G1519" s="14" t="str">
        <f>"GN0091396"</f>
        <v>GN0091396</v>
      </c>
      <c r="H1519" s="14" t="str">
        <f>" 00"</f>
        <v xml:space="preserve"> 00</v>
      </c>
      <c r="I1519" s="14">
        <v>0.01</v>
      </c>
      <c r="J1519" s="14">
        <v>9999999.9900000002</v>
      </c>
      <c r="K1519" s="14" t="s">
        <v>236</v>
      </c>
      <c r="L1519" s="14" t="s">
        <v>237</v>
      </c>
      <c r="M1519" s="14" t="s">
        <v>238</v>
      </c>
      <c r="O1519" s="14" t="s">
        <v>236</v>
      </c>
      <c r="P1519" s="14" t="s">
        <v>239</v>
      </c>
      <c r="Q1519" s="14" t="s">
        <v>239</v>
      </c>
      <c r="R1519" s="14" t="s">
        <v>1930</v>
      </c>
    </row>
    <row r="1520" spans="1:18" s="14" customFormat="1" x14ac:dyDescent="0.25">
      <c r="A1520" s="14" t="str">
        <f>"91400"</f>
        <v>91400</v>
      </c>
      <c r="B1520" s="14" t="str">
        <f>"03140"</f>
        <v>03140</v>
      </c>
      <c r="C1520" s="14" t="str">
        <f>"1500"</f>
        <v>1500</v>
      </c>
      <c r="D1520" s="14" t="str">
        <f>"91400"</f>
        <v>91400</v>
      </c>
      <c r="E1520" s="14" t="s">
        <v>1819</v>
      </c>
      <c r="F1520" s="14" t="s">
        <v>247</v>
      </c>
      <c r="G1520" s="14" t="str">
        <f>"GN0091400"</f>
        <v>GN0091400</v>
      </c>
      <c r="H1520" s="14" t="str">
        <f>" 00"</f>
        <v xml:space="preserve"> 00</v>
      </c>
      <c r="I1520" s="14">
        <v>0.01</v>
      </c>
      <c r="J1520" s="14">
        <v>9999999.9900000002</v>
      </c>
      <c r="K1520" s="14" t="s">
        <v>236</v>
      </c>
      <c r="L1520" s="14" t="s">
        <v>237</v>
      </c>
      <c r="P1520" s="14" t="s">
        <v>239</v>
      </c>
      <c r="Q1520" s="14" t="s">
        <v>239</v>
      </c>
      <c r="R1520" s="14" t="s">
        <v>1930</v>
      </c>
    </row>
    <row r="1521" spans="1:18" s="14" customFormat="1" x14ac:dyDescent="0.25">
      <c r="A1521" s="14" t="str">
        <f>"91402"</f>
        <v>91402</v>
      </c>
      <c r="B1521" s="14" t="str">
        <f>"03140"</f>
        <v>03140</v>
      </c>
      <c r="C1521" s="14" t="str">
        <f>"1500"</f>
        <v>1500</v>
      </c>
      <c r="D1521" s="14" t="str">
        <f>"91402"</f>
        <v>91402</v>
      </c>
      <c r="E1521" s="14" t="s">
        <v>1820</v>
      </c>
      <c r="F1521" s="14" t="s">
        <v>247</v>
      </c>
      <c r="G1521" s="14" t="str">
        <f>"GN0091402"</f>
        <v>GN0091402</v>
      </c>
      <c r="H1521" s="14" t="str">
        <f>" 00"</f>
        <v xml:space="preserve"> 00</v>
      </c>
      <c r="I1521" s="14">
        <v>0.01</v>
      </c>
      <c r="J1521" s="14">
        <v>9999999.9900000002</v>
      </c>
      <c r="K1521" s="14" t="s">
        <v>236</v>
      </c>
      <c r="L1521" s="14" t="s">
        <v>237</v>
      </c>
      <c r="P1521" s="14" t="s">
        <v>239</v>
      </c>
      <c r="Q1521" s="14" t="s">
        <v>239</v>
      </c>
      <c r="R1521" s="14" t="s">
        <v>1930</v>
      </c>
    </row>
    <row r="1522" spans="1:18" s="14" customFormat="1" x14ac:dyDescent="0.25">
      <c r="A1522" s="14" t="str">
        <f>"91403"</f>
        <v>91403</v>
      </c>
      <c r="B1522" s="14" t="str">
        <f>"03140"</f>
        <v>03140</v>
      </c>
      <c r="C1522" s="14" t="str">
        <f>"1500"</f>
        <v>1500</v>
      </c>
      <c r="D1522" s="14" t="str">
        <f>"91403"</f>
        <v>91403</v>
      </c>
      <c r="E1522" s="14" t="s">
        <v>1821</v>
      </c>
      <c r="F1522" s="14" t="s">
        <v>247</v>
      </c>
      <c r="G1522" s="14" t="str">
        <f>"GN0091403"</f>
        <v>GN0091403</v>
      </c>
      <c r="H1522" s="14" t="str">
        <f>" 00"</f>
        <v xml:space="preserve"> 00</v>
      </c>
      <c r="I1522" s="14">
        <v>0.01</v>
      </c>
      <c r="J1522" s="14">
        <v>9999999.9900000002</v>
      </c>
      <c r="K1522" s="14" t="s">
        <v>236</v>
      </c>
      <c r="L1522" s="14" t="s">
        <v>237</v>
      </c>
      <c r="M1522" s="14" t="s">
        <v>1822</v>
      </c>
      <c r="P1522" s="14" t="s">
        <v>239</v>
      </c>
      <c r="Q1522" s="14" t="s">
        <v>239</v>
      </c>
      <c r="R1522" s="14" t="s">
        <v>1930</v>
      </c>
    </row>
    <row r="1523" spans="1:18" s="14" customFormat="1" x14ac:dyDescent="0.25">
      <c r="A1523" s="14" t="str">
        <f>"91404"</f>
        <v>91404</v>
      </c>
      <c r="B1523" s="14" t="str">
        <f>"03140"</f>
        <v>03140</v>
      </c>
      <c r="C1523" s="14" t="str">
        <f>"1700"</f>
        <v>1700</v>
      </c>
      <c r="D1523" s="14" t="str">
        <f>"91404"</f>
        <v>91404</v>
      </c>
      <c r="E1523" s="14" t="s">
        <v>1823</v>
      </c>
      <c r="F1523" s="14" t="s">
        <v>247</v>
      </c>
      <c r="G1523" s="14" t="str">
        <f>"GN0091404"</f>
        <v>GN0091404</v>
      </c>
      <c r="H1523" s="14" t="str">
        <f>" 00"</f>
        <v xml:space="preserve"> 00</v>
      </c>
      <c r="I1523" s="14">
        <v>0.01</v>
      </c>
      <c r="J1523" s="14">
        <v>9999999.9900000002</v>
      </c>
      <c r="K1523" s="14" t="s">
        <v>236</v>
      </c>
      <c r="L1523" s="14" t="s">
        <v>237</v>
      </c>
      <c r="M1523" s="14" t="s">
        <v>1822</v>
      </c>
      <c r="P1523" s="14" t="s">
        <v>239</v>
      </c>
      <c r="Q1523" s="14" t="s">
        <v>239</v>
      </c>
      <c r="R1523" s="14" t="s">
        <v>1930</v>
      </c>
    </row>
    <row r="1524" spans="1:18" s="14" customFormat="1" x14ac:dyDescent="0.25">
      <c r="A1524" s="14" t="str">
        <f>"91405"</f>
        <v>91405</v>
      </c>
      <c r="B1524" s="14" t="str">
        <f>"03140"</f>
        <v>03140</v>
      </c>
      <c r="C1524" s="14" t="str">
        <f>"1500"</f>
        <v>1500</v>
      </c>
      <c r="D1524" s="14" t="str">
        <f>"91405"</f>
        <v>91405</v>
      </c>
      <c r="E1524" s="14" t="s">
        <v>1824</v>
      </c>
      <c r="F1524" s="14" t="s">
        <v>247</v>
      </c>
      <c r="G1524" s="14" t="str">
        <f>"GN0091405"</f>
        <v>GN0091405</v>
      </c>
      <c r="H1524" s="14" t="str">
        <f>" 00"</f>
        <v xml:space="preserve"> 00</v>
      </c>
      <c r="I1524" s="14">
        <v>0.01</v>
      </c>
      <c r="J1524" s="14">
        <v>9999999.9900000002</v>
      </c>
      <c r="K1524" s="14" t="s">
        <v>236</v>
      </c>
      <c r="L1524" s="14" t="s">
        <v>237</v>
      </c>
      <c r="M1524" s="14" t="s">
        <v>1822</v>
      </c>
      <c r="P1524" s="14" t="s">
        <v>239</v>
      </c>
      <c r="Q1524" s="14" t="s">
        <v>239</v>
      </c>
      <c r="R1524" s="14" t="s">
        <v>1930</v>
      </c>
    </row>
    <row r="1525" spans="1:18" s="14" customFormat="1" x14ac:dyDescent="0.25">
      <c r="A1525" s="14" t="str">
        <f>"92157"</f>
        <v>92157</v>
      </c>
      <c r="B1525" s="14" t="str">
        <f>"03140"</f>
        <v>03140</v>
      </c>
      <c r="C1525" s="14" t="str">
        <f>"1500"</f>
        <v>1500</v>
      </c>
      <c r="D1525" s="14" t="str">
        <f>"92157"</f>
        <v>92157</v>
      </c>
      <c r="E1525" s="14" t="s">
        <v>1826</v>
      </c>
      <c r="F1525" s="14" t="s">
        <v>247</v>
      </c>
      <c r="G1525" s="14" t="str">
        <f>"GN0092157"</f>
        <v>GN0092157</v>
      </c>
      <c r="H1525" s="14" t="str">
        <f>" 00"</f>
        <v xml:space="preserve"> 00</v>
      </c>
      <c r="I1525" s="14">
        <v>0.01</v>
      </c>
      <c r="J1525" s="14">
        <v>9999999.9900000002</v>
      </c>
      <c r="K1525" s="14" t="s">
        <v>236</v>
      </c>
      <c r="L1525" s="14" t="s">
        <v>237</v>
      </c>
      <c r="M1525" s="14" t="s">
        <v>1814</v>
      </c>
      <c r="N1525" s="14" t="s">
        <v>238</v>
      </c>
      <c r="O1525" s="14" t="s">
        <v>236</v>
      </c>
      <c r="P1525" s="14" t="s">
        <v>239</v>
      </c>
      <c r="Q1525" s="14" t="s">
        <v>239</v>
      </c>
      <c r="R1525" s="14" t="s">
        <v>1930</v>
      </c>
    </row>
    <row r="1526" spans="1:18" s="14" customFormat="1" x14ac:dyDescent="0.25">
      <c r="A1526" s="14" t="str">
        <f>"92158"</f>
        <v>92158</v>
      </c>
      <c r="B1526" s="14" t="str">
        <f>"03140"</f>
        <v>03140</v>
      </c>
      <c r="C1526" s="14" t="str">
        <f>"1930"</f>
        <v>1930</v>
      </c>
      <c r="D1526" s="14" t="str">
        <f>"92158"</f>
        <v>92158</v>
      </c>
      <c r="E1526" s="14" t="s">
        <v>1827</v>
      </c>
      <c r="F1526" s="14" t="s">
        <v>247</v>
      </c>
      <c r="G1526" s="14" t="str">
        <f>"GN0092158"</f>
        <v>GN0092158</v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236</v>
      </c>
      <c r="L1526" s="14" t="s">
        <v>237</v>
      </c>
      <c r="M1526" s="14" t="s">
        <v>1822</v>
      </c>
      <c r="P1526" s="14" t="s">
        <v>239</v>
      </c>
      <c r="Q1526" s="14" t="s">
        <v>239</v>
      </c>
      <c r="R1526" s="14" t="s">
        <v>1930</v>
      </c>
    </row>
    <row r="1527" spans="1:18" s="14" customFormat="1" x14ac:dyDescent="0.25">
      <c r="A1527" s="14" t="str">
        <f>"92159"</f>
        <v>92159</v>
      </c>
      <c r="B1527" s="14" t="str">
        <f>"03140"</f>
        <v>03140</v>
      </c>
      <c r="C1527" s="14" t="str">
        <f>"1500"</f>
        <v>1500</v>
      </c>
      <c r="D1527" s="14" t="str">
        <f>"92159"</f>
        <v>92159</v>
      </c>
      <c r="E1527" s="14" t="s">
        <v>1828</v>
      </c>
      <c r="F1527" s="14" t="s">
        <v>247</v>
      </c>
      <c r="G1527" s="14" t="str">
        <f>"GN0092159"</f>
        <v>GN0092159</v>
      </c>
      <c r="H1527" s="14" t="str">
        <f>" 00"</f>
        <v xml:space="preserve"> 00</v>
      </c>
      <c r="I1527" s="14">
        <v>0.01</v>
      </c>
      <c r="J1527" s="14">
        <v>9999999.9900000002</v>
      </c>
      <c r="K1527" s="14" t="s">
        <v>236</v>
      </c>
      <c r="L1527" s="14" t="s">
        <v>237</v>
      </c>
      <c r="M1527" s="14" t="s">
        <v>1822</v>
      </c>
      <c r="P1527" s="14" t="s">
        <v>239</v>
      </c>
      <c r="Q1527" s="14" t="s">
        <v>239</v>
      </c>
      <c r="R1527" s="14" t="s">
        <v>1930</v>
      </c>
    </row>
    <row r="1528" spans="1:18" s="14" customFormat="1" x14ac:dyDescent="0.25">
      <c r="A1528" s="14" t="str">
        <f>"93005"</f>
        <v>93005</v>
      </c>
      <c r="B1528" s="14" t="str">
        <f>"03000"</f>
        <v>03000</v>
      </c>
      <c r="C1528" s="14" t="str">
        <f>"1500"</f>
        <v>1500</v>
      </c>
      <c r="D1528" s="14" t="str">
        <f>"93005"</f>
        <v>93005</v>
      </c>
      <c r="E1528" s="14" t="s">
        <v>1829</v>
      </c>
      <c r="F1528" s="14" t="s">
        <v>217</v>
      </c>
      <c r="G1528" s="14" t="str">
        <f>""</f>
        <v/>
      </c>
      <c r="H1528" s="14" t="str">
        <f>" 00"</f>
        <v xml:space="preserve"> 00</v>
      </c>
      <c r="I1528" s="14">
        <v>0.01</v>
      </c>
      <c r="J1528" s="14">
        <v>9999999.9900000002</v>
      </c>
      <c r="K1528" s="14" t="s">
        <v>34</v>
      </c>
      <c r="P1528" s="14" t="s">
        <v>239</v>
      </c>
      <c r="Q1528" s="14" t="s">
        <v>239</v>
      </c>
      <c r="R1528" s="14" t="s">
        <v>35</v>
      </c>
    </row>
    <row r="1529" spans="1:18" s="14" customFormat="1" x14ac:dyDescent="0.25">
      <c r="A1529" s="14" t="str">
        <f>"93168"</f>
        <v>93168</v>
      </c>
      <c r="B1529" s="14" t="str">
        <f>"03140"</f>
        <v>03140</v>
      </c>
      <c r="C1529" s="14" t="str">
        <f>"1500"</f>
        <v>1500</v>
      </c>
      <c r="D1529" s="14" t="str">
        <f>"93168"</f>
        <v>93168</v>
      </c>
      <c r="E1529" s="14" t="s">
        <v>1830</v>
      </c>
      <c r="F1529" s="14" t="s">
        <v>247</v>
      </c>
      <c r="G1529" s="14" t="str">
        <f>"GN0093168"</f>
        <v>GN0093168</v>
      </c>
      <c r="H1529" s="14" t="str">
        <f>" 00"</f>
        <v xml:space="preserve"> 00</v>
      </c>
      <c r="I1529" s="14">
        <v>0.01</v>
      </c>
      <c r="J1529" s="14">
        <v>9999999.9900000002</v>
      </c>
      <c r="K1529" s="14" t="s">
        <v>236</v>
      </c>
      <c r="L1529" s="14" t="s">
        <v>237</v>
      </c>
      <c r="M1529" s="14" t="s">
        <v>1814</v>
      </c>
      <c r="N1529" s="14" t="s">
        <v>238</v>
      </c>
      <c r="P1529" s="14" t="s">
        <v>239</v>
      </c>
      <c r="Q1529" s="14" t="s">
        <v>239</v>
      </c>
      <c r="R1529" s="14" t="s">
        <v>1930</v>
      </c>
    </row>
    <row r="1530" spans="1:18" s="14" customFormat="1" x14ac:dyDescent="0.25">
      <c r="A1530" s="14" t="str">
        <f>"93170"</f>
        <v>93170</v>
      </c>
      <c r="B1530" s="14" t="str">
        <f>"03140"</f>
        <v>03140</v>
      </c>
      <c r="C1530" s="14" t="str">
        <f>"1930"</f>
        <v>1930</v>
      </c>
      <c r="D1530" s="14" t="str">
        <f>"93170"</f>
        <v>93170</v>
      </c>
      <c r="E1530" s="14" t="s">
        <v>1831</v>
      </c>
      <c r="F1530" s="14" t="s">
        <v>247</v>
      </c>
      <c r="G1530" s="14" t="str">
        <f>"GN0093170"</f>
        <v>GN0093170</v>
      </c>
      <c r="H1530" s="14" t="str">
        <f>" 00"</f>
        <v xml:space="preserve"> 00</v>
      </c>
      <c r="I1530" s="14">
        <v>0.01</v>
      </c>
      <c r="J1530" s="14">
        <v>9999999.9900000002</v>
      </c>
      <c r="K1530" s="14" t="s">
        <v>236</v>
      </c>
      <c r="L1530" s="14" t="s">
        <v>237</v>
      </c>
      <c r="M1530" s="14" t="s">
        <v>1814</v>
      </c>
      <c r="N1530" s="14" t="s">
        <v>238</v>
      </c>
      <c r="O1530" s="14" t="s">
        <v>236</v>
      </c>
      <c r="P1530" s="14" t="s">
        <v>239</v>
      </c>
      <c r="Q1530" s="14" t="s">
        <v>239</v>
      </c>
      <c r="R1530" s="14" t="s">
        <v>1930</v>
      </c>
    </row>
    <row r="1531" spans="1:18" s="14" customFormat="1" x14ac:dyDescent="0.25">
      <c r="A1531" s="14" t="str">
        <f>"93171"</f>
        <v>93171</v>
      </c>
      <c r="B1531" s="14" t="str">
        <f>"03140"</f>
        <v>03140</v>
      </c>
      <c r="C1531" s="14" t="str">
        <f>"1500"</f>
        <v>1500</v>
      </c>
      <c r="D1531" s="14" t="str">
        <f>"93171"</f>
        <v>93171</v>
      </c>
      <c r="E1531" s="14" t="s">
        <v>1832</v>
      </c>
      <c r="F1531" s="14" t="s">
        <v>247</v>
      </c>
      <c r="G1531" s="14" t="str">
        <f>"GN0093171"</f>
        <v>GN0093171</v>
      </c>
      <c r="H1531" s="14" t="str">
        <f>" 00"</f>
        <v xml:space="preserve"> 00</v>
      </c>
      <c r="I1531" s="14">
        <v>0.01</v>
      </c>
      <c r="J1531" s="14">
        <v>9999999.9900000002</v>
      </c>
      <c r="K1531" s="14" t="s">
        <v>236</v>
      </c>
      <c r="L1531" s="14" t="s">
        <v>237</v>
      </c>
      <c r="M1531" s="14" t="s">
        <v>238</v>
      </c>
      <c r="O1531" s="14" t="s">
        <v>236</v>
      </c>
      <c r="P1531" s="14" t="s">
        <v>239</v>
      </c>
      <c r="Q1531" s="14" t="s">
        <v>239</v>
      </c>
      <c r="R1531" s="14" t="s">
        <v>1930</v>
      </c>
    </row>
    <row r="1532" spans="1:18" s="14" customFormat="1" x14ac:dyDescent="0.25">
      <c r="A1532" s="14" t="str">
        <f>"93172"</f>
        <v>93172</v>
      </c>
      <c r="B1532" s="14" t="str">
        <f>"03140"</f>
        <v>03140</v>
      </c>
      <c r="C1532" s="14" t="str">
        <f>"1500"</f>
        <v>1500</v>
      </c>
      <c r="D1532" s="14" t="str">
        <f>"93172"</f>
        <v>93172</v>
      </c>
      <c r="E1532" s="14" t="s">
        <v>1833</v>
      </c>
      <c r="F1532" s="14" t="s">
        <v>247</v>
      </c>
      <c r="G1532" s="14" t="str">
        <f>"GN0093172"</f>
        <v>GN0093172</v>
      </c>
      <c r="H1532" s="14" t="str">
        <f>" 00"</f>
        <v xml:space="preserve"> 00</v>
      </c>
      <c r="I1532" s="14">
        <v>0.01</v>
      </c>
      <c r="J1532" s="14">
        <v>9999999.9900000002</v>
      </c>
      <c r="K1532" s="14" t="s">
        <v>236</v>
      </c>
      <c r="L1532" s="14" t="s">
        <v>237</v>
      </c>
      <c r="M1532" s="14" t="s">
        <v>238</v>
      </c>
      <c r="O1532" s="14" t="s">
        <v>236</v>
      </c>
      <c r="P1532" s="14" t="s">
        <v>239</v>
      </c>
      <c r="Q1532" s="14" t="s">
        <v>239</v>
      </c>
      <c r="R1532" s="14" t="s">
        <v>1930</v>
      </c>
    </row>
    <row r="1533" spans="1:18" s="14" customFormat="1" x14ac:dyDescent="0.25">
      <c r="A1533" s="14" t="str">
        <f>"93173"</f>
        <v>93173</v>
      </c>
      <c r="B1533" s="14" t="str">
        <f>"03140"</f>
        <v>03140</v>
      </c>
      <c r="C1533" s="14" t="str">
        <f>"1500"</f>
        <v>1500</v>
      </c>
      <c r="D1533" s="14" t="str">
        <f>"93173"</f>
        <v>93173</v>
      </c>
      <c r="E1533" s="14" t="s">
        <v>1834</v>
      </c>
      <c r="F1533" s="14" t="s">
        <v>247</v>
      </c>
      <c r="G1533" s="14" t="str">
        <f>"GN0093173"</f>
        <v>GN0093173</v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236</v>
      </c>
      <c r="L1533" s="14" t="s">
        <v>237</v>
      </c>
      <c r="M1533" s="14" t="s">
        <v>1814</v>
      </c>
      <c r="N1533" s="14" t="s">
        <v>238</v>
      </c>
      <c r="O1533" s="14" t="s">
        <v>236</v>
      </c>
      <c r="P1533" s="14" t="s">
        <v>239</v>
      </c>
      <c r="Q1533" s="14" t="s">
        <v>239</v>
      </c>
      <c r="R1533" s="14" t="s">
        <v>1930</v>
      </c>
    </row>
    <row r="1534" spans="1:18" s="14" customFormat="1" x14ac:dyDescent="0.25">
      <c r="A1534" s="14" t="str">
        <f>"93175"</f>
        <v>93175</v>
      </c>
      <c r="B1534" s="14" t="str">
        <f>"03140"</f>
        <v>03140</v>
      </c>
      <c r="C1534" s="14" t="str">
        <f>"1500"</f>
        <v>1500</v>
      </c>
      <c r="D1534" s="14" t="str">
        <f>"93175"</f>
        <v>93175</v>
      </c>
      <c r="E1534" s="14" t="s">
        <v>1835</v>
      </c>
      <c r="F1534" s="14" t="s">
        <v>247</v>
      </c>
      <c r="G1534" s="14" t="str">
        <f>"GN0093175"</f>
        <v>GN0093175</v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236</v>
      </c>
      <c r="L1534" s="14" t="s">
        <v>237</v>
      </c>
      <c r="M1534" s="14" t="s">
        <v>238</v>
      </c>
      <c r="O1534" s="14" t="s">
        <v>236</v>
      </c>
      <c r="P1534" s="14" t="s">
        <v>239</v>
      </c>
      <c r="Q1534" s="14" t="s">
        <v>239</v>
      </c>
      <c r="R1534" s="14" t="s">
        <v>1930</v>
      </c>
    </row>
    <row r="1535" spans="1:18" s="14" customFormat="1" x14ac:dyDescent="0.25">
      <c r="A1535" s="14" t="str">
        <f>"93176"</f>
        <v>93176</v>
      </c>
      <c r="B1535" s="14" t="str">
        <f>"03140"</f>
        <v>03140</v>
      </c>
      <c r="C1535" s="14" t="str">
        <f>"1930"</f>
        <v>1930</v>
      </c>
      <c r="D1535" s="14" t="str">
        <f>"93176"</f>
        <v>93176</v>
      </c>
      <c r="E1535" s="14" t="s">
        <v>1836</v>
      </c>
      <c r="F1535" s="14" t="s">
        <v>247</v>
      </c>
      <c r="G1535" s="14" t="str">
        <f>"GN0093176"</f>
        <v>GN0093176</v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236</v>
      </c>
      <c r="L1535" s="14" t="s">
        <v>237</v>
      </c>
      <c r="M1535" s="14" t="s">
        <v>238</v>
      </c>
      <c r="P1535" s="14" t="s">
        <v>239</v>
      </c>
      <c r="Q1535" s="14" t="s">
        <v>239</v>
      </c>
      <c r="R1535" s="14" t="s">
        <v>1930</v>
      </c>
    </row>
    <row r="1536" spans="1:18" s="14" customFormat="1" x14ac:dyDescent="0.25">
      <c r="A1536" s="14" t="str">
        <f>"93177"</f>
        <v>93177</v>
      </c>
      <c r="B1536" s="14" t="str">
        <f>"03140"</f>
        <v>03140</v>
      </c>
      <c r="C1536" s="14" t="str">
        <f>"1500"</f>
        <v>1500</v>
      </c>
      <c r="D1536" s="14" t="str">
        <f>"93177"</f>
        <v>93177</v>
      </c>
      <c r="E1536" s="14" t="s">
        <v>1837</v>
      </c>
      <c r="F1536" s="14" t="s">
        <v>247</v>
      </c>
      <c r="G1536" s="14" t="str">
        <f>"GN0093177"</f>
        <v>GN0093177</v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236</v>
      </c>
      <c r="L1536" s="14" t="s">
        <v>237</v>
      </c>
      <c r="M1536" s="14" t="s">
        <v>238</v>
      </c>
      <c r="P1536" s="14" t="s">
        <v>239</v>
      </c>
      <c r="Q1536" s="14" t="s">
        <v>239</v>
      </c>
      <c r="R1536" s="14" t="s">
        <v>1930</v>
      </c>
    </row>
    <row r="1537" spans="1:18" s="14" customFormat="1" x14ac:dyDescent="0.25">
      <c r="A1537" s="14" t="str">
        <f>"93178"</f>
        <v>93178</v>
      </c>
      <c r="B1537" s="14" t="str">
        <f>"03140"</f>
        <v>03140</v>
      </c>
      <c r="C1537" s="14" t="str">
        <f>"1500"</f>
        <v>1500</v>
      </c>
      <c r="D1537" s="14" t="str">
        <f>"93178"</f>
        <v>93178</v>
      </c>
      <c r="E1537" s="14" t="s">
        <v>1838</v>
      </c>
      <c r="F1537" s="14" t="s">
        <v>247</v>
      </c>
      <c r="G1537" s="14" t="str">
        <f>"GN0093178"</f>
        <v>GN0093178</v>
      </c>
      <c r="H1537" s="14" t="str">
        <f>" 00"</f>
        <v xml:space="preserve"> 00</v>
      </c>
      <c r="I1537" s="14">
        <v>0.01</v>
      </c>
      <c r="J1537" s="14">
        <v>9999999.9900000002</v>
      </c>
      <c r="K1537" s="14" t="s">
        <v>236</v>
      </c>
      <c r="L1537" s="14" t="s">
        <v>237</v>
      </c>
      <c r="M1537" s="14" t="s">
        <v>238</v>
      </c>
      <c r="P1537" s="14" t="s">
        <v>239</v>
      </c>
      <c r="Q1537" s="14" t="s">
        <v>239</v>
      </c>
      <c r="R1537" s="14" t="s">
        <v>1930</v>
      </c>
    </row>
    <row r="1538" spans="1:18" s="14" customFormat="1" x14ac:dyDescent="0.25">
      <c r="A1538" s="14" t="str">
        <f>"93179"</f>
        <v>93179</v>
      </c>
      <c r="B1538" s="14" t="str">
        <f>"03140"</f>
        <v>03140</v>
      </c>
      <c r="C1538" s="14" t="str">
        <f>"1500"</f>
        <v>1500</v>
      </c>
      <c r="D1538" s="14" t="str">
        <f>"93179"</f>
        <v>93179</v>
      </c>
      <c r="E1538" s="14" t="s">
        <v>1839</v>
      </c>
      <c r="F1538" s="14" t="s">
        <v>247</v>
      </c>
      <c r="G1538" s="14" t="str">
        <f>"GN0093179"</f>
        <v>GN0093179</v>
      </c>
      <c r="H1538" s="14" t="str">
        <f>" 00"</f>
        <v xml:space="preserve"> 00</v>
      </c>
      <c r="I1538" s="14">
        <v>0.01</v>
      </c>
      <c r="J1538" s="14">
        <v>9999999.9900000002</v>
      </c>
      <c r="K1538" s="14" t="s">
        <v>236</v>
      </c>
      <c r="L1538" s="14" t="s">
        <v>237</v>
      </c>
      <c r="M1538" s="14" t="s">
        <v>238</v>
      </c>
      <c r="P1538" s="14" t="s">
        <v>239</v>
      </c>
      <c r="Q1538" s="14" t="s">
        <v>239</v>
      </c>
      <c r="R1538" s="14" t="s">
        <v>1930</v>
      </c>
    </row>
    <row r="1539" spans="1:18" s="14" customFormat="1" x14ac:dyDescent="0.25">
      <c r="A1539" s="14" t="str">
        <f>"95005"</f>
        <v>95005</v>
      </c>
      <c r="B1539" s="14" t="str">
        <f>"03000"</f>
        <v>03000</v>
      </c>
      <c r="C1539" s="14" t="str">
        <f>"1500"</f>
        <v>1500</v>
      </c>
      <c r="D1539" s="14" t="str">
        <f>""</f>
        <v/>
      </c>
      <c r="E1539" s="14" t="s">
        <v>1848</v>
      </c>
      <c r="F1539" s="14" t="s">
        <v>217</v>
      </c>
      <c r="G1539" s="14" t="str">
        <f>""</f>
        <v/>
      </c>
      <c r="H1539" s="14" t="str">
        <f>" 00"</f>
        <v xml:space="preserve"> 00</v>
      </c>
      <c r="I1539" s="14">
        <v>0.01</v>
      </c>
      <c r="J1539" s="14">
        <v>9999999.9900000002</v>
      </c>
      <c r="K1539" s="14" t="s">
        <v>34</v>
      </c>
      <c r="P1539" s="14" t="s">
        <v>239</v>
      </c>
      <c r="Q1539" s="14" t="s">
        <v>239</v>
      </c>
      <c r="R1539" s="14" t="s">
        <v>35</v>
      </c>
    </row>
    <row r="1540" spans="1:18" s="14" customFormat="1" x14ac:dyDescent="0.25">
      <c r="A1540" s="14" t="str">
        <f>"95010"</f>
        <v>95010</v>
      </c>
      <c r="B1540" s="14" t="str">
        <f>"03000"</f>
        <v>03000</v>
      </c>
      <c r="C1540" s="14" t="str">
        <f>"1500"</f>
        <v>1500</v>
      </c>
      <c r="D1540" s="14" t="str">
        <f>""</f>
        <v/>
      </c>
      <c r="E1540" s="14" t="s">
        <v>1849</v>
      </c>
      <c r="F1540" s="14" t="s">
        <v>217</v>
      </c>
      <c r="G1540" s="14" t="str">
        <f>""</f>
        <v/>
      </c>
      <c r="H1540" s="14" t="str">
        <f>" 00"</f>
        <v xml:space="preserve"> 00</v>
      </c>
      <c r="I1540" s="14">
        <v>0.01</v>
      </c>
      <c r="J1540" s="14">
        <v>9999999.9900000002</v>
      </c>
      <c r="K1540" s="14" t="s">
        <v>34</v>
      </c>
      <c r="P1540" s="14" t="s">
        <v>239</v>
      </c>
      <c r="Q1540" s="14" t="s">
        <v>239</v>
      </c>
      <c r="R1540" s="14" t="s">
        <v>35</v>
      </c>
    </row>
    <row r="1541" spans="1:18" s="14" customFormat="1" x14ac:dyDescent="0.25">
      <c r="A1541" s="14" t="str">
        <f>"95011"</f>
        <v>95011</v>
      </c>
      <c r="B1541" s="14" t="str">
        <f>"03000"</f>
        <v>03000</v>
      </c>
      <c r="C1541" s="14" t="str">
        <f>"1500"</f>
        <v>1500</v>
      </c>
      <c r="D1541" s="14" t="str">
        <f>""</f>
        <v/>
      </c>
      <c r="E1541" s="14" t="s">
        <v>1850</v>
      </c>
      <c r="F1541" s="14" t="s">
        <v>217</v>
      </c>
      <c r="G1541" s="14" t="str">
        <f>""</f>
        <v/>
      </c>
      <c r="H1541" s="14" t="str">
        <f>" 00"</f>
        <v xml:space="preserve"> 00</v>
      </c>
      <c r="I1541" s="14">
        <v>0.01</v>
      </c>
      <c r="J1541" s="14">
        <v>9999999.9900000002</v>
      </c>
      <c r="K1541" s="14" t="s">
        <v>34</v>
      </c>
      <c r="P1541" s="14" t="s">
        <v>239</v>
      </c>
      <c r="Q1541" s="14" t="s">
        <v>239</v>
      </c>
      <c r="R1541" s="14" t="s">
        <v>35</v>
      </c>
    </row>
    <row r="1542" spans="1:18" s="14" customFormat="1" x14ac:dyDescent="0.25">
      <c r="A1542" s="14" t="str">
        <f>"95015"</f>
        <v>95015</v>
      </c>
      <c r="B1542" s="14" t="str">
        <f>"03000"</f>
        <v>03000</v>
      </c>
      <c r="C1542" s="14" t="str">
        <f>"1500"</f>
        <v>1500</v>
      </c>
      <c r="D1542" s="14" t="str">
        <f>""</f>
        <v/>
      </c>
      <c r="E1542" s="14" t="s">
        <v>1851</v>
      </c>
      <c r="F1542" s="14" t="s">
        <v>217</v>
      </c>
      <c r="G1542" s="14" t="str">
        <f>""</f>
        <v/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34</v>
      </c>
      <c r="P1542" s="14" t="s">
        <v>239</v>
      </c>
      <c r="Q1542" s="14" t="s">
        <v>239</v>
      </c>
      <c r="R1542" s="14" t="s">
        <v>35</v>
      </c>
    </row>
    <row r="1543" spans="1:18" s="14" customFormat="1" x14ac:dyDescent="0.25">
      <c r="A1543" s="14" t="str">
        <f>"95020"</f>
        <v>95020</v>
      </c>
      <c r="B1543" s="14" t="str">
        <f>"03000"</f>
        <v>03000</v>
      </c>
      <c r="C1543" s="14" t="str">
        <f>"1500"</f>
        <v>1500</v>
      </c>
      <c r="D1543" s="14" t="str">
        <f>""</f>
        <v/>
      </c>
      <c r="E1543" s="14" t="s">
        <v>1852</v>
      </c>
      <c r="F1543" s="14" t="s">
        <v>217</v>
      </c>
      <c r="G1543" s="14" t="str">
        <f>""</f>
        <v/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34</v>
      </c>
      <c r="P1543" s="14" t="s">
        <v>239</v>
      </c>
      <c r="Q1543" s="14" t="s">
        <v>239</v>
      </c>
      <c r="R1543" s="14" t="s">
        <v>35</v>
      </c>
    </row>
    <row r="1544" spans="1:18" s="14" customFormat="1" x14ac:dyDescent="0.25">
      <c r="A1544" s="14" t="str">
        <f>"95025"</f>
        <v>95025</v>
      </c>
      <c r="B1544" s="14" t="str">
        <f>"03000"</f>
        <v>03000</v>
      </c>
      <c r="C1544" s="14" t="str">
        <f>"1500"</f>
        <v>1500</v>
      </c>
      <c r="D1544" s="14" t="str">
        <f>""</f>
        <v/>
      </c>
      <c r="E1544" s="14" t="s">
        <v>1853</v>
      </c>
      <c r="F1544" s="14" t="s">
        <v>217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34</v>
      </c>
      <c r="P1544" s="14" t="s">
        <v>239</v>
      </c>
      <c r="Q1544" s="14" t="s">
        <v>239</v>
      </c>
      <c r="R1544" s="14" t="s">
        <v>35</v>
      </c>
    </row>
    <row r="1545" spans="1:18" s="14" customFormat="1" x14ac:dyDescent="0.25">
      <c r="A1545" s="14" t="str">
        <f>"95035"</f>
        <v>95035</v>
      </c>
      <c r="B1545" s="14" t="str">
        <f>"03000"</f>
        <v>03000</v>
      </c>
      <c r="C1545" s="14" t="str">
        <f>"1500"</f>
        <v>1500</v>
      </c>
      <c r="D1545" s="14" t="str">
        <f>""</f>
        <v/>
      </c>
      <c r="E1545" s="14" t="s">
        <v>1854</v>
      </c>
      <c r="F1545" s="14" t="s">
        <v>217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34</v>
      </c>
      <c r="P1545" s="14" t="s">
        <v>239</v>
      </c>
      <c r="Q1545" s="14" t="s">
        <v>239</v>
      </c>
      <c r="R1545" s="14" t="s">
        <v>35</v>
      </c>
    </row>
    <row r="1546" spans="1:18" s="14" customFormat="1" x14ac:dyDescent="0.25">
      <c r="A1546" s="14" t="str">
        <f>"95040"</f>
        <v>95040</v>
      </c>
      <c r="B1546" s="14" t="str">
        <f>"03000"</f>
        <v>03000</v>
      </c>
      <c r="C1546" s="14" t="str">
        <f>"1500"</f>
        <v>1500</v>
      </c>
      <c r="D1546" s="14" t="str">
        <f>""</f>
        <v/>
      </c>
      <c r="E1546" s="14" t="s">
        <v>1855</v>
      </c>
      <c r="F1546" s="14" t="s">
        <v>217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34</v>
      </c>
      <c r="P1546" s="14" t="s">
        <v>239</v>
      </c>
      <c r="Q1546" s="14" t="s">
        <v>239</v>
      </c>
      <c r="R1546" s="14" t="s">
        <v>35</v>
      </c>
    </row>
    <row r="1547" spans="1:18" s="14" customFormat="1" x14ac:dyDescent="0.25">
      <c r="A1547" s="14" t="str">
        <f>"95045"</f>
        <v>95045</v>
      </c>
      <c r="B1547" s="14" t="str">
        <f>"03000"</f>
        <v>03000</v>
      </c>
      <c r="C1547" s="14" t="str">
        <f>"1500"</f>
        <v>1500</v>
      </c>
      <c r="D1547" s="14" t="str">
        <f>""</f>
        <v/>
      </c>
      <c r="E1547" s="14" t="s">
        <v>1856</v>
      </c>
      <c r="F1547" s="14" t="s">
        <v>217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34</v>
      </c>
      <c r="P1547" s="14" t="s">
        <v>239</v>
      </c>
      <c r="Q1547" s="14" t="s">
        <v>239</v>
      </c>
      <c r="R1547" s="14" t="s">
        <v>35</v>
      </c>
    </row>
    <row r="1548" spans="1:18" s="14" customFormat="1" x14ac:dyDescent="0.25">
      <c r="A1548" s="14" t="str">
        <f>"95050"</f>
        <v>95050</v>
      </c>
      <c r="B1548" s="14" t="str">
        <f>"03000"</f>
        <v>03000</v>
      </c>
      <c r="C1548" s="14" t="str">
        <f>"1500"</f>
        <v>1500</v>
      </c>
      <c r="D1548" s="14" t="str">
        <f>""</f>
        <v/>
      </c>
      <c r="E1548" s="14" t="s">
        <v>1857</v>
      </c>
      <c r="F1548" s="14" t="s">
        <v>217</v>
      </c>
      <c r="G1548" s="14" t="str">
        <f>""</f>
        <v/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34</v>
      </c>
      <c r="P1548" s="14" t="s">
        <v>239</v>
      </c>
      <c r="Q1548" s="14" t="s">
        <v>239</v>
      </c>
      <c r="R1548" s="14" t="s">
        <v>35</v>
      </c>
    </row>
    <row r="1549" spans="1:18" s="14" customFormat="1" x14ac:dyDescent="0.25">
      <c r="A1549" s="14" t="str">
        <f>"95055"</f>
        <v>95055</v>
      </c>
      <c r="B1549" s="14" t="str">
        <f>"03000"</f>
        <v>03000</v>
      </c>
      <c r="C1549" s="14" t="str">
        <f>"1500"</f>
        <v>1500</v>
      </c>
      <c r="D1549" s="14" t="str">
        <f>""</f>
        <v/>
      </c>
      <c r="E1549" s="14" t="s">
        <v>1858</v>
      </c>
      <c r="F1549" s="14" t="s">
        <v>217</v>
      </c>
      <c r="G1549" s="14" t="str">
        <f>""</f>
        <v/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34</v>
      </c>
      <c r="P1549" s="14" t="s">
        <v>239</v>
      </c>
      <c r="Q1549" s="14" t="s">
        <v>239</v>
      </c>
      <c r="R1549" s="14" t="s">
        <v>35</v>
      </c>
    </row>
    <row r="1550" spans="1:18" s="14" customFormat="1" x14ac:dyDescent="0.25">
      <c r="A1550" s="14" t="str">
        <f>"95060"</f>
        <v>95060</v>
      </c>
      <c r="B1550" s="14" t="str">
        <f>"03000"</f>
        <v>03000</v>
      </c>
      <c r="C1550" s="14" t="str">
        <f>"1500"</f>
        <v>1500</v>
      </c>
      <c r="D1550" s="14" t="str">
        <f>""</f>
        <v/>
      </c>
      <c r="E1550" s="14" t="s">
        <v>1859</v>
      </c>
      <c r="F1550" s="14" t="s">
        <v>217</v>
      </c>
      <c r="G1550" s="14" t="str">
        <f>""</f>
        <v/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34</v>
      </c>
      <c r="P1550" s="14" t="s">
        <v>239</v>
      </c>
      <c r="Q1550" s="14" t="s">
        <v>239</v>
      </c>
      <c r="R1550" s="14" t="s">
        <v>35</v>
      </c>
    </row>
    <row r="1551" spans="1:18" s="14" customFormat="1" x14ac:dyDescent="0.25">
      <c r="A1551" s="14" t="str">
        <f>"95065"</f>
        <v>95065</v>
      </c>
      <c r="B1551" s="14" t="str">
        <f>"03000"</f>
        <v>03000</v>
      </c>
      <c r="C1551" s="14" t="str">
        <f>"1500"</f>
        <v>1500</v>
      </c>
      <c r="D1551" s="14" t="str">
        <f>""</f>
        <v/>
      </c>
      <c r="E1551" s="14" t="s">
        <v>1860</v>
      </c>
      <c r="F1551" s="14" t="s">
        <v>217</v>
      </c>
      <c r="G1551" s="14" t="str">
        <f>""</f>
        <v/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34</v>
      </c>
      <c r="P1551" s="14" t="s">
        <v>239</v>
      </c>
      <c r="Q1551" s="14" t="s">
        <v>239</v>
      </c>
      <c r="R1551" s="14" t="s">
        <v>35</v>
      </c>
    </row>
    <row r="1552" spans="1:18" s="14" customFormat="1" x14ac:dyDescent="0.25">
      <c r="A1552" s="14" t="str">
        <f>"95075"</f>
        <v>95075</v>
      </c>
      <c r="B1552" s="14" t="str">
        <f>"03000"</f>
        <v>03000</v>
      </c>
      <c r="C1552" s="14" t="str">
        <f>"1500"</f>
        <v>1500</v>
      </c>
      <c r="D1552" s="14" t="str">
        <f>""</f>
        <v/>
      </c>
      <c r="E1552" s="14" t="s">
        <v>1861</v>
      </c>
      <c r="F1552" s="14" t="s">
        <v>217</v>
      </c>
      <c r="G1552" s="14" t="str">
        <f>""</f>
        <v/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34</v>
      </c>
      <c r="P1552" s="14" t="s">
        <v>239</v>
      </c>
      <c r="Q1552" s="14" t="s">
        <v>239</v>
      </c>
      <c r="R1552" s="14" t="s">
        <v>35</v>
      </c>
    </row>
    <row r="1553" spans="1:18" s="14" customFormat="1" x14ac:dyDescent="0.25">
      <c r="A1553" s="14" t="str">
        <f>"95085"</f>
        <v>95085</v>
      </c>
      <c r="B1553" s="14" t="str">
        <f>"03000"</f>
        <v>03000</v>
      </c>
      <c r="C1553" s="14" t="str">
        <f>"1500"</f>
        <v>1500</v>
      </c>
      <c r="D1553" s="14" t="str">
        <f>""</f>
        <v/>
      </c>
      <c r="E1553" s="14" t="s">
        <v>1862</v>
      </c>
      <c r="F1553" s="14" t="s">
        <v>217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34</v>
      </c>
      <c r="P1553" s="14" t="s">
        <v>239</v>
      </c>
      <c r="Q1553" s="14" t="s">
        <v>239</v>
      </c>
      <c r="R1553" s="14" t="s">
        <v>35</v>
      </c>
    </row>
    <row r="1554" spans="1:18" s="14" customFormat="1" x14ac:dyDescent="0.25">
      <c r="A1554" s="14" t="str">
        <f>"95089"</f>
        <v>95089</v>
      </c>
      <c r="B1554" s="14" t="str">
        <f>"03000"</f>
        <v>03000</v>
      </c>
      <c r="C1554" s="14" t="str">
        <f>"1500"</f>
        <v>1500</v>
      </c>
      <c r="D1554" s="14" t="str">
        <f>""</f>
        <v/>
      </c>
      <c r="E1554" s="14" t="s">
        <v>1863</v>
      </c>
      <c r="F1554" s="14" t="s">
        <v>217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34</v>
      </c>
      <c r="L1554" s="14" t="s">
        <v>226</v>
      </c>
      <c r="P1554" s="14" t="s">
        <v>239</v>
      </c>
      <c r="Q1554" s="14" t="s">
        <v>239</v>
      </c>
      <c r="R1554" s="14" t="s">
        <v>35</v>
      </c>
    </row>
    <row r="1555" spans="1:18" s="14" customFormat="1" x14ac:dyDescent="0.25">
      <c r="A1555" s="14" t="str">
        <f>"95090"</f>
        <v>95090</v>
      </c>
      <c r="B1555" s="14" t="str">
        <f>"03000"</f>
        <v>03000</v>
      </c>
      <c r="C1555" s="14" t="str">
        <f>"1500"</f>
        <v>1500</v>
      </c>
      <c r="D1555" s="14" t="str">
        <f>""</f>
        <v/>
      </c>
      <c r="E1555" s="14" t="s">
        <v>1864</v>
      </c>
      <c r="F1555" s="14" t="s">
        <v>217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34</v>
      </c>
      <c r="P1555" s="14" t="s">
        <v>239</v>
      </c>
      <c r="Q1555" s="14" t="s">
        <v>239</v>
      </c>
      <c r="R1555" s="14" t="s">
        <v>35</v>
      </c>
    </row>
    <row r="1556" spans="1:18" s="14" customFormat="1" x14ac:dyDescent="0.25">
      <c r="A1556" s="14" t="str">
        <f>"95091"</f>
        <v>95091</v>
      </c>
      <c r="B1556" s="14" t="str">
        <f>"03000"</f>
        <v>03000</v>
      </c>
      <c r="C1556" s="14" t="str">
        <f>"1500"</f>
        <v>1500</v>
      </c>
      <c r="D1556" s="14" t="str">
        <f>""</f>
        <v/>
      </c>
      <c r="E1556" s="14" t="s">
        <v>1865</v>
      </c>
      <c r="F1556" s="14" t="s">
        <v>217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34</v>
      </c>
      <c r="L1556" s="14" t="s">
        <v>226</v>
      </c>
      <c r="P1556" s="14" t="s">
        <v>239</v>
      </c>
      <c r="Q1556" s="14" t="s">
        <v>239</v>
      </c>
      <c r="R1556" s="14" t="s">
        <v>35</v>
      </c>
    </row>
    <row r="1557" spans="1:18" s="14" customFormat="1" x14ac:dyDescent="0.25">
      <c r="A1557" s="14" t="str">
        <f>"95092"</f>
        <v>95092</v>
      </c>
      <c r="B1557" s="14" t="str">
        <f>"03000"</f>
        <v>03000</v>
      </c>
      <c r="C1557" s="14" t="str">
        <f>"1500"</f>
        <v>1500</v>
      </c>
      <c r="D1557" s="14" t="str">
        <f>""</f>
        <v/>
      </c>
      <c r="E1557" s="14" t="s">
        <v>1866</v>
      </c>
      <c r="F1557" s="14" t="s">
        <v>217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34</v>
      </c>
      <c r="L1557" s="14" t="s">
        <v>226</v>
      </c>
      <c r="P1557" s="14" t="s">
        <v>239</v>
      </c>
      <c r="Q1557" s="14" t="s">
        <v>239</v>
      </c>
      <c r="R1557" s="14" t="s">
        <v>35</v>
      </c>
    </row>
    <row r="1558" spans="1:18" s="14" customFormat="1" x14ac:dyDescent="0.25">
      <c r="A1558" s="14" t="str">
        <f>"95093"</f>
        <v>95093</v>
      </c>
      <c r="B1558" s="14" t="str">
        <f>"03000"</f>
        <v>03000</v>
      </c>
      <c r="C1558" s="14" t="str">
        <f>"1500"</f>
        <v>1500</v>
      </c>
      <c r="D1558" s="14" t="str">
        <f>""</f>
        <v/>
      </c>
      <c r="E1558" s="14" t="s">
        <v>1867</v>
      </c>
      <c r="F1558" s="14" t="s">
        <v>217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34</v>
      </c>
      <c r="L1558" s="14" t="s">
        <v>226</v>
      </c>
      <c r="P1558" s="14" t="s">
        <v>239</v>
      </c>
      <c r="Q1558" s="14" t="s">
        <v>239</v>
      </c>
      <c r="R1558" s="14" t="s">
        <v>35</v>
      </c>
    </row>
    <row r="1559" spans="1:18" s="14" customFormat="1" x14ac:dyDescent="0.25">
      <c r="A1559" s="14" t="str">
        <f>"95094"</f>
        <v>95094</v>
      </c>
      <c r="B1559" s="14" t="str">
        <f>"03000"</f>
        <v>03000</v>
      </c>
      <c r="C1559" s="14" t="str">
        <f>"1500"</f>
        <v>1500</v>
      </c>
      <c r="D1559" s="14" t="str">
        <f>""</f>
        <v/>
      </c>
      <c r="E1559" s="14" t="s">
        <v>1868</v>
      </c>
      <c r="F1559" s="14" t="s">
        <v>217</v>
      </c>
      <c r="G1559" s="14" t="str">
        <f>""</f>
        <v/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34</v>
      </c>
      <c r="L1559" s="14" t="s">
        <v>226</v>
      </c>
      <c r="P1559" s="14" t="s">
        <v>239</v>
      </c>
      <c r="Q1559" s="14" t="s">
        <v>239</v>
      </c>
      <c r="R1559" s="14" t="s">
        <v>35</v>
      </c>
    </row>
    <row r="1560" spans="1:18" s="14" customFormat="1" x14ac:dyDescent="0.25">
      <c r="A1560" s="14" t="str">
        <f>"95095"</f>
        <v>95095</v>
      </c>
      <c r="B1560" s="14" t="str">
        <f>"03000"</f>
        <v>03000</v>
      </c>
      <c r="C1560" s="14" t="str">
        <f>"1500"</f>
        <v>1500</v>
      </c>
      <c r="D1560" s="14" t="str">
        <f>""</f>
        <v/>
      </c>
      <c r="E1560" s="14" t="s">
        <v>1869</v>
      </c>
      <c r="F1560" s="14" t="s">
        <v>217</v>
      </c>
      <c r="G1560" s="14" t="str">
        <f>""</f>
        <v/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34</v>
      </c>
      <c r="P1560" s="14" t="s">
        <v>239</v>
      </c>
      <c r="Q1560" s="14" t="s">
        <v>239</v>
      </c>
      <c r="R1560" s="14" t="s">
        <v>35</v>
      </c>
    </row>
    <row r="1561" spans="1:18" s="14" customFormat="1" x14ac:dyDescent="0.25">
      <c r="A1561" s="14" t="str">
        <f>"95096"</f>
        <v>95096</v>
      </c>
      <c r="B1561" s="14" t="str">
        <f>"03000"</f>
        <v>03000</v>
      </c>
      <c r="C1561" s="14" t="str">
        <f>"1500"</f>
        <v>1500</v>
      </c>
      <c r="D1561" s="14" t="str">
        <f>""</f>
        <v/>
      </c>
      <c r="E1561" s="14" t="s">
        <v>1870</v>
      </c>
      <c r="F1561" s="14" t="s">
        <v>217</v>
      </c>
      <c r="G1561" s="14" t="str">
        <f>""</f>
        <v/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34</v>
      </c>
      <c r="P1561" s="14" t="s">
        <v>239</v>
      </c>
      <c r="Q1561" s="14" t="s">
        <v>239</v>
      </c>
      <c r="R1561" s="14" t="s">
        <v>35</v>
      </c>
    </row>
    <row r="1562" spans="1:18" s="14" customFormat="1" x14ac:dyDescent="0.25">
      <c r="A1562" s="14" t="str">
        <f>"95097"</f>
        <v>95097</v>
      </c>
      <c r="B1562" s="14" t="str">
        <f>"03000"</f>
        <v>03000</v>
      </c>
      <c r="C1562" s="14" t="str">
        <f>"1500"</f>
        <v>1500</v>
      </c>
      <c r="D1562" s="14" t="str">
        <f>""</f>
        <v/>
      </c>
      <c r="E1562" s="14" t="s">
        <v>1871</v>
      </c>
      <c r="F1562" s="14" t="s">
        <v>217</v>
      </c>
      <c r="G1562" s="14" t="str">
        <f>""</f>
        <v/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34</v>
      </c>
      <c r="P1562" s="14" t="s">
        <v>239</v>
      </c>
      <c r="Q1562" s="14" t="s">
        <v>239</v>
      </c>
      <c r="R1562" s="14" t="s">
        <v>35</v>
      </c>
    </row>
    <row r="1563" spans="1:18" s="14" customFormat="1" x14ac:dyDescent="0.25">
      <c r="A1563" s="14" t="str">
        <f>"95098"</f>
        <v>95098</v>
      </c>
      <c r="B1563" s="14" t="str">
        <f>"03000"</f>
        <v>03000</v>
      </c>
      <c r="C1563" s="14" t="str">
        <f>"1500"</f>
        <v>1500</v>
      </c>
      <c r="D1563" s="14" t="str">
        <f>""</f>
        <v/>
      </c>
      <c r="E1563" s="14" t="s">
        <v>1872</v>
      </c>
      <c r="F1563" s="14" t="s">
        <v>217</v>
      </c>
      <c r="G1563" s="14" t="str">
        <f>""</f>
        <v/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34</v>
      </c>
      <c r="P1563" s="14" t="s">
        <v>239</v>
      </c>
      <c r="Q1563" s="14" t="s">
        <v>239</v>
      </c>
      <c r="R1563" s="14" t="s">
        <v>35</v>
      </c>
    </row>
    <row r="1564" spans="1:18" s="14" customFormat="1" x14ac:dyDescent="0.25">
      <c r="A1564" s="14" t="str">
        <f>"95099"</f>
        <v>95099</v>
      </c>
      <c r="B1564" s="14" t="str">
        <f>"03000"</f>
        <v>03000</v>
      </c>
      <c r="C1564" s="14" t="str">
        <f>"1500"</f>
        <v>1500</v>
      </c>
      <c r="D1564" s="14" t="str">
        <f>""</f>
        <v/>
      </c>
      <c r="E1564" s="14" t="s">
        <v>1873</v>
      </c>
      <c r="F1564" s="14" t="s">
        <v>217</v>
      </c>
      <c r="G1564" s="14" t="str">
        <f>""</f>
        <v/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34</v>
      </c>
      <c r="P1564" s="14" t="s">
        <v>239</v>
      </c>
      <c r="Q1564" s="14" t="s">
        <v>239</v>
      </c>
      <c r="R1564" s="14" t="s">
        <v>35</v>
      </c>
    </row>
    <row r="1565" spans="1:18" s="14" customFormat="1" x14ac:dyDescent="0.25">
      <c r="A1565" s="14" t="str">
        <f>"95101"</f>
        <v>95101</v>
      </c>
      <c r="B1565" s="14" t="str">
        <f>"03000"</f>
        <v>03000</v>
      </c>
      <c r="C1565" s="14" t="str">
        <f>"1500"</f>
        <v>1500</v>
      </c>
      <c r="D1565" s="14" t="str">
        <f>""</f>
        <v/>
      </c>
      <c r="E1565" s="14" t="s">
        <v>1874</v>
      </c>
      <c r="F1565" s="14" t="s">
        <v>217</v>
      </c>
      <c r="G1565" s="14" t="str">
        <f>""</f>
        <v/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34</v>
      </c>
      <c r="P1565" s="14" t="s">
        <v>239</v>
      </c>
      <c r="Q1565" s="14" t="s">
        <v>239</v>
      </c>
      <c r="R1565" s="14" t="s">
        <v>35</v>
      </c>
    </row>
    <row r="1566" spans="1:18" s="14" customFormat="1" x14ac:dyDescent="0.25">
      <c r="A1566" s="14" t="str">
        <f>"95104"</f>
        <v>95104</v>
      </c>
      <c r="B1566" s="14" t="str">
        <f>"03000"</f>
        <v>03000</v>
      </c>
      <c r="C1566" s="14" t="str">
        <f>"1500"</f>
        <v>1500</v>
      </c>
      <c r="D1566" s="14" t="str">
        <f>""</f>
        <v/>
      </c>
      <c r="E1566" s="14" t="s">
        <v>1875</v>
      </c>
      <c r="F1566" s="14" t="s">
        <v>217</v>
      </c>
      <c r="G1566" s="14" t="str">
        <f>""</f>
        <v/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34</v>
      </c>
      <c r="P1566" s="14" t="s">
        <v>239</v>
      </c>
      <c r="Q1566" s="14" t="s">
        <v>239</v>
      </c>
      <c r="R1566" s="14" t="s">
        <v>35</v>
      </c>
    </row>
    <row r="1567" spans="1:18" s="14" customFormat="1" x14ac:dyDescent="0.25">
      <c r="A1567" s="14" t="str">
        <f>"95105"</f>
        <v>95105</v>
      </c>
      <c r="B1567" s="14" t="str">
        <f>"03000"</f>
        <v>03000</v>
      </c>
      <c r="C1567" s="14" t="str">
        <f>"1500"</f>
        <v>1500</v>
      </c>
      <c r="D1567" s="14" t="str">
        <f>""</f>
        <v/>
      </c>
      <c r="E1567" s="14" t="s">
        <v>1876</v>
      </c>
      <c r="F1567" s="14" t="s">
        <v>217</v>
      </c>
      <c r="G1567" s="14" t="str">
        <f>""</f>
        <v/>
      </c>
      <c r="H1567" s="14" t="str">
        <f>" 00"</f>
        <v xml:space="preserve"> 00</v>
      </c>
      <c r="I1567" s="14">
        <v>0.01</v>
      </c>
      <c r="J1567" s="14">
        <v>9999999.9900000002</v>
      </c>
      <c r="K1567" s="14" t="s">
        <v>34</v>
      </c>
      <c r="P1567" s="14" t="s">
        <v>239</v>
      </c>
      <c r="Q1567" s="14" t="s">
        <v>239</v>
      </c>
      <c r="R1567" s="14" t="s">
        <v>35</v>
      </c>
    </row>
    <row r="1568" spans="1:18" s="14" customFormat="1" x14ac:dyDescent="0.25">
      <c r="A1568" s="14" t="str">
        <f>"95107"</f>
        <v>95107</v>
      </c>
      <c r="B1568" s="14" t="str">
        <f>"03000"</f>
        <v>03000</v>
      </c>
      <c r="C1568" s="14" t="str">
        <f>"1500"</f>
        <v>1500</v>
      </c>
      <c r="D1568" s="14" t="str">
        <f>""</f>
        <v/>
      </c>
      <c r="E1568" s="14" t="s">
        <v>1877</v>
      </c>
      <c r="F1568" s="14" t="s">
        <v>217</v>
      </c>
      <c r="G1568" s="14" t="str">
        <f>""</f>
        <v/>
      </c>
      <c r="H1568" s="14" t="str">
        <f>" 00"</f>
        <v xml:space="preserve"> 00</v>
      </c>
      <c r="I1568" s="14">
        <v>0.01</v>
      </c>
      <c r="J1568" s="14">
        <v>9999999.9900000002</v>
      </c>
      <c r="K1568" s="14" t="s">
        <v>34</v>
      </c>
      <c r="P1568" s="14" t="s">
        <v>239</v>
      </c>
      <c r="Q1568" s="14" t="s">
        <v>239</v>
      </c>
      <c r="R1568" s="14" t="s">
        <v>35</v>
      </c>
    </row>
    <row r="1569" spans="1:18" s="14" customFormat="1" x14ac:dyDescent="0.25">
      <c r="A1569" s="14" t="str">
        <f>"95108"</f>
        <v>95108</v>
      </c>
      <c r="B1569" s="14" t="str">
        <f>"03000"</f>
        <v>03000</v>
      </c>
      <c r="C1569" s="14" t="str">
        <f>"1500"</f>
        <v>1500</v>
      </c>
      <c r="D1569" s="14" t="str">
        <f>""</f>
        <v/>
      </c>
      <c r="E1569" s="14" t="s">
        <v>1878</v>
      </c>
      <c r="F1569" s="14" t="s">
        <v>217</v>
      </c>
      <c r="G1569" s="14" t="str">
        <f>""</f>
        <v/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34</v>
      </c>
      <c r="P1569" s="14" t="s">
        <v>239</v>
      </c>
      <c r="Q1569" s="14" t="s">
        <v>239</v>
      </c>
      <c r="R1569" s="14" t="s">
        <v>35</v>
      </c>
    </row>
    <row r="1570" spans="1:18" s="14" customFormat="1" x14ac:dyDescent="0.25">
      <c r="A1570" s="14" t="str">
        <f>"95110"</f>
        <v>95110</v>
      </c>
      <c r="B1570" s="14" t="str">
        <f>"03000"</f>
        <v>03000</v>
      </c>
      <c r="C1570" s="14" t="str">
        <f>"1500"</f>
        <v>1500</v>
      </c>
      <c r="D1570" s="14" t="str">
        <f>""</f>
        <v/>
      </c>
      <c r="E1570" s="14" t="s">
        <v>1879</v>
      </c>
      <c r="F1570" s="14" t="s">
        <v>217</v>
      </c>
      <c r="G1570" s="14" t="str">
        <f>""</f>
        <v/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34</v>
      </c>
      <c r="P1570" s="14" t="s">
        <v>239</v>
      </c>
      <c r="Q1570" s="14" t="s">
        <v>239</v>
      </c>
      <c r="R1570" s="14" t="s">
        <v>35</v>
      </c>
    </row>
    <row r="1571" spans="1:18" s="14" customFormat="1" x14ac:dyDescent="0.25">
      <c r="A1571" s="14" t="str">
        <f>"95111"</f>
        <v>95111</v>
      </c>
      <c r="B1571" s="14" t="str">
        <f>"03000"</f>
        <v>03000</v>
      </c>
      <c r="C1571" s="14" t="str">
        <f>"1500"</f>
        <v>1500</v>
      </c>
      <c r="D1571" s="14" t="str">
        <f>""</f>
        <v/>
      </c>
      <c r="E1571" s="14" t="s">
        <v>1880</v>
      </c>
      <c r="F1571" s="14" t="s">
        <v>217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34</v>
      </c>
      <c r="P1571" s="14" t="s">
        <v>239</v>
      </c>
      <c r="Q1571" s="14" t="s">
        <v>239</v>
      </c>
      <c r="R1571" s="14" t="s">
        <v>35</v>
      </c>
    </row>
    <row r="1572" spans="1:18" s="14" customFormat="1" x14ac:dyDescent="0.25">
      <c r="A1572" s="14" t="str">
        <f>"95112"</f>
        <v>95112</v>
      </c>
      <c r="B1572" s="14" t="str">
        <f>"03000"</f>
        <v>03000</v>
      </c>
      <c r="C1572" s="14" t="str">
        <f>"1500"</f>
        <v>1500</v>
      </c>
      <c r="D1572" s="14" t="str">
        <f>""</f>
        <v/>
      </c>
      <c r="E1572" s="14" t="s">
        <v>1881</v>
      </c>
      <c r="F1572" s="14" t="s">
        <v>217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34</v>
      </c>
      <c r="P1572" s="14" t="s">
        <v>239</v>
      </c>
      <c r="Q1572" s="14" t="s">
        <v>239</v>
      </c>
      <c r="R1572" s="14" t="s">
        <v>35</v>
      </c>
    </row>
    <row r="1573" spans="1:18" s="14" customFormat="1" x14ac:dyDescent="0.25">
      <c r="A1573" s="14" t="str">
        <f>"95113"</f>
        <v>95113</v>
      </c>
      <c r="B1573" s="14" t="str">
        <f>"03000"</f>
        <v>03000</v>
      </c>
      <c r="C1573" s="14" t="str">
        <f>"1500"</f>
        <v>1500</v>
      </c>
      <c r="D1573" s="14" t="str">
        <f>""</f>
        <v/>
      </c>
      <c r="E1573" s="14" t="s">
        <v>1882</v>
      </c>
      <c r="F1573" s="14" t="s">
        <v>217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34</v>
      </c>
      <c r="P1573" s="14" t="s">
        <v>239</v>
      </c>
      <c r="Q1573" s="14" t="s">
        <v>239</v>
      </c>
      <c r="R1573" s="14" t="s">
        <v>35</v>
      </c>
    </row>
    <row r="1574" spans="1:18" s="14" customFormat="1" x14ac:dyDescent="0.25">
      <c r="A1574" s="14" t="str">
        <f>"95114"</f>
        <v>95114</v>
      </c>
      <c r="B1574" s="14" t="str">
        <f>"03000"</f>
        <v>03000</v>
      </c>
      <c r="C1574" s="14" t="str">
        <f>"1500"</f>
        <v>1500</v>
      </c>
      <c r="D1574" s="14" t="str">
        <f>""</f>
        <v/>
      </c>
      <c r="E1574" s="14" t="s">
        <v>1883</v>
      </c>
      <c r="F1574" s="14" t="s">
        <v>217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34</v>
      </c>
      <c r="P1574" s="14" t="s">
        <v>239</v>
      </c>
      <c r="Q1574" s="14" t="s">
        <v>239</v>
      </c>
      <c r="R1574" s="14" t="s">
        <v>35</v>
      </c>
    </row>
    <row r="1575" spans="1:18" s="14" customFormat="1" x14ac:dyDescent="0.25">
      <c r="A1575" s="14" t="str">
        <f>"95115"</f>
        <v>95115</v>
      </c>
      <c r="B1575" s="14" t="str">
        <f>"03000"</f>
        <v>03000</v>
      </c>
      <c r="C1575" s="14" t="str">
        <f>"1500"</f>
        <v>1500</v>
      </c>
      <c r="D1575" s="14" t="str">
        <f>""</f>
        <v/>
      </c>
      <c r="E1575" s="14" t="s">
        <v>1884</v>
      </c>
      <c r="F1575" s="14" t="s">
        <v>217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34</v>
      </c>
      <c r="P1575" s="14" t="s">
        <v>239</v>
      </c>
      <c r="Q1575" s="14" t="s">
        <v>239</v>
      </c>
      <c r="R1575" s="14" t="s">
        <v>35</v>
      </c>
    </row>
    <row r="1576" spans="1:18" s="14" customFormat="1" x14ac:dyDescent="0.25">
      <c r="A1576" s="14" t="str">
        <f>"95116"</f>
        <v>95116</v>
      </c>
      <c r="B1576" s="14" t="str">
        <f>"03000"</f>
        <v>03000</v>
      </c>
      <c r="C1576" s="14" t="str">
        <f>"1500"</f>
        <v>1500</v>
      </c>
      <c r="D1576" s="14" t="str">
        <f>""</f>
        <v/>
      </c>
      <c r="E1576" s="14" t="s">
        <v>1885</v>
      </c>
      <c r="F1576" s="14" t="s">
        <v>217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34</v>
      </c>
      <c r="P1576" s="14" t="s">
        <v>239</v>
      </c>
      <c r="Q1576" s="14" t="s">
        <v>239</v>
      </c>
      <c r="R1576" s="14" t="s">
        <v>35</v>
      </c>
    </row>
    <row r="1577" spans="1:18" s="14" customFormat="1" x14ac:dyDescent="0.25">
      <c r="A1577" s="14" t="str">
        <f>"95118"</f>
        <v>95118</v>
      </c>
      <c r="B1577" s="14" t="str">
        <f>"03000"</f>
        <v>03000</v>
      </c>
      <c r="C1577" s="14" t="str">
        <f>"1500"</f>
        <v>1500</v>
      </c>
      <c r="D1577" s="14" t="str">
        <f>""</f>
        <v/>
      </c>
      <c r="E1577" s="14" t="s">
        <v>1886</v>
      </c>
      <c r="F1577" s="14" t="s">
        <v>217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34</v>
      </c>
      <c r="P1577" s="14" t="s">
        <v>239</v>
      </c>
      <c r="Q1577" s="14" t="s">
        <v>239</v>
      </c>
      <c r="R1577" s="14" t="s">
        <v>35</v>
      </c>
    </row>
    <row r="1578" spans="1:18" s="14" customFormat="1" x14ac:dyDescent="0.25">
      <c r="A1578" s="14" t="str">
        <f>"95119"</f>
        <v>95119</v>
      </c>
      <c r="B1578" s="14" t="str">
        <f>"03000"</f>
        <v>03000</v>
      </c>
      <c r="C1578" s="14" t="str">
        <f>"1500"</f>
        <v>1500</v>
      </c>
      <c r="D1578" s="14" t="str">
        <f>""</f>
        <v/>
      </c>
      <c r="E1578" s="14" t="s">
        <v>1887</v>
      </c>
      <c r="F1578" s="14" t="s">
        <v>217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34</v>
      </c>
      <c r="P1578" s="14" t="s">
        <v>239</v>
      </c>
      <c r="Q1578" s="14" t="s">
        <v>239</v>
      </c>
      <c r="R1578" s="14" t="s">
        <v>35</v>
      </c>
    </row>
    <row r="1579" spans="1:18" s="14" customFormat="1" x14ac:dyDescent="0.25">
      <c r="A1579" s="14" t="str">
        <f>"95120"</f>
        <v>95120</v>
      </c>
      <c r="B1579" s="14" t="str">
        <f>"03000"</f>
        <v>03000</v>
      </c>
      <c r="C1579" s="14" t="str">
        <f>"1500"</f>
        <v>1500</v>
      </c>
      <c r="D1579" s="14" t="str">
        <f>""</f>
        <v/>
      </c>
      <c r="E1579" s="14" t="s">
        <v>1888</v>
      </c>
      <c r="F1579" s="14" t="s">
        <v>217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34</v>
      </c>
      <c r="P1579" s="14" t="s">
        <v>239</v>
      </c>
      <c r="Q1579" s="14" t="s">
        <v>239</v>
      </c>
      <c r="R1579" s="14" t="s">
        <v>35</v>
      </c>
    </row>
    <row r="1580" spans="1:18" s="14" customFormat="1" x14ac:dyDescent="0.25">
      <c r="A1580" s="14" t="str">
        <f>"95122"</f>
        <v>95122</v>
      </c>
      <c r="B1580" s="14" t="str">
        <f>"03000"</f>
        <v>03000</v>
      </c>
      <c r="C1580" s="14" t="str">
        <f>"1500"</f>
        <v>1500</v>
      </c>
      <c r="D1580" s="14" t="str">
        <f>""</f>
        <v/>
      </c>
      <c r="E1580" s="14" t="s">
        <v>1889</v>
      </c>
      <c r="F1580" s="14" t="s">
        <v>217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34</v>
      </c>
      <c r="P1580" s="14" t="s">
        <v>239</v>
      </c>
      <c r="Q1580" s="14" t="s">
        <v>239</v>
      </c>
      <c r="R1580" s="14" t="s">
        <v>35</v>
      </c>
    </row>
    <row r="1581" spans="1:18" s="14" customFormat="1" x14ac:dyDescent="0.25">
      <c r="A1581" s="14" t="str">
        <f>"95123"</f>
        <v>95123</v>
      </c>
      <c r="B1581" s="14" t="str">
        <f>"03000"</f>
        <v>03000</v>
      </c>
      <c r="C1581" s="14" t="str">
        <f>"1500"</f>
        <v>1500</v>
      </c>
      <c r="D1581" s="14" t="str">
        <f>""</f>
        <v/>
      </c>
      <c r="E1581" s="14" t="s">
        <v>1890</v>
      </c>
      <c r="F1581" s="14" t="s">
        <v>217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34</v>
      </c>
      <c r="P1581" s="14" t="s">
        <v>239</v>
      </c>
      <c r="Q1581" s="14" t="s">
        <v>239</v>
      </c>
      <c r="R1581" s="14" t="s">
        <v>35</v>
      </c>
    </row>
    <row r="1582" spans="1:18" s="14" customFormat="1" x14ac:dyDescent="0.25">
      <c r="A1582" s="14" t="str">
        <f>"95124"</f>
        <v>95124</v>
      </c>
      <c r="B1582" s="14" t="str">
        <f>"03000"</f>
        <v>03000</v>
      </c>
      <c r="C1582" s="14" t="str">
        <f>"1500"</f>
        <v>1500</v>
      </c>
      <c r="D1582" s="14" t="str">
        <f>""</f>
        <v/>
      </c>
      <c r="E1582" s="14" t="s">
        <v>1891</v>
      </c>
      <c r="F1582" s="14" t="s">
        <v>217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34</v>
      </c>
      <c r="P1582" s="14" t="s">
        <v>239</v>
      </c>
      <c r="Q1582" s="14" t="s">
        <v>239</v>
      </c>
      <c r="R1582" s="14" t="s">
        <v>35</v>
      </c>
    </row>
    <row r="1583" spans="1:18" s="14" customFormat="1" x14ac:dyDescent="0.25">
      <c r="A1583" s="14" t="str">
        <f>"95125"</f>
        <v>95125</v>
      </c>
      <c r="B1583" s="14" t="str">
        <f>"03000"</f>
        <v>03000</v>
      </c>
      <c r="C1583" s="14" t="str">
        <f>"1500"</f>
        <v>1500</v>
      </c>
      <c r="D1583" s="14" t="str">
        <f>""</f>
        <v/>
      </c>
      <c r="E1583" s="14" t="s">
        <v>1892</v>
      </c>
      <c r="F1583" s="14" t="s">
        <v>217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34</v>
      </c>
      <c r="P1583" s="14" t="s">
        <v>239</v>
      </c>
      <c r="Q1583" s="14" t="s">
        <v>239</v>
      </c>
      <c r="R1583" s="14" t="s">
        <v>35</v>
      </c>
    </row>
    <row r="1584" spans="1:18" s="14" customFormat="1" x14ac:dyDescent="0.25">
      <c r="A1584" s="14" t="str">
        <f>"95126"</f>
        <v>95126</v>
      </c>
      <c r="B1584" s="14" t="str">
        <f>"03000"</f>
        <v>03000</v>
      </c>
      <c r="C1584" s="14" t="str">
        <f>"1500"</f>
        <v>1500</v>
      </c>
      <c r="D1584" s="14" t="str">
        <f>""</f>
        <v/>
      </c>
      <c r="E1584" s="14" t="s">
        <v>1893</v>
      </c>
      <c r="F1584" s="14" t="s">
        <v>217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34</v>
      </c>
      <c r="P1584" s="14" t="s">
        <v>239</v>
      </c>
      <c r="Q1584" s="14" t="s">
        <v>239</v>
      </c>
      <c r="R1584" s="14" t="s">
        <v>35</v>
      </c>
    </row>
    <row r="1585" spans="1:18" s="14" customFormat="1" x14ac:dyDescent="0.25">
      <c r="A1585" s="14" t="str">
        <f>"95127"</f>
        <v>95127</v>
      </c>
      <c r="B1585" s="14" t="str">
        <f>"03000"</f>
        <v>03000</v>
      </c>
      <c r="C1585" s="14" t="str">
        <f>"1500"</f>
        <v>1500</v>
      </c>
      <c r="D1585" s="14" t="str">
        <f>""</f>
        <v/>
      </c>
      <c r="E1585" s="14" t="s">
        <v>1894</v>
      </c>
      <c r="F1585" s="14" t="s">
        <v>217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34</v>
      </c>
      <c r="P1585" s="14" t="s">
        <v>239</v>
      </c>
      <c r="Q1585" s="14" t="s">
        <v>239</v>
      </c>
      <c r="R1585" s="14" t="s">
        <v>35</v>
      </c>
    </row>
    <row r="1586" spans="1:18" s="14" customFormat="1" x14ac:dyDescent="0.25">
      <c r="A1586" s="14" t="str">
        <f>"95128"</f>
        <v>95128</v>
      </c>
      <c r="B1586" s="14" t="str">
        <f>"03000"</f>
        <v>03000</v>
      </c>
      <c r="C1586" s="14" t="str">
        <f>"1500"</f>
        <v>1500</v>
      </c>
      <c r="D1586" s="14" t="str">
        <f>""</f>
        <v/>
      </c>
      <c r="E1586" s="14" t="s">
        <v>1895</v>
      </c>
      <c r="F1586" s="14" t="s">
        <v>217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34</v>
      </c>
      <c r="P1586" s="14" t="s">
        <v>239</v>
      </c>
      <c r="Q1586" s="14" t="s">
        <v>239</v>
      </c>
      <c r="R1586" s="14" t="s">
        <v>35</v>
      </c>
    </row>
    <row r="1587" spans="1:18" s="14" customFormat="1" x14ac:dyDescent="0.25">
      <c r="A1587" s="14" t="str">
        <f>"95129"</f>
        <v>95129</v>
      </c>
      <c r="B1587" s="14" t="str">
        <f>"03000"</f>
        <v>03000</v>
      </c>
      <c r="C1587" s="14" t="str">
        <f>"1500"</f>
        <v>1500</v>
      </c>
      <c r="D1587" s="14" t="str">
        <f>""</f>
        <v/>
      </c>
      <c r="E1587" s="14" t="s">
        <v>1896</v>
      </c>
      <c r="F1587" s="14" t="s">
        <v>217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34</v>
      </c>
      <c r="P1587" s="14" t="s">
        <v>239</v>
      </c>
      <c r="Q1587" s="14" t="s">
        <v>239</v>
      </c>
      <c r="R1587" s="14" t="s">
        <v>35</v>
      </c>
    </row>
    <row r="1588" spans="1:18" s="14" customFormat="1" x14ac:dyDescent="0.25">
      <c r="A1588" s="14" t="str">
        <f>"95130"</f>
        <v>95130</v>
      </c>
      <c r="B1588" s="14" t="str">
        <f>"03000"</f>
        <v>03000</v>
      </c>
      <c r="C1588" s="14" t="str">
        <f>"1500"</f>
        <v>1500</v>
      </c>
      <c r="D1588" s="14" t="str">
        <f>""</f>
        <v/>
      </c>
      <c r="E1588" s="14" t="s">
        <v>1897</v>
      </c>
      <c r="F1588" s="14" t="s">
        <v>217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34</v>
      </c>
      <c r="P1588" s="14" t="s">
        <v>239</v>
      </c>
      <c r="Q1588" s="14" t="s">
        <v>239</v>
      </c>
      <c r="R1588" s="14" t="s">
        <v>35</v>
      </c>
    </row>
    <row r="1589" spans="1:18" s="14" customFormat="1" x14ac:dyDescent="0.25">
      <c r="A1589" s="14" t="str">
        <f>"95131"</f>
        <v>95131</v>
      </c>
      <c r="B1589" s="14" t="str">
        <f>"03000"</f>
        <v>03000</v>
      </c>
      <c r="C1589" s="14" t="str">
        <f>"1500"</f>
        <v>1500</v>
      </c>
      <c r="D1589" s="14" t="str">
        <f>""</f>
        <v/>
      </c>
      <c r="E1589" s="14" t="s">
        <v>1898</v>
      </c>
      <c r="F1589" s="14" t="s">
        <v>217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34</v>
      </c>
      <c r="P1589" s="14" t="s">
        <v>239</v>
      </c>
      <c r="Q1589" s="14" t="s">
        <v>239</v>
      </c>
      <c r="R1589" s="14" t="s">
        <v>35</v>
      </c>
    </row>
    <row r="1590" spans="1:18" s="14" customFormat="1" x14ac:dyDescent="0.25">
      <c r="A1590" s="14" t="str">
        <f>"95132"</f>
        <v>95132</v>
      </c>
      <c r="B1590" s="14" t="str">
        <f>"03000"</f>
        <v>03000</v>
      </c>
      <c r="C1590" s="14" t="str">
        <f>"1500"</f>
        <v>1500</v>
      </c>
      <c r="D1590" s="14" t="str">
        <f>""</f>
        <v/>
      </c>
      <c r="E1590" s="14" t="s">
        <v>1899</v>
      </c>
      <c r="F1590" s="14" t="s">
        <v>217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34</v>
      </c>
      <c r="P1590" s="14" t="s">
        <v>239</v>
      </c>
      <c r="Q1590" s="14" t="s">
        <v>239</v>
      </c>
      <c r="R1590" s="14" t="s">
        <v>35</v>
      </c>
    </row>
    <row r="1591" spans="1:18" s="14" customFormat="1" x14ac:dyDescent="0.25">
      <c r="A1591" s="14" t="str">
        <f>"95133"</f>
        <v>95133</v>
      </c>
      <c r="B1591" s="14" t="str">
        <f>"03000"</f>
        <v>03000</v>
      </c>
      <c r="C1591" s="14" t="str">
        <f>"1500"</f>
        <v>1500</v>
      </c>
      <c r="D1591" s="14" t="str">
        <f>""</f>
        <v/>
      </c>
      <c r="E1591" s="14" t="s">
        <v>1900</v>
      </c>
      <c r="F1591" s="14" t="s">
        <v>217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34</v>
      </c>
      <c r="P1591" s="14" t="s">
        <v>239</v>
      </c>
      <c r="Q1591" s="14" t="s">
        <v>239</v>
      </c>
      <c r="R1591" s="14" t="s">
        <v>35</v>
      </c>
    </row>
    <row r="1592" spans="1:18" s="14" customFormat="1" x14ac:dyDescent="0.25">
      <c r="A1592" s="14" t="str">
        <f>"95134"</f>
        <v>95134</v>
      </c>
      <c r="B1592" s="14" t="str">
        <f>"03000"</f>
        <v>03000</v>
      </c>
      <c r="C1592" s="14" t="str">
        <f>"1500"</f>
        <v>1500</v>
      </c>
      <c r="D1592" s="14" t="str">
        <f>""</f>
        <v/>
      </c>
      <c r="E1592" s="14" t="s">
        <v>1901</v>
      </c>
      <c r="F1592" s="14" t="s">
        <v>217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34</v>
      </c>
      <c r="P1592" s="14" t="s">
        <v>239</v>
      </c>
      <c r="Q1592" s="14" t="s">
        <v>239</v>
      </c>
      <c r="R1592" s="14" t="s">
        <v>35</v>
      </c>
    </row>
    <row r="1593" spans="1:18" s="14" customFormat="1" x14ac:dyDescent="0.25">
      <c r="A1593" s="14" t="str">
        <f>"95135"</f>
        <v>95135</v>
      </c>
      <c r="B1593" s="14" t="str">
        <f>"03000"</f>
        <v>03000</v>
      </c>
      <c r="C1593" s="14" t="str">
        <f>"1500"</f>
        <v>1500</v>
      </c>
      <c r="D1593" s="14" t="str">
        <f>""</f>
        <v/>
      </c>
      <c r="E1593" s="14" t="s">
        <v>1902</v>
      </c>
      <c r="F1593" s="14" t="s">
        <v>217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34</v>
      </c>
      <c r="P1593" s="14" t="s">
        <v>239</v>
      </c>
      <c r="Q1593" s="14" t="s">
        <v>239</v>
      </c>
      <c r="R1593" s="14" t="s">
        <v>35</v>
      </c>
    </row>
    <row r="1594" spans="1:18" s="14" customFormat="1" x14ac:dyDescent="0.25">
      <c r="A1594" s="14" t="str">
        <f>"95136"</f>
        <v>95136</v>
      </c>
      <c r="B1594" s="14" t="str">
        <f>"03000"</f>
        <v>03000</v>
      </c>
      <c r="C1594" s="14" t="str">
        <f>"1500"</f>
        <v>1500</v>
      </c>
      <c r="D1594" s="14" t="str">
        <f>""</f>
        <v/>
      </c>
      <c r="E1594" s="14" t="s">
        <v>1903</v>
      </c>
      <c r="F1594" s="14" t="s">
        <v>217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34</v>
      </c>
      <c r="P1594" s="14" t="s">
        <v>239</v>
      </c>
      <c r="Q1594" s="14" t="s">
        <v>239</v>
      </c>
      <c r="R1594" s="14" t="s">
        <v>35</v>
      </c>
    </row>
    <row r="1595" spans="1:18" s="14" customFormat="1" x14ac:dyDescent="0.25">
      <c r="A1595" s="14" t="str">
        <f>"95140"</f>
        <v>95140</v>
      </c>
      <c r="B1595" s="14" t="str">
        <f>"03000"</f>
        <v>03000</v>
      </c>
      <c r="C1595" s="14" t="str">
        <f>"1500"</f>
        <v>1500</v>
      </c>
      <c r="D1595" s="14" t="str">
        <f>""</f>
        <v/>
      </c>
      <c r="E1595" s="14" t="s">
        <v>1904</v>
      </c>
      <c r="F1595" s="14" t="s">
        <v>217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34</v>
      </c>
      <c r="P1595" s="14" t="s">
        <v>239</v>
      </c>
      <c r="Q1595" s="14" t="s">
        <v>239</v>
      </c>
      <c r="R1595" s="14" t="s">
        <v>35</v>
      </c>
    </row>
    <row r="1596" spans="1:18" s="14" customFormat="1" x14ac:dyDescent="0.25">
      <c r="A1596" s="14" t="str">
        <f>"95141"</f>
        <v>95141</v>
      </c>
      <c r="B1596" s="14" t="str">
        <f>"03000"</f>
        <v>03000</v>
      </c>
      <c r="C1596" s="14" t="str">
        <f>"1500"</f>
        <v>1500</v>
      </c>
      <c r="D1596" s="14" t="str">
        <f>""</f>
        <v/>
      </c>
      <c r="E1596" s="14" t="s">
        <v>1905</v>
      </c>
      <c r="F1596" s="14" t="s">
        <v>217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34</v>
      </c>
      <c r="P1596" s="14" t="s">
        <v>239</v>
      </c>
      <c r="Q1596" s="14" t="s">
        <v>239</v>
      </c>
      <c r="R1596" s="14" t="s">
        <v>35</v>
      </c>
    </row>
    <row r="1597" spans="1:18" s="14" customFormat="1" x14ac:dyDescent="0.25">
      <c r="A1597" s="14" t="str">
        <f>"95142"</f>
        <v>95142</v>
      </c>
      <c r="B1597" s="14" t="str">
        <f>"03000"</f>
        <v>03000</v>
      </c>
      <c r="C1597" s="14" t="str">
        <f>"1500"</f>
        <v>1500</v>
      </c>
      <c r="D1597" s="14" t="str">
        <f>""</f>
        <v/>
      </c>
      <c r="E1597" s="14" t="s">
        <v>1906</v>
      </c>
      <c r="F1597" s="14" t="s">
        <v>217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34</v>
      </c>
      <c r="P1597" s="14" t="s">
        <v>239</v>
      </c>
      <c r="Q1597" s="14" t="s">
        <v>239</v>
      </c>
      <c r="R1597" s="14" t="s">
        <v>35</v>
      </c>
    </row>
    <row r="1598" spans="1:18" s="14" customFormat="1" x14ac:dyDescent="0.25">
      <c r="A1598" s="14" t="str">
        <f>"95143"</f>
        <v>95143</v>
      </c>
      <c r="B1598" s="14" t="str">
        <f>"03000"</f>
        <v>03000</v>
      </c>
      <c r="C1598" s="14" t="str">
        <f>"1500"</f>
        <v>1500</v>
      </c>
      <c r="D1598" s="14" t="str">
        <f>""</f>
        <v/>
      </c>
      <c r="E1598" s="14" t="s">
        <v>1907</v>
      </c>
      <c r="F1598" s="14" t="s">
        <v>217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34</v>
      </c>
      <c r="P1598" s="14" t="s">
        <v>239</v>
      </c>
      <c r="Q1598" s="14" t="s">
        <v>239</v>
      </c>
      <c r="R1598" s="14" t="s">
        <v>35</v>
      </c>
    </row>
    <row r="1599" spans="1:18" s="14" customFormat="1" x14ac:dyDescent="0.25">
      <c r="A1599" s="14" t="str">
        <f>"95144"</f>
        <v>95144</v>
      </c>
      <c r="B1599" s="14" t="str">
        <f>"03000"</f>
        <v>03000</v>
      </c>
      <c r="C1599" s="14" t="str">
        <f>"1500"</f>
        <v>1500</v>
      </c>
      <c r="D1599" s="14" t="str">
        <f>""</f>
        <v/>
      </c>
      <c r="E1599" s="14" t="s">
        <v>1908</v>
      </c>
      <c r="F1599" s="14" t="s">
        <v>217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34</v>
      </c>
      <c r="P1599" s="14" t="s">
        <v>239</v>
      </c>
      <c r="Q1599" s="14" t="s">
        <v>239</v>
      </c>
      <c r="R1599" s="14" t="s">
        <v>35</v>
      </c>
    </row>
    <row r="1600" spans="1:18" s="14" customFormat="1" x14ac:dyDescent="0.25">
      <c r="A1600" s="14" t="str">
        <f>"95145"</f>
        <v>95145</v>
      </c>
      <c r="B1600" s="14" t="str">
        <f>"03000"</f>
        <v>03000</v>
      </c>
      <c r="C1600" s="14" t="str">
        <f>"1500"</f>
        <v>1500</v>
      </c>
      <c r="D1600" s="14" t="str">
        <f>""</f>
        <v/>
      </c>
      <c r="E1600" s="14" t="s">
        <v>1909</v>
      </c>
      <c r="F1600" s="14" t="s">
        <v>217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34</v>
      </c>
      <c r="P1600" s="14" t="s">
        <v>239</v>
      </c>
      <c r="Q1600" s="14" t="s">
        <v>239</v>
      </c>
      <c r="R1600" s="14" t="s">
        <v>35</v>
      </c>
    </row>
    <row r="1601" spans="1:18" s="14" customFormat="1" x14ac:dyDescent="0.25">
      <c r="A1601" s="14" t="str">
        <f>"95201"</f>
        <v>95201</v>
      </c>
      <c r="B1601" s="14" t="str">
        <f>"03000"</f>
        <v>03000</v>
      </c>
      <c r="C1601" s="14" t="str">
        <f>"1500"</f>
        <v>1500</v>
      </c>
      <c r="D1601" s="14" t="str">
        <f>""</f>
        <v/>
      </c>
      <c r="E1601" s="14" t="s">
        <v>1910</v>
      </c>
      <c r="F1601" s="14" t="s">
        <v>217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34</v>
      </c>
      <c r="P1601" s="14" t="s">
        <v>239</v>
      </c>
      <c r="Q1601" s="14" t="s">
        <v>239</v>
      </c>
      <c r="R1601" s="14" t="s">
        <v>35</v>
      </c>
    </row>
    <row r="1602" spans="1:18" s="14" customFormat="1" x14ac:dyDescent="0.25">
      <c r="A1602" s="14" t="str">
        <f>"95202"</f>
        <v>95202</v>
      </c>
      <c r="B1602" s="14" t="str">
        <f>"03000"</f>
        <v>03000</v>
      </c>
      <c r="C1602" s="14" t="str">
        <f>"1500"</f>
        <v>1500</v>
      </c>
      <c r="D1602" s="14" t="str">
        <f>""</f>
        <v/>
      </c>
      <c r="E1602" s="14" t="s">
        <v>1911</v>
      </c>
      <c r="F1602" s="14" t="s">
        <v>217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34</v>
      </c>
      <c r="P1602" s="14" t="s">
        <v>239</v>
      </c>
      <c r="Q1602" s="14" t="s">
        <v>239</v>
      </c>
      <c r="R1602" s="14" t="s">
        <v>35</v>
      </c>
    </row>
    <row r="1603" spans="1:18" s="14" customFormat="1" x14ac:dyDescent="0.25">
      <c r="A1603" s="14" t="str">
        <f>"95901"</f>
        <v>95901</v>
      </c>
      <c r="B1603" s="14" t="str">
        <f>"03000"</f>
        <v>03000</v>
      </c>
      <c r="C1603" s="14" t="str">
        <f>"1500"</f>
        <v>1500</v>
      </c>
      <c r="D1603" s="14" t="str">
        <f>""</f>
        <v/>
      </c>
      <c r="E1603" s="14" t="s">
        <v>1912</v>
      </c>
      <c r="F1603" s="14" t="s">
        <v>217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34</v>
      </c>
      <c r="P1603" s="14" t="s">
        <v>239</v>
      </c>
      <c r="Q1603" s="14" t="s">
        <v>239</v>
      </c>
      <c r="R1603" s="14" t="s">
        <v>35</v>
      </c>
    </row>
    <row r="1604" spans="1:18" s="14" customFormat="1" x14ac:dyDescent="0.25">
      <c r="A1604" s="14" t="str">
        <f>"95902"</f>
        <v>95902</v>
      </c>
      <c r="B1604" s="14" t="str">
        <f>"03000"</f>
        <v>03000</v>
      </c>
      <c r="C1604" s="14" t="str">
        <f>"1500"</f>
        <v>1500</v>
      </c>
      <c r="D1604" s="14" t="str">
        <f>""</f>
        <v/>
      </c>
      <c r="E1604" s="14" t="s">
        <v>1913</v>
      </c>
      <c r="F1604" s="14" t="s">
        <v>217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34</v>
      </c>
      <c r="P1604" s="14" t="s">
        <v>239</v>
      </c>
      <c r="Q1604" s="14" t="s">
        <v>239</v>
      </c>
      <c r="R1604" s="14" t="s">
        <v>35</v>
      </c>
    </row>
    <row r="1605" spans="1:18" s="14" customFormat="1" x14ac:dyDescent="0.25">
      <c r="A1605" s="14" t="str">
        <f>"95903"</f>
        <v>95903</v>
      </c>
      <c r="B1605" s="14" t="str">
        <f>"03000"</f>
        <v>03000</v>
      </c>
      <c r="C1605" s="14" t="str">
        <f>"1500"</f>
        <v>1500</v>
      </c>
      <c r="D1605" s="14" t="str">
        <f>""</f>
        <v/>
      </c>
      <c r="E1605" s="14" t="s">
        <v>1914</v>
      </c>
      <c r="F1605" s="14" t="s">
        <v>217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34</v>
      </c>
      <c r="P1605" s="14" t="s">
        <v>239</v>
      </c>
      <c r="Q1605" s="14" t="s">
        <v>239</v>
      </c>
      <c r="R1605" s="14" t="s">
        <v>35</v>
      </c>
    </row>
    <row r="1606" spans="1:18" s="14" customFormat="1" x14ac:dyDescent="0.25">
      <c r="A1606" s="14" t="str">
        <f>"95904"</f>
        <v>95904</v>
      </c>
      <c r="B1606" s="14" t="str">
        <f>"03000"</f>
        <v>03000</v>
      </c>
      <c r="C1606" s="14" t="str">
        <f>"1500"</f>
        <v>1500</v>
      </c>
      <c r="D1606" s="14" t="str">
        <f>""</f>
        <v/>
      </c>
      <c r="E1606" s="14" t="s">
        <v>1915</v>
      </c>
      <c r="F1606" s="14" t="s">
        <v>217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34</v>
      </c>
      <c r="P1606" s="14" t="s">
        <v>239</v>
      </c>
      <c r="Q1606" s="14" t="s">
        <v>239</v>
      </c>
      <c r="R1606" s="14" t="s">
        <v>35</v>
      </c>
    </row>
    <row r="1607" spans="1:18" s="14" customFormat="1" x14ac:dyDescent="0.25">
      <c r="A1607" s="14" t="str">
        <f>"95905"</f>
        <v>95905</v>
      </c>
      <c r="B1607" s="14" t="str">
        <f>"03000"</f>
        <v>03000</v>
      </c>
      <c r="C1607" s="14" t="str">
        <f>"1500"</f>
        <v>1500</v>
      </c>
      <c r="D1607" s="14" t="str">
        <f>""</f>
        <v/>
      </c>
      <c r="E1607" s="14" t="s">
        <v>1916</v>
      </c>
      <c r="F1607" s="14" t="s">
        <v>217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34</v>
      </c>
      <c r="P1607" s="14" t="s">
        <v>239</v>
      </c>
      <c r="Q1607" s="14" t="s">
        <v>239</v>
      </c>
      <c r="R1607" s="14" t="s">
        <v>35</v>
      </c>
    </row>
    <row r="1608" spans="1:18" s="14" customFormat="1" x14ac:dyDescent="0.25">
      <c r="A1608" s="14" t="str">
        <f>"95906"</f>
        <v>95906</v>
      </c>
      <c r="B1608" s="14" t="str">
        <f>"03000"</f>
        <v>03000</v>
      </c>
      <c r="C1608" s="14" t="str">
        <f>"1500"</f>
        <v>1500</v>
      </c>
      <c r="D1608" s="14" t="str">
        <f>""</f>
        <v/>
      </c>
      <c r="E1608" s="14" t="s">
        <v>1917</v>
      </c>
      <c r="F1608" s="14" t="s">
        <v>217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34</v>
      </c>
      <c r="P1608" s="14" t="s">
        <v>239</v>
      </c>
      <c r="Q1608" s="14" t="s">
        <v>239</v>
      </c>
      <c r="R1608" s="14" t="s">
        <v>35</v>
      </c>
    </row>
    <row r="1609" spans="1:18" s="14" customFormat="1" x14ac:dyDescent="0.25">
      <c r="A1609" s="14" t="str">
        <f>"95907"</f>
        <v>95907</v>
      </c>
      <c r="B1609" s="14" t="str">
        <f>"03000"</f>
        <v>03000</v>
      </c>
      <c r="C1609" s="14" t="str">
        <f>"1500"</f>
        <v>1500</v>
      </c>
      <c r="D1609" s="14" t="str">
        <f>""</f>
        <v/>
      </c>
      <c r="E1609" s="14" t="s">
        <v>1918</v>
      </c>
      <c r="F1609" s="14" t="s">
        <v>217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34</v>
      </c>
      <c r="P1609" s="14" t="s">
        <v>239</v>
      </c>
      <c r="Q1609" s="14" t="s">
        <v>239</v>
      </c>
      <c r="R1609" s="14" t="s">
        <v>35</v>
      </c>
    </row>
    <row r="1610" spans="1:18" s="14" customFormat="1" x14ac:dyDescent="0.25">
      <c r="A1610" s="14" t="str">
        <f>"95908"</f>
        <v>95908</v>
      </c>
      <c r="B1610" s="14" t="str">
        <f>"03000"</f>
        <v>03000</v>
      </c>
      <c r="C1610" s="14" t="str">
        <f>"1500"</f>
        <v>1500</v>
      </c>
      <c r="D1610" s="14" t="str">
        <f>""</f>
        <v/>
      </c>
      <c r="E1610" s="14" t="s">
        <v>1919</v>
      </c>
      <c r="F1610" s="14" t="s">
        <v>217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34</v>
      </c>
      <c r="P1610" s="14" t="s">
        <v>239</v>
      </c>
      <c r="Q1610" s="14" t="s">
        <v>239</v>
      </c>
      <c r="R1610" s="14" t="s">
        <v>35</v>
      </c>
    </row>
    <row r="1611" spans="1:18" s="14" customFormat="1" x14ac:dyDescent="0.25">
      <c r="A1611" s="14" t="str">
        <f>"96035"</f>
        <v>96035</v>
      </c>
      <c r="B1611" s="14" t="str">
        <f>"03050"</f>
        <v>03050</v>
      </c>
      <c r="C1611" s="14" t="str">
        <f>"2100"</f>
        <v>2100</v>
      </c>
      <c r="D1611" s="14" t="str">
        <f>""</f>
        <v/>
      </c>
      <c r="E1611" s="14" t="s">
        <v>1840</v>
      </c>
      <c r="F1611" s="14" t="s">
        <v>225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226</v>
      </c>
      <c r="L1611" s="14" t="s">
        <v>227</v>
      </c>
      <c r="P1611" s="14" t="s">
        <v>239</v>
      </c>
      <c r="Q1611" s="14" t="s">
        <v>239</v>
      </c>
      <c r="R1611" s="14" t="s">
        <v>229</v>
      </c>
    </row>
    <row r="1612" spans="1:18" s="14" customFormat="1" x14ac:dyDescent="0.25">
      <c r="A1612" s="14" t="str">
        <f>"96041"</f>
        <v>96041</v>
      </c>
      <c r="B1612" s="14" t="str">
        <f>"03050"</f>
        <v>03050</v>
      </c>
      <c r="C1612" s="14" t="str">
        <f>"2100"</f>
        <v>2100</v>
      </c>
      <c r="D1612" s="14" t="str">
        <f>""</f>
        <v/>
      </c>
      <c r="E1612" s="14" t="s">
        <v>1841</v>
      </c>
      <c r="F1612" s="14" t="s">
        <v>225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226</v>
      </c>
      <c r="L1612" s="14" t="s">
        <v>227</v>
      </c>
      <c r="P1612" s="14" t="s">
        <v>239</v>
      </c>
      <c r="Q1612" s="14" t="s">
        <v>239</v>
      </c>
      <c r="R1612" s="14" t="s">
        <v>229</v>
      </c>
    </row>
    <row r="1613" spans="1:18" s="14" customFormat="1" x14ac:dyDescent="0.25">
      <c r="A1613" s="14" t="str">
        <f>"96042"</f>
        <v>96042</v>
      </c>
      <c r="B1613" s="14" t="str">
        <f>"03050"</f>
        <v>03050</v>
      </c>
      <c r="C1613" s="14" t="str">
        <f>"2100"</f>
        <v>2100</v>
      </c>
      <c r="D1613" s="14" t="str">
        <f>""</f>
        <v/>
      </c>
      <c r="E1613" s="14" t="s">
        <v>1842</v>
      </c>
      <c r="F1613" s="14" t="s">
        <v>225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226</v>
      </c>
      <c r="L1613" s="14" t="s">
        <v>227</v>
      </c>
      <c r="P1613" s="14" t="s">
        <v>239</v>
      </c>
      <c r="Q1613" s="14" t="s">
        <v>239</v>
      </c>
      <c r="R1613" s="14" t="s">
        <v>229</v>
      </c>
    </row>
    <row r="1614" spans="1:18" s="14" customFormat="1" x14ac:dyDescent="0.25">
      <c r="A1614" s="14" t="str">
        <f>"96043"</f>
        <v>96043</v>
      </c>
      <c r="B1614" s="14" t="str">
        <f>"03050"</f>
        <v>03050</v>
      </c>
      <c r="C1614" s="14" t="str">
        <f>"2100"</f>
        <v>2100</v>
      </c>
      <c r="D1614" s="14" t="str">
        <f>""</f>
        <v/>
      </c>
      <c r="E1614" s="14" t="s">
        <v>1843</v>
      </c>
      <c r="F1614" s="14" t="s">
        <v>225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226</v>
      </c>
      <c r="L1614" s="14" t="s">
        <v>227</v>
      </c>
      <c r="P1614" s="14" t="s">
        <v>239</v>
      </c>
      <c r="Q1614" s="14" t="s">
        <v>239</v>
      </c>
      <c r="R1614" s="14" t="s">
        <v>229</v>
      </c>
    </row>
    <row r="1615" spans="1:18" s="14" customFormat="1" x14ac:dyDescent="0.25">
      <c r="A1615" s="14" t="str">
        <f>"96045"</f>
        <v>96045</v>
      </c>
      <c r="B1615" s="14" t="str">
        <f>"03050"</f>
        <v>03050</v>
      </c>
      <c r="C1615" s="14" t="str">
        <f>"2100"</f>
        <v>2100</v>
      </c>
      <c r="D1615" s="14" t="str">
        <f>""</f>
        <v/>
      </c>
      <c r="E1615" s="14" t="s">
        <v>1844</v>
      </c>
      <c r="F1615" s="14" t="s">
        <v>225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226</v>
      </c>
      <c r="L1615" s="14" t="s">
        <v>227</v>
      </c>
      <c r="P1615" s="14" t="s">
        <v>239</v>
      </c>
      <c r="Q1615" s="14" t="s">
        <v>239</v>
      </c>
      <c r="R1615" s="14" t="s">
        <v>229</v>
      </c>
    </row>
    <row r="1616" spans="1:18" s="14" customFormat="1" x14ac:dyDescent="0.25">
      <c r="A1616" s="14" t="str">
        <f>"96046"</f>
        <v>96046</v>
      </c>
      <c r="B1616" s="14" t="str">
        <f>"03050"</f>
        <v>03050</v>
      </c>
      <c r="C1616" s="14" t="str">
        <f>"2100"</f>
        <v>2100</v>
      </c>
      <c r="D1616" s="14" t="str">
        <f>""</f>
        <v/>
      </c>
      <c r="E1616" s="14" t="s">
        <v>1845</v>
      </c>
      <c r="F1616" s="14" t="s">
        <v>225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226</v>
      </c>
      <c r="L1616" s="14" t="s">
        <v>227</v>
      </c>
      <c r="P1616" s="14" t="s">
        <v>239</v>
      </c>
      <c r="Q1616" s="14" t="s">
        <v>239</v>
      </c>
      <c r="R1616" s="14" t="s">
        <v>229</v>
      </c>
    </row>
    <row r="1617" spans="1:18" s="14" customFormat="1" x14ac:dyDescent="0.25">
      <c r="A1617" s="14" t="str">
        <f>"96115"</f>
        <v>96115</v>
      </c>
      <c r="B1617" s="14" t="str">
        <f>"03050"</f>
        <v>03050</v>
      </c>
      <c r="C1617" s="14" t="str">
        <f>"2100"</f>
        <v>2100</v>
      </c>
      <c r="D1617" s="14" t="str">
        <f>""</f>
        <v/>
      </c>
      <c r="E1617" s="14" t="s">
        <v>1846</v>
      </c>
      <c r="F1617" s="14" t="s">
        <v>225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226</v>
      </c>
      <c r="L1617" s="14" t="s">
        <v>227</v>
      </c>
      <c r="P1617" s="14" t="s">
        <v>239</v>
      </c>
      <c r="Q1617" s="14" t="s">
        <v>239</v>
      </c>
      <c r="R1617" s="14" t="s">
        <v>229</v>
      </c>
    </row>
    <row r="1618" spans="1:18" s="14" customFormat="1" x14ac:dyDescent="0.25">
      <c r="A1618" s="14" t="str">
        <f>"96225"</f>
        <v>96225</v>
      </c>
      <c r="B1618" s="14" t="str">
        <f>"03050"</f>
        <v>03050</v>
      </c>
      <c r="C1618" s="14" t="str">
        <f>"2100"</f>
        <v>2100</v>
      </c>
      <c r="D1618" s="14" t="str">
        <f>""</f>
        <v/>
      </c>
      <c r="E1618" s="14" t="s">
        <v>1847</v>
      </c>
      <c r="F1618" s="14" t="s">
        <v>225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226</v>
      </c>
      <c r="L1618" s="14" t="s">
        <v>227</v>
      </c>
      <c r="P1618" s="14" t="s">
        <v>239</v>
      </c>
      <c r="Q1618" s="14" t="s">
        <v>239</v>
      </c>
      <c r="R1618" s="14" t="s">
        <v>229</v>
      </c>
    </row>
    <row r="1619" spans="1:18" s="14" customFormat="1" x14ac:dyDescent="0.25">
      <c r="A1619" s="14" t="str">
        <f>"10001"</f>
        <v>10001</v>
      </c>
      <c r="B1619" s="14" t="str">
        <f>"00120"</f>
        <v>00120</v>
      </c>
      <c r="C1619" s="14" t="str">
        <f>"1400"</f>
        <v>1400</v>
      </c>
      <c r="D1619" s="14" t="str">
        <f>"00120"</f>
        <v>00120</v>
      </c>
      <c r="E1619" s="14" t="s">
        <v>20</v>
      </c>
      <c r="F1619" s="14" t="s">
        <v>27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28</v>
      </c>
      <c r="L1619" s="14" t="s">
        <v>29</v>
      </c>
      <c r="M1619" s="14" t="s">
        <v>30</v>
      </c>
      <c r="P1619" s="14" t="s">
        <v>31</v>
      </c>
      <c r="Q1619" s="14" t="s">
        <v>31</v>
      </c>
      <c r="R1619" s="14" t="s">
        <v>32</v>
      </c>
    </row>
    <row r="1620" spans="1:18" s="14" customFormat="1" x14ac:dyDescent="0.25">
      <c r="A1620" s="14" t="str">
        <f>"17292"</f>
        <v>17292</v>
      </c>
      <c r="B1620" s="14" t="str">
        <f>"01160"</f>
        <v>01160</v>
      </c>
      <c r="C1620" s="14" t="str">
        <f>"1600"</f>
        <v>1600</v>
      </c>
      <c r="D1620" s="14" t="str">
        <f>"17292"</f>
        <v>17292</v>
      </c>
      <c r="E1620" s="14" t="s">
        <v>583</v>
      </c>
      <c r="F1620" s="14" t="s">
        <v>63</v>
      </c>
      <c r="G1620" s="14" t="str">
        <f>"GR0017292"</f>
        <v>GR0017292</v>
      </c>
      <c r="H1620" s="14" t="str">
        <f>" 10"</f>
        <v xml:space="preserve"> 10</v>
      </c>
      <c r="I1620" s="14">
        <v>0.01</v>
      </c>
      <c r="J1620" s="14">
        <v>500</v>
      </c>
      <c r="K1620" s="14" t="s">
        <v>64</v>
      </c>
      <c r="P1620" s="14" t="s">
        <v>31</v>
      </c>
      <c r="Q1620" s="14" t="s">
        <v>31</v>
      </c>
      <c r="R1620" s="14" t="s">
        <v>55</v>
      </c>
    </row>
    <row r="1621" spans="1:18" s="14" customFormat="1" x14ac:dyDescent="0.25">
      <c r="A1621" s="14" t="str">
        <f>"17292"</f>
        <v>17292</v>
      </c>
      <c r="B1621" s="14" t="str">
        <f>"01160"</f>
        <v>01160</v>
      </c>
      <c r="C1621" s="14" t="str">
        <f>"1600"</f>
        <v>1600</v>
      </c>
      <c r="D1621" s="14" t="str">
        <f>"17292"</f>
        <v>17292</v>
      </c>
      <c r="E1621" s="14" t="s">
        <v>583</v>
      </c>
      <c r="F1621" s="14" t="s">
        <v>63</v>
      </c>
      <c r="G1621" s="14" t="str">
        <f>"GR0017292"</f>
        <v>GR0017292</v>
      </c>
      <c r="H1621" s="14" t="str">
        <f>" 20"</f>
        <v xml:space="preserve"> 20</v>
      </c>
      <c r="I1621" s="14">
        <v>500.01</v>
      </c>
      <c r="J1621" s="14">
        <v>9999999.9900000002</v>
      </c>
      <c r="K1621" s="14" t="s">
        <v>55</v>
      </c>
      <c r="L1621" s="14" t="s">
        <v>53</v>
      </c>
      <c r="M1621" s="14" t="s">
        <v>54</v>
      </c>
      <c r="P1621" s="14" t="s">
        <v>31</v>
      </c>
      <c r="Q1621" s="14" t="s">
        <v>31</v>
      </c>
      <c r="R1621" s="14" t="s">
        <v>55</v>
      </c>
    </row>
    <row r="1622" spans="1:18" s="14" customFormat="1" x14ac:dyDescent="0.25">
      <c r="A1622" s="14" t="str">
        <f>"19005"</f>
        <v>19005</v>
      </c>
      <c r="B1622" s="14" t="str">
        <f>"01820"</f>
        <v>01820</v>
      </c>
      <c r="C1622" s="14" t="str">
        <f>"1200"</f>
        <v>1200</v>
      </c>
      <c r="D1622" s="14" t="str">
        <f>"19005"</f>
        <v>19005</v>
      </c>
      <c r="E1622" s="14" t="s">
        <v>747</v>
      </c>
      <c r="F1622" s="14" t="s">
        <v>185</v>
      </c>
      <c r="G1622" s="14" t="str">
        <f>"GR0019005"</f>
        <v>GR0019005</v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112</v>
      </c>
      <c r="L1622" s="14" t="s">
        <v>113</v>
      </c>
      <c r="M1622" s="14" t="s">
        <v>114</v>
      </c>
      <c r="O1622" s="14" t="s">
        <v>748</v>
      </c>
      <c r="P1622" s="14" t="s">
        <v>31</v>
      </c>
      <c r="Q1622" s="14" t="s">
        <v>31</v>
      </c>
      <c r="R1622" s="14" t="s">
        <v>115</v>
      </c>
    </row>
    <row r="1623" spans="1:18" s="14" customFormat="1" x14ac:dyDescent="0.25">
      <c r="A1623" s="14" t="str">
        <f>"19109"</f>
        <v>19109</v>
      </c>
      <c r="B1623" s="14" t="str">
        <f>"01630"</f>
        <v>01630</v>
      </c>
      <c r="C1623" s="14" t="str">
        <f>"1300"</f>
        <v>1300</v>
      </c>
      <c r="D1623" s="14" t="str">
        <f>"19109"</f>
        <v>19109</v>
      </c>
      <c r="E1623" s="14" t="s">
        <v>750</v>
      </c>
      <c r="F1623" s="14" t="s">
        <v>142</v>
      </c>
      <c r="G1623" s="14" t="str">
        <f>"GR0019109"</f>
        <v>GR0019109</v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69</v>
      </c>
      <c r="L1623" s="14" t="s">
        <v>70</v>
      </c>
      <c r="M1623" s="14" t="s">
        <v>71</v>
      </c>
      <c r="O1623" s="14" t="s">
        <v>751</v>
      </c>
      <c r="P1623" s="14" t="s">
        <v>31</v>
      </c>
      <c r="Q1623" s="14" t="s">
        <v>31</v>
      </c>
      <c r="R1623" s="14" t="s">
        <v>72</v>
      </c>
    </row>
    <row r="1624" spans="1:18" s="14" customFormat="1" x14ac:dyDescent="0.25">
      <c r="A1624" s="14" t="str">
        <f>"19122"</f>
        <v>19122</v>
      </c>
      <c r="B1624" s="14" t="str">
        <f>"01800"</f>
        <v>01800</v>
      </c>
      <c r="C1624" s="14" t="str">
        <f>"1700"</f>
        <v>1700</v>
      </c>
      <c r="D1624" s="14" t="str">
        <f>"19122"</f>
        <v>19122</v>
      </c>
      <c r="E1624" s="14" t="s">
        <v>752</v>
      </c>
      <c r="F1624" s="14" t="s">
        <v>180</v>
      </c>
      <c r="G1624" s="14" t="str">
        <f>"GR0019122"</f>
        <v>GR0019122</v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113</v>
      </c>
      <c r="L1624" s="14" t="s">
        <v>181</v>
      </c>
      <c r="M1624" s="14" t="s">
        <v>114</v>
      </c>
      <c r="N1624" s="14" t="s">
        <v>112</v>
      </c>
      <c r="O1624" s="14" t="s">
        <v>753</v>
      </c>
      <c r="P1624" s="14" t="s">
        <v>31</v>
      </c>
      <c r="Q1624" s="14" t="s">
        <v>31</v>
      </c>
      <c r="R1624" s="14" t="s">
        <v>115</v>
      </c>
    </row>
    <row r="1625" spans="1:18" s="14" customFormat="1" x14ac:dyDescent="0.25">
      <c r="A1625" s="14" t="str">
        <f>"19144"</f>
        <v>19144</v>
      </c>
      <c r="B1625" s="14" t="str">
        <f>"01630"</f>
        <v>01630</v>
      </c>
      <c r="C1625" s="14" t="str">
        <f>"1300"</f>
        <v>1300</v>
      </c>
      <c r="D1625" s="14" t="str">
        <f>"19144"</f>
        <v>19144</v>
      </c>
      <c r="E1625" s="14" t="s">
        <v>754</v>
      </c>
      <c r="F1625" s="14" t="s">
        <v>142</v>
      </c>
      <c r="G1625" s="14" t="str">
        <f>"GR0019144"</f>
        <v>GR0019144</v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69</v>
      </c>
      <c r="L1625" s="14" t="s">
        <v>70</v>
      </c>
      <c r="M1625" s="14" t="s">
        <v>71</v>
      </c>
      <c r="O1625" s="14" t="s">
        <v>755</v>
      </c>
      <c r="P1625" s="14" t="s">
        <v>31</v>
      </c>
      <c r="Q1625" s="14" t="s">
        <v>31</v>
      </c>
      <c r="R1625" s="14" t="s">
        <v>72</v>
      </c>
    </row>
    <row r="1626" spans="1:18" s="14" customFormat="1" x14ac:dyDescent="0.25">
      <c r="A1626" s="14" t="str">
        <f>"19234"</f>
        <v>19234</v>
      </c>
      <c r="B1626" s="14" t="str">
        <f>"01630"</f>
        <v>01630</v>
      </c>
      <c r="C1626" s="14" t="str">
        <f>"1300"</f>
        <v>1300</v>
      </c>
      <c r="D1626" s="14" t="str">
        <f>"19234"</f>
        <v>19234</v>
      </c>
      <c r="E1626" s="14" t="s">
        <v>760</v>
      </c>
      <c r="F1626" s="14" t="s">
        <v>142</v>
      </c>
      <c r="G1626" s="14" t="str">
        <f>"GR0019234"</f>
        <v>GR0019234</v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69</v>
      </c>
      <c r="L1626" s="14" t="s">
        <v>70</v>
      </c>
      <c r="M1626" s="14" t="s">
        <v>71</v>
      </c>
      <c r="P1626" s="14" t="s">
        <v>31</v>
      </c>
      <c r="Q1626" s="14" t="s">
        <v>31</v>
      </c>
      <c r="R1626" s="14" t="s">
        <v>72</v>
      </c>
    </row>
    <row r="1627" spans="1:18" s="14" customFormat="1" x14ac:dyDescent="0.25">
      <c r="A1627" s="14" t="str">
        <f>"19236"</f>
        <v>19236</v>
      </c>
      <c r="B1627" s="14" t="str">
        <f>"01790"</f>
        <v>01790</v>
      </c>
      <c r="C1627" s="14" t="str">
        <f>"1300"</f>
        <v>1300</v>
      </c>
      <c r="D1627" s="14" t="str">
        <f>"19236"</f>
        <v>19236</v>
      </c>
      <c r="E1627" s="14" t="s">
        <v>761</v>
      </c>
      <c r="F1627" s="14" t="s">
        <v>178</v>
      </c>
      <c r="G1627" s="14" t="str">
        <f>"GR0019236"</f>
        <v>GR0019236</v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112</v>
      </c>
      <c r="L1627" s="14" t="s">
        <v>179</v>
      </c>
      <c r="M1627" s="14" t="s">
        <v>113</v>
      </c>
      <c r="N1627" s="14" t="s">
        <v>114</v>
      </c>
      <c r="O1627" s="14" t="s">
        <v>762</v>
      </c>
      <c r="P1627" s="14" t="s">
        <v>31</v>
      </c>
      <c r="Q1627" s="14" t="s">
        <v>31</v>
      </c>
      <c r="R1627" s="14" t="s">
        <v>115</v>
      </c>
    </row>
    <row r="1628" spans="1:18" s="14" customFormat="1" x14ac:dyDescent="0.25">
      <c r="A1628" s="14" t="str">
        <f>"19237"</f>
        <v>19237</v>
      </c>
      <c r="B1628" s="14" t="str">
        <f>"01780"</f>
        <v>01780</v>
      </c>
      <c r="C1628" s="14" t="str">
        <f>"1300"</f>
        <v>1300</v>
      </c>
      <c r="D1628" s="14" t="str">
        <f>"19237"</f>
        <v>19237</v>
      </c>
      <c r="E1628" s="14" t="s">
        <v>763</v>
      </c>
      <c r="F1628" s="14" t="s">
        <v>175</v>
      </c>
      <c r="G1628" s="14" t="str">
        <f>"GR0019237"</f>
        <v>GR0019237</v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112</v>
      </c>
      <c r="L1628" s="14" t="s">
        <v>113</v>
      </c>
      <c r="M1628" s="14" t="s">
        <v>114</v>
      </c>
      <c r="O1628" s="14" t="s">
        <v>764</v>
      </c>
      <c r="P1628" s="14" t="s">
        <v>31</v>
      </c>
      <c r="Q1628" s="14" t="s">
        <v>31</v>
      </c>
      <c r="R1628" s="14" t="s">
        <v>115</v>
      </c>
    </row>
    <row r="1629" spans="1:18" s="14" customFormat="1" x14ac:dyDescent="0.25">
      <c r="A1629" s="14" t="str">
        <f>"19239"</f>
        <v>19239</v>
      </c>
      <c r="B1629" s="14" t="str">
        <f>"01790"</f>
        <v>01790</v>
      </c>
      <c r="C1629" s="14" t="str">
        <f>"1300"</f>
        <v>1300</v>
      </c>
      <c r="D1629" s="14" t="str">
        <f>"19239"</f>
        <v>19239</v>
      </c>
      <c r="E1629" s="14" t="s">
        <v>765</v>
      </c>
      <c r="F1629" s="14" t="s">
        <v>178</v>
      </c>
      <c r="G1629" s="14" t="str">
        <f>"GR0019239"</f>
        <v>GR0019239</v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112</v>
      </c>
      <c r="L1629" s="14" t="s">
        <v>179</v>
      </c>
      <c r="M1629" s="14" t="s">
        <v>113</v>
      </c>
      <c r="N1629" s="14" t="s">
        <v>114</v>
      </c>
      <c r="O1629" s="14" t="s">
        <v>766</v>
      </c>
      <c r="P1629" s="14" t="s">
        <v>31</v>
      </c>
      <c r="Q1629" s="14" t="s">
        <v>31</v>
      </c>
      <c r="R1629" s="14" t="s">
        <v>115</v>
      </c>
    </row>
    <row r="1630" spans="1:18" s="14" customFormat="1" x14ac:dyDescent="0.25">
      <c r="A1630" s="14" t="str">
        <f>"19240"</f>
        <v>19240</v>
      </c>
      <c r="B1630" s="14" t="str">
        <f>"01820"</f>
        <v>01820</v>
      </c>
      <c r="C1630" s="14" t="str">
        <f>"1200"</f>
        <v>1200</v>
      </c>
      <c r="D1630" s="14" t="str">
        <f>"19240"</f>
        <v>19240</v>
      </c>
      <c r="E1630" s="14" t="s">
        <v>767</v>
      </c>
      <c r="F1630" s="14" t="s">
        <v>185</v>
      </c>
      <c r="G1630" s="14" t="str">
        <f>"GR0019240"</f>
        <v>GR0019240</v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112</v>
      </c>
      <c r="L1630" s="14" t="s">
        <v>186</v>
      </c>
      <c r="M1630" s="14" t="s">
        <v>113</v>
      </c>
      <c r="N1630" s="14" t="s">
        <v>114</v>
      </c>
      <c r="O1630" s="14" t="s">
        <v>186</v>
      </c>
      <c r="P1630" s="14" t="s">
        <v>31</v>
      </c>
      <c r="Q1630" s="14" t="s">
        <v>31</v>
      </c>
      <c r="R1630" s="14" t="s">
        <v>115</v>
      </c>
    </row>
    <row r="1631" spans="1:18" s="14" customFormat="1" x14ac:dyDescent="0.25">
      <c r="A1631" s="14" t="str">
        <f>"19241"</f>
        <v>19241</v>
      </c>
      <c r="B1631" s="14" t="str">
        <f>"01790"</f>
        <v>01790</v>
      </c>
      <c r="C1631" s="14" t="str">
        <f>"1200"</f>
        <v>1200</v>
      </c>
      <c r="D1631" s="14" t="str">
        <f>"19241"</f>
        <v>19241</v>
      </c>
      <c r="E1631" s="14" t="s">
        <v>768</v>
      </c>
      <c r="F1631" s="14" t="s">
        <v>178</v>
      </c>
      <c r="G1631" s="14" t="str">
        <f>"GR0019241"</f>
        <v>GR0019241</v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113</v>
      </c>
      <c r="L1631" s="14" t="s">
        <v>179</v>
      </c>
      <c r="M1631" s="14" t="s">
        <v>114</v>
      </c>
      <c r="N1631" s="14" t="s">
        <v>112</v>
      </c>
      <c r="O1631" s="14" t="s">
        <v>114</v>
      </c>
      <c r="P1631" s="14" t="s">
        <v>31</v>
      </c>
      <c r="Q1631" s="14" t="s">
        <v>31</v>
      </c>
      <c r="R1631" s="14" t="s">
        <v>115</v>
      </c>
    </row>
    <row r="1632" spans="1:18" s="14" customFormat="1" x14ac:dyDescent="0.25">
      <c r="A1632" s="14" t="str">
        <f>"19254"</f>
        <v>19254</v>
      </c>
      <c r="B1632" s="14" t="str">
        <f>"01790"</f>
        <v>01790</v>
      </c>
      <c r="C1632" s="14" t="str">
        <f>"1200"</f>
        <v>1200</v>
      </c>
      <c r="D1632" s="14" t="str">
        <f>"19254"</f>
        <v>19254</v>
      </c>
      <c r="E1632" s="14" t="s">
        <v>769</v>
      </c>
      <c r="F1632" s="14" t="s">
        <v>178</v>
      </c>
      <c r="G1632" s="14" t="str">
        <f>"GR0019254"</f>
        <v>GR0019254</v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112</v>
      </c>
      <c r="L1632" s="14" t="s">
        <v>179</v>
      </c>
      <c r="M1632" s="14" t="s">
        <v>114</v>
      </c>
      <c r="N1632" s="14" t="s">
        <v>113</v>
      </c>
      <c r="O1632" s="14" t="s">
        <v>762</v>
      </c>
      <c r="P1632" s="14" t="s">
        <v>31</v>
      </c>
      <c r="Q1632" s="14" t="s">
        <v>31</v>
      </c>
      <c r="R1632" s="14" t="s">
        <v>115</v>
      </c>
    </row>
    <row r="1633" spans="1:18" s="14" customFormat="1" x14ac:dyDescent="0.25">
      <c r="A1633" s="14" t="str">
        <f>"19256"</f>
        <v>19256</v>
      </c>
      <c r="B1633" s="14" t="str">
        <f>"01780"</f>
        <v>01780</v>
      </c>
      <c r="C1633" s="14" t="str">
        <f>"1600"</f>
        <v>1600</v>
      </c>
      <c r="D1633" s="14" t="str">
        <f>"19256"</f>
        <v>19256</v>
      </c>
      <c r="E1633" s="14" t="s">
        <v>770</v>
      </c>
      <c r="F1633" s="14" t="s">
        <v>175</v>
      </c>
      <c r="G1633" s="14" t="str">
        <f>"GR0019256"</f>
        <v>GR0019256</v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112</v>
      </c>
      <c r="L1633" s="14" t="s">
        <v>114</v>
      </c>
      <c r="M1633" s="14" t="s">
        <v>113</v>
      </c>
      <c r="O1633" s="14" t="s">
        <v>647</v>
      </c>
      <c r="P1633" s="14" t="s">
        <v>31</v>
      </c>
      <c r="Q1633" s="14" t="s">
        <v>31</v>
      </c>
      <c r="R1633" s="14" t="s">
        <v>115</v>
      </c>
    </row>
    <row r="1634" spans="1:18" s="14" customFormat="1" x14ac:dyDescent="0.25">
      <c r="A1634" s="14" t="str">
        <f>"19259"</f>
        <v>19259</v>
      </c>
      <c r="B1634" s="14" t="str">
        <f>"01820"</f>
        <v>01820</v>
      </c>
      <c r="C1634" s="14" t="str">
        <f>"1200"</f>
        <v>1200</v>
      </c>
      <c r="D1634" s="14" t="str">
        <f>"19259"</f>
        <v>19259</v>
      </c>
      <c r="E1634" s="14" t="s">
        <v>771</v>
      </c>
      <c r="F1634" s="14" t="s">
        <v>185</v>
      </c>
      <c r="G1634" s="14" t="str">
        <f>"GR0019259"</f>
        <v>GR0019259</v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112</v>
      </c>
      <c r="L1634" s="14" t="s">
        <v>186</v>
      </c>
      <c r="M1634" s="14" t="s">
        <v>114</v>
      </c>
      <c r="N1634" s="14" t="s">
        <v>113</v>
      </c>
      <c r="O1634" s="14" t="s">
        <v>772</v>
      </c>
      <c r="P1634" s="14" t="s">
        <v>31</v>
      </c>
      <c r="Q1634" s="14" t="s">
        <v>31</v>
      </c>
      <c r="R1634" s="14" t="s">
        <v>115</v>
      </c>
    </row>
    <row r="1635" spans="1:18" s="14" customFormat="1" x14ac:dyDescent="0.25">
      <c r="A1635" s="14" t="str">
        <f>"19262"</f>
        <v>19262</v>
      </c>
      <c r="B1635" s="14" t="str">
        <f>"01810"</f>
        <v>01810</v>
      </c>
      <c r="C1635" s="14" t="str">
        <f>"1200"</f>
        <v>1200</v>
      </c>
      <c r="D1635" s="14" t="str">
        <f>"19262"</f>
        <v>19262</v>
      </c>
      <c r="E1635" s="14" t="s">
        <v>774</v>
      </c>
      <c r="F1635" s="14" t="s">
        <v>183</v>
      </c>
      <c r="G1635" s="14" t="str">
        <f>"GR0019262"</f>
        <v>GR0019262</v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184</v>
      </c>
      <c r="L1635" s="14" t="s">
        <v>112</v>
      </c>
      <c r="M1635" s="14" t="s">
        <v>113</v>
      </c>
      <c r="N1635" s="14" t="s">
        <v>114</v>
      </c>
      <c r="O1635" s="14" t="s">
        <v>775</v>
      </c>
      <c r="P1635" s="14" t="s">
        <v>31</v>
      </c>
      <c r="Q1635" s="14" t="s">
        <v>31</v>
      </c>
      <c r="R1635" s="14" t="s">
        <v>115</v>
      </c>
    </row>
    <row r="1636" spans="1:18" s="14" customFormat="1" x14ac:dyDescent="0.25">
      <c r="A1636" s="14" t="str">
        <f>"19267"</f>
        <v>19267</v>
      </c>
      <c r="B1636" s="14" t="str">
        <f>"01550"</f>
        <v>01550</v>
      </c>
      <c r="C1636" s="14" t="str">
        <f>"1200"</f>
        <v>1200</v>
      </c>
      <c r="D1636" s="14" t="str">
        <f>"19267"</f>
        <v>19267</v>
      </c>
      <c r="E1636" s="14" t="s">
        <v>778</v>
      </c>
      <c r="F1636" s="14" t="s">
        <v>134</v>
      </c>
      <c r="G1636" s="14" t="str">
        <f>"GR0019267"</f>
        <v>GR0019267</v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69</v>
      </c>
      <c r="L1636" s="14" t="s">
        <v>70</v>
      </c>
      <c r="M1636" s="14" t="s">
        <v>71</v>
      </c>
      <c r="O1636" s="14" t="s">
        <v>779</v>
      </c>
      <c r="P1636" s="14" t="s">
        <v>31</v>
      </c>
      <c r="Q1636" s="14" t="s">
        <v>31</v>
      </c>
      <c r="R1636" s="14" t="s">
        <v>72</v>
      </c>
    </row>
    <row r="1637" spans="1:18" s="14" customFormat="1" x14ac:dyDescent="0.25">
      <c r="A1637" s="14" t="str">
        <f>"19271"</f>
        <v>19271</v>
      </c>
      <c r="B1637" s="14" t="str">
        <f>"01790"</f>
        <v>01790</v>
      </c>
      <c r="C1637" s="14" t="str">
        <f>"1200"</f>
        <v>1200</v>
      </c>
      <c r="D1637" s="14" t="str">
        <f>"19271"</f>
        <v>19271</v>
      </c>
      <c r="E1637" s="14" t="s">
        <v>782</v>
      </c>
      <c r="F1637" s="14" t="s">
        <v>178</v>
      </c>
      <c r="G1637" s="14" t="str">
        <f>"GR0019271"</f>
        <v>GR0019271</v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179</v>
      </c>
      <c r="L1637" s="14" t="s">
        <v>112</v>
      </c>
      <c r="M1637" s="14" t="s">
        <v>113</v>
      </c>
      <c r="N1637" s="14" t="s">
        <v>114</v>
      </c>
      <c r="O1637" s="14" t="s">
        <v>762</v>
      </c>
      <c r="P1637" s="14" t="s">
        <v>31</v>
      </c>
      <c r="Q1637" s="14" t="s">
        <v>31</v>
      </c>
      <c r="R1637" s="14" t="s">
        <v>115</v>
      </c>
    </row>
    <row r="1638" spans="1:18" s="14" customFormat="1" x14ac:dyDescent="0.25">
      <c r="A1638" s="14" t="str">
        <f>"19274"</f>
        <v>19274</v>
      </c>
      <c r="B1638" s="14" t="str">
        <f>"01550"</f>
        <v>01550</v>
      </c>
      <c r="C1638" s="14" t="str">
        <f>"1300"</f>
        <v>1300</v>
      </c>
      <c r="D1638" s="14" t="str">
        <f>"19274"</f>
        <v>19274</v>
      </c>
      <c r="E1638" s="14" t="s">
        <v>783</v>
      </c>
      <c r="F1638" s="14" t="s">
        <v>134</v>
      </c>
      <c r="G1638" s="14" t="str">
        <f>"GR0019274"</f>
        <v>GR0019274</v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69</v>
      </c>
      <c r="L1638" s="14" t="s">
        <v>70</v>
      </c>
      <c r="M1638" s="14" t="s">
        <v>71</v>
      </c>
      <c r="O1638" s="14" t="s">
        <v>779</v>
      </c>
      <c r="P1638" s="14" t="s">
        <v>31</v>
      </c>
      <c r="Q1638" s="14" t="s">
        <v>31</v>
      </c>
      <c r="R1638" s="14" t="s">
        <v>72</v>
      </c>
    </row>
    <row r="1639" spans="1:18" s="14" customFormat="1" x14ac:dyDescent="0.25">
      <c r="A1639" s="14" t="str">
        <f>"19275"</f>
        <v>19275</v>
      </c>
      <c r="B1639" s="14" t="str">
        <f>"01500"</f>
        <v>01500</v>
      </c>
      <c r="C1639" s="14" t="str">
        <f>"1300"</f>
        <v>1300</v>
      </c>
      <c r="D1639" s="14" t="str">
        <f>"19275"</f>
        <v>19275</v>
      </c>
      <c r="E1639" s="14" t="s">
        <v>784</v>
      </c>
      <c r="F1639" s="14" t="s">
        <v>130</v>
      </c>
      <c r="G1639" s="14" t="str">
        <f>"GR0019275"</f>
        <v>GR0019275</v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69</v>
      </c>
      <c r="L1639" s="14" t="s">
        <v>70</v>
      </c>
      <c r="M1639" s="14" t="s">
        <v>71</v>
      </c>
      <c r="O1639" s="14" t="s">
        <v>785</v>
      </c>
      <c r="P1639" s="14" t="s">
        <v>31</v>
      </c>
      <c r="Q1639" s="14" t="s">
        <v>31</v>
      </c>
      <c r="R1639" s="14" t="s">
        <v>72</v>
      </c>
    </row>
    <row r="1640" spans="1:18" s="14" customFormat="1" x14ac:dyDescent="0.25">
      <c r="A1640" s="14" t="str">
        <f>"19276"</f>
        <v>19276</v>
      </c>
      <c r="B1640" s="14" t="str">
        <f>"01800"</f>
        <v>01800</v>
      </c>
      <c r="C1640" s="14" t="str">
        <f>"1300"</f>
        <v>1300</v>
      </c>
      <c r="D1640" s="14" t="str">
        <f>"19276"</f>
        <v>19276</v>
      </c>
      <c r="E1640" s="14" t="s">
        <v>786</v>
      </c>
      <c r="F1640" s="14" t="s">
        <v>180</v>
      </c>
      <c r="G1640" s="14" t="str">
        <f>"GR0019276"</f>
        <v>GR0019276</v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181</v>
      </c>
      <c r="L1640" s="14" t="s">
        <v>112</v>
      </c>
      <c r="M1640" s="14" t="s">
        <v>113</v>
      </c>
      <c r="N1640" s="14" t="s">
        <v>114</v>
      </c>
      <c r="O1640" s="14" t="s">
        <v>787</v>
      </c>
      <c r="P1640" s="14" t="s">
        <v>31</v>
      </c>
      <c r="Q1640" s="14" t="s">
        <v>31</v>
      </c>
      <c r="R1640" s="14" t="s">
        <v>115</v>
      </c>
    </row>
    <row r="1641" spans="1:18" s="14" customFormat="1" x14ac:dyDescent="0.25">
      <c r="A1641" s="14" t="str">
        <f>"19277"</f>
        <v>19277</v>
      </c>
      <c r="B1641" s="14" t="str">
        <f>"01800"</f>
        <v>01800</v>
      </c>
      <c r="C1641" s="14" t="str">
        <f>"1300"</f>
        <v>1300</v>
      </c>
      <c r="D1641" s="14" t="str">
        <f>"19277"</f>
        <v>19277</v>
      </c>
      <c r="E1641" s="14" t="s">
        <v>788</v>
      </c>
      <c r="F1641" s="14" t="s">
        <v>180</v>
      </c>
      <c r="G1641" s="14" t="str">
        <f>"GR0019277"</f>
        <v>GR0019277</v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181</v>
      </c>
      <c r="L1641" s="14" t="s">
        <v>112</v>
      </c>
      <c r="M1641" s="14" t="s">
        <v>113</v>
      </c>
      <c r="N1641" s="14" t="s">
        <v>114</v>
      </c>
      <c r="O1641" s="14" t="s">
        <v>789</v>
      </c>
      <c r="P1641" s="14" t="s">
        <v>31</v>
      </c>
      <c r="Q1641" s="14" t="s">
        <v>31</v>
      </c>
      <c r="R1641" s="14" t="s">
        <v>115</v>
      </c>
    </row>
    <row r="1642" spans="1:18" s="14" customFormat="1" x14ac:dyDescent="0.25">
      <c r="A1642" s="14" t="str">
        <f>"19278"</f>
        <v>19278</v>
      </c>
      <c r="B1642" s="14" t="str">
        <f>"01390"</f>
        <v>01390</v>
      </c>
      <c r="C1642" s="14" t="str">
        <f>"1300"</f>
        <v>1300</v>
      </c>
      <c r="D1642" s="14" t="str">
        <f>"19278"</f>
        <v>19278</v>
      </c>
      <c r="E1642" s="14" t="s">
        <v>790</v>
      </c>
      <c r="F1642" s="14" t="s">
        <v>116</v>
      </c>
      <c r="G1642" s="14" t="str">
        <f>"GR0019278"</f>
        <v>GR0019278</v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112</v>
      </c>
      <c r="L1642" s="14" t="s">
        <v>113</v>
      </c>
      <c r="M1642" s="14" t="s">
        <v>114</v>
      </c>
      <c r="O1642" s="14" t="s">
        <v>791</v>
      </c>
      <c r="P1642" s="14" t="s">
        <v>31</v>
      </c>
      <c r="Q1642" s="14" t="s">
        <v>31</v>
      </c>
      <c r="R1642" s="14" t="s">
        <v>115</v>
      </c>
    </row>
    <row r="1643" spans="1:18" s="14" customFormat="1" x14ac:dyDescent="0.25">
      <c r="A1643" s="14" t="str">
        <f>"19279"</f>
        <v>19279</v>
      </c>
      <c r="B1643" s="14" t="str">
        <f>"01820"</f>
        <v>01820</v>
      </c>
      <c r="C1643" s="14" t="str">
        <f>"1300"</f>
        <v>1300</v>
      </c>
      <c r="D1643" s="14" t="str">
        <f>"19279"</f>
        <v>19279</v>
      </c>
      <c r="E1643" s="14" t="s">
        <v>792</v>
      </c>
      <c r="F1643" s="14" t="s">
        <v>185</v>
      </c>
      <c r="G1643" s="14" t="str">
        <f>"GR0019279"</f>
        <v>GR0019279</v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112</v>
      </c>
      <c r="L1643" s="14" t="s">
        <v>113</v>
      </c>
      <c r="M1643" s="14" t="s">
        <v>114</v>
      </c>
      <c r="O1643" s="14" t="s">
        <v>186</v>
      </c>
      <c r="P1643" s="14" t="s">
        <v>31</v>
      </c>
      <c r="Q1643" s="14" t="s">
        <v>31</v>
      </c>
      <c r="R1643" s="14" t="s">
        <v>115</v>
      </c>
    </row>
    <row r="1644" spans="1:18" s="14" customFormat="1" x14ac:dyDescent="0.25">
      <c r="A1644" s="14" t="str">
        <f>"19280"</f>
        <v>19280</v>
      </c>
      <c r="B1644" s="14" t="str">
        <f>"01780"</f>
        <v>01780</v>
      </c>
      <c r="C1644" s="14" t="str">
        <f>"1300"</f>
        <v>1300</v>
      </c>
      <c r="D1644" s="14" t="str">
        <f>"19280"</f>
        <v>19280</v>
      </c>
      <c r="E1644" s="14" t="s">
        <v>793</v>
      </c>
      <c r="F1644" s="14" t="s">
        <v>175</v>
      </c>
      <c r="G1644" s="14" t="str">
        <f>"GR0019280"</f>
        <v>GR0019280</v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112</v>
      </c>
      <c r="L1644" s="14" t="s">
        <v>113</v>
      </c>
      <c r="M1644" s="14" t="s">
        <v>114</v>
      </c>
      <c r="O1644" s="14" t="s">
        <v>794</v>
      </c>
      <c r="P1644" s="14" t="s">
        <v>31</v>
      </c>
      <c r="Q1644" s="14" t="s">
        <v>31</v>
      </c>
      <c r="R1644" s="14" t="s">
        <v>115</v>
      </c>
    </row>
    <row r="1645" spans="1:18" s="14" customFormat="1" x14ac:dyDescent="0.25">
      <c r="A1645" s="14" t="str">
        <f>"19281"</f>
        <v>19281</v>
      </c>
      <c r="B1645" s="14" t="str">
        <f>"01645"</f>
        <v>01645</v>
      </c>
      <c r="C1645" s="14" t="str">
        <f>"1300"</f>
        <v>1300</v>
      </c>
      <c r="D1645" s="14" t="str">
        <f>"19281"</f>
        <v>19281</v>
      </c>
      <c r="E1645" s="14" t="s">
        <v>795</v>
      </c>
      <c r="F1645" s="14" t="s">
        <v>144</v>
      </c>
      <c r="G1645" s="14" t="str">
        <f>"GR0019281"</f>
        <v>GR0019281</v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69</v>
      </c>
      <c r="L1645" s="14" t="s">
        <v>70</v>
      </c>
      <c r="M1645" s="14" t="s">
        <v>796</v>
      </c>
      <c r="O1645" s="14" t="s">
        <v>797</v>
      </c>
      <c r="P1645" s="14" t="s">
        <v>31</v>
      </c>
      <c r="Q1645" s="14" t="s">
        <v>31</v>
      </c>
      <c r="R1645" s="14" t="s">
        <v>72</v>
      </c>
    </row>
    <row r="1646" spans="1:18" s="14" customFormat="1" x14ac:dyDescent="0.25">
      <c r="A1646" s="14" t="str">
        <f>"19282"</f>
        <v>19282</v>
      </c>
      <c r="B1646" s="14" t="str">
        <f>"01645"</f>
        <v>01645</v>
      </c>
      <c r="C1646" s="14" t="str">
        <f>"1300"</f>
        <v>1300</v>
      </c>
      <c r="D1646" s="14" t="str">
        <f>"19282"</f>
        <v>19282</v>
      </c>
      <c r="E1646" s="14" t="s">
        <v>798</v>
      </c>
      <c r="F1646" s="14" t="s">
        <v>144</v>
      </c>
      <c r="G1646" s="14" t="str">
        <f>"GR0019282"</f>
        <v>GR0019282</v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69</v>
      </c>
      <c r="L1646" s="14" t="s">
        <v>70</v>
      </c>
      <c r="M1646" s="14" t="s">
        <v>71</v>
      </c>
      <c r="O1646" s="14" t="s">
        <v>799</v>
      </c>
      <c r="P1646" s="14" t="s">
        <v>31</v>
      </c>
      <c r="Q1646" s="14" t="s">
        <v>31</v>
      </c>
      <c r="R1646" s="14" t="s">
        <v>72</v>
      </c>
    </row>
    <row r="1647" spans="1:18" s="14" customFormat="1" x14ac:dyDescent="0.25">
      <c r="A1647" s="14" t="str">
        <f>"19283"</f>
        <v>19283</v>
      </c>
      <c r="B1647" s="14" t="str">
        <f>"01550"</f>
        <v>01550</v>
      </c>
      <c r="C1647" s="14" t="str">
        <f>"1300"</f>
        <v>1300</v>
      </c>
      <c r="D1647" s="14" t="str">
        <f>"19283"</f>
        <v>19283</v>
      </c>
      <c r="E1647" s="14" t="s">
        <v>800</v>
      </c>
      <c r="F1647" s="14" t="s">
        <v>134</v>
      </c>
      <c r="G1647" s="14" t="str">
        <f>"GR0019283"</f>
        <v>GR0019283</v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69</v>
      </c>
      <c r="L1647" s="14" t="s">
        <v>70</v>
      </c>
      <c r="M1647" s="14" t="s">
        <v>71</v>
      </c>
      <c r="O1647" s="14" t="s">
        <v>801</v>
      </c>
      <c r="P1647" s="14" t="s">
        <v>31</v>
      </c>
      <c r="Q1647" s="14" t="s">
        <v>31</v>
      </c>
      <c r="R1647" s="14" t="s">
        <v>72</v>
      </c>
    </row>
    <row r="1648" spans="1:18" s="14" customFormat="1" x14ac:dyDescent="0.25">
      <c r="A1648" s="14" t="str">
        <f>"19285"</f>
        <v>19285</v>
      </c>
      <c r="B1648" s="14" t="str">
        <f>"01560"</f>
        <v>01560</v>
      </c>
      <c r="C1648" s="14" t="str">
        <f>"1300"</f>
        <v>1300</v>
      </c>
      <c r="D1648" s="14" t="str">
        <f>"19285"</f>
        <v>19285</v>
      </c>
      <c r="E1648" s="14" t="s">
        <v>802</v>
      </c>
      <c r="F1648" s="14" t="s">
        <v>135</v>
      </c>
      <c r="G1648" s="14" t="str">
        <f>"GR0019285"</f>
        <v>GR0019285</v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69</v>
      </c>
      <c r="L1648" s="14" t="s">
        <v>70</v>
      </c>
      <c r="M1648" s="14" t="s">
        <v>71</v>
      </c>
      <c r="O1648" s="14" t="s">
        <v>803</v>
      </c>
      <c r="P1648" s="14" t="s">
        <v>31</v>
      </c>
      <c r="Q1648" s="14" t="s">
        <v>31</v>
      </c>
      <c r="R1648" s="14" t="s">
        <v>72</v>
      </c>
    </row>
    <row r="1649" spans="1:18" s="14" customFormat="1" x14ac:dyDescent="0.25">
      <c r="A1649" s="14" t="str">
        <f>"19286"</f>
        <v>19286</v>
      </c>
      <c r="B1649" s="14" t="str">
        <f>"01500"</f>
        <v>01500</v>
      </c>
      <c r="C1649" s="14" t="str">
        <f>"1300"</f>
        <v>1300</v>
      </c>
      <c r="D1649" s="14" t="str">
        <f>"19286"</f>
        <v>19286</v>
      </c>
      <c r="E1649" s="14" t="s">
        <v>804</v>
      </c>
      <c r="F1649" s="14" t="s">
        <v>130</v>
      </c>
      <c r="G1649" s="14" t="str">
        <f>"GR0019286"</f>
        <v>GR0019286</v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69</v>
      </c>
      <c r="L1649" s="14" t="s">
        <v>70</v>
      </c>
      <c r="M1649" s="14" t="s">
        <v>71</v>
      </c>
      <c r="O1649" s="14" t="s">
        <v>805</v>
      </c>
      <c r="P1649" s="14" t="s">
        <v>31</v>
      </c>
      <c r="Q1649" s="14" t="s">
        <v>31</v>
      </c>
      <c r="R1649" s="14" t="s">
        <v>72</v>
      </c>
    </row>
    <row r="1650" spans="1:18" s="14" customFormat="1" x14ac:dyDescent="0.25">
      <c r="A1650" s="14" t="str">
        <f>"19287"</f>
        <v>19287</v>
      </c>
      <c r="B1650" s="14" t="str">
        <f>"01380"</f>
        <v>01380</v>
      </c>
      <c r="C1650" s="14" t="str">
        <f>"1200"</f>
        <v>1200</v>
      </c>
      <c r="D1650" s="14" t="str">
        <f>"19287"</f>
        <v>19287</v>
      </c>
      <c r="E1650" s="14" t="s">
        <v>806</v>
      </c>
      <c r="F1650" s="14" t="s">
        <v>110</v>
      </c>
      <c r="G1650" s="14" t="str">
        <f>"GR0019287"</f>
        <v>GR0019287</v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111</v>
      </c>
      <c r="L1650" s="14" t="s">
        <v>112</v>
      </c>
      <c r="M1650" s="14" t="s">
        <v>113</v>
      </c>
      <c r="N1650" s="14" t="s">
        <v>114</v>
      </c>
      <c r="O1650" s="14" t="s">
        <v>807</v>
      </c>
      <c r="P1650" s="14" t="s">
        <v>31</v>
      </c>
      <c r="Q1650" s="14" t="s">
        <v>31</v>
      </c>
      <c r="R1650" s="14" t="s">
        <v>115</v>
      </c>
    </row>
    <row r="1651" spans="1:18" s="14" customFormat="1" x14ac:dyDescent="0.25">
      <c r="A1651" s="14" t="str">
        <f>"19288"</f>
        <v>19288</v>
      </c>
      <c r="B1651" s="14" t="str">
        <f>"01800"</f>
        <v>01800</v>
      </c>
      <c r="C1651" s="14" t="str">
        <f>"1200"</f>
        <v>1200</v>
      </c>
      <c r="D1651" s="14" t="str">
        <f>"19288"</f>
        <v>19288</v>
      </c>
      <c r="E1651" s="14" t="s">
        <v>808</v>
      </c>
      <c r="F1651" s="14" t="s">
        <v>180</v>
      </c>
      <c r="G1651" s="14" t="str">
        <f>"GR0019288"</f>
        <v>GR0019288</v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181</v>
      </c>
      <c r="L1651" s="14" t="s">
        <v>112</v>
      </c>
      <c r="M1651" s="14" t="s">
        <v>113</v>
      </c>
      <c r="N1651" s="14" t="s">
        <v>114</v>
      </c>
      <c r="O1651" s="14" t="s">
        <v>809</v>
      </c>
      <c r="P1651" s="14" t="s">
        <v>31</v>
      </c>
      <c r="Q1651" s="14" t="s">
        <v>31</v>
      </c>
      <c r="R1651" s="14" t="s">
        <v>115</v>
      </c>
    </row>
    <row r="1652" spans="1:18" s="14" customFormat="1" x14ac:dyDescent="0.25">
      <c r="A1652" s="14" t="str">
        <f>"19289"</f>
        <v>19289</v>
      </c>
      <c r="B1652" s="14" t="str">
        <f>"01800"</f>
        <v>01800</v>
      </c>
      <c r="C1652" s="14" t="str">
        <f>"1200"</f>
        <v>1200</v>
      </c>
      <c r="D1652" s="14" t="str">
        <f>"19289"</f>
        <v>19289</v>
      </c>
      <c r="E1652" s="14" t="s">
        <v>810</v>
      </c>
      <c r="F1652" s="14" t="s">
        <v>180</v>
      </c>
      <c r="G1652" s="14" t="str">
        <f>"GR0019289"</f>
        <v>GR0019289</v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181</v>
      </c>
      <c r="L1652" s="14" t="s">
        <v>112</v>
      </c>
      <c r="M1652" s="14" t="s">
        <v>113</v>
      </c>
      <c r="N1652" s="14" t="s">
        <v>114</v>
      </c>
      <c r="O1652" s="14" t="s">
        <v>809</v>
      </c>
      <c r="P1652" s="14" t="s">
        <v>31</v>
      </c>
      <c r="Q1652" s="14" t="s">
        <v>31</v>
      </c>
      <c r="R1652" s="14" t="s">
        <v>115</v>
      </c>
    </row>
    <row r="1653" spans="1:18" s="14" customFormat="1" x14ac:dyDescent="0.25">
      <c r="A1653" s="14" t="str">
        <f>"19290"</f>
        <v>19290</v>
      </c>
      <c r="B1653" s="14" t="str">
        <f>"01780"</f>
        <v>01780</v>
      </c>
      <c r="C1653" s="14" t="str">
        <f>"1700"</f>
        <v>1700</v>
      </c>
      <c r="D1653" s="14" t="str">
        <f>"19290"</f>
        <v>19290</v>
      </c>
      <c r="E1653" s="14" t="s">
        <v>811</v>
      </c>
      <c r="F1653" s="14" t="s">
        <v>175</v>
      </c>
      <c r="G1653" s="14" t="str">
        <f>"GR0019290"</f>
        <v>GR0019290</v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112</v>
      </c>
      <c r="L1653" s="14" t="s">
        <v>113</v>
      </c>
      <c r="M1653" s="14" t="s">
        <v>114</v>
      </c>
      <c r="O1653" s="14" t="s">
        <v>812</v>
      </c>
      <c r="P1653" s="14" t="s">
        <v>31</v>
      </c>
      <c r="Q1653" s="14" t="s">
        <v>31</v>
      </c>
      <c r="R1653" s="14" t="s">
        <v>115</v>
      </c>
    </row>
    <row r="1654" spans="1:18" s="14" customFormat="1" x14ac:dyDescent="0.25">
      <c r="A1654" s="14" t="str">
        <f>"19291"</f>
        <v>19291</v>
      </c>
      <c r="B1654" s="14" t="str">
        <f>"01820"</f>
        <v>01820</v>
      </c>
      <c r="C1654" s="14" t="str">
        <f>"1200"</f>
        <v>1200</v>
      </c>
      <c r="D1654" s="14" t="str">
        <f>"19291"</f>
        <v>19291</v>
      </c>
      <c r="E1654" s="14" t="s">
        <v>813</v>
      </c>
      <c r="F1654" s="14" t="s">
        <v>185</v>
      </c>
      <c r="G1654" s="14" t="str">
        <f>"GR0019291"</f>
        <v>GR0019291</v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186</v>
      </c>
      <c r="L1654" s="14" t="s">
        <v>112</v>
      </c>
      <c r="M1654" s="14" t="s">
        <v>113</v>
      </c>
      <c r="N1654" s="14" t="s">
        <v>114</v>
      </c>
      <c r="O1654" s="14" t="s">
        <v>814</v>
      </c>
      <c r="P1654" s="14" t="s">
        <v>31</v>
      </c>
      <c r="Q1654" s="14" t="s">
        <v>31</v>
      </c>
      <c r="R1654" s="14" t="s">
        <v>115</v>
      </c>
    </row>
    <row r="1655" spans="1:18" s="14" customFormat="1" x14ac:dyDescent="0.25">
      <c r="A1655" s="14" t="str">
        <f>"19296"</f>
        <v>19296</v>
      </c>
      <c r="B1655" s="14" t="str">
        <f>"01580"</f>
        <v>01580</v>
      </c>
      <c r="C1655" s="14" t="str">
        <f>"1300"</f>
        <v>1300</v>
      </c>
      <c r="D1655" s="14" t="str">
        <f>"19296"</f>
        <v>19296</v>
      </c>
      <c r="E1655" s="14" t="s">
        <v>821</v>
      </c>
      <c r="F1655" s="14" t="s">
        <v>137</v>
      </c>
      <c r="G1655" s="14" t="str">
        <f>"GR0019296"</f>
        <v>GR0019296</v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69</v>
      </c>
      <c r="L1655" s="14" t="s">
        <v>70</v>
      </c>
      <c r="M1655" s="14" t="s">
        <v>71</v>
      </c>
      <c r="O1655" s="14" t="s">
        <v>822</v>
      </c>
      <c r="P1655" s="14" t="s">
        <v>31</v>
      </c>
      <c r="Q1655" s="14" t="s">
        <v>31</v>
      </c>
      <c r="R1655" s="14" t="s">
        <v>72</v>
      </c>
    </row>
    <row r="1656" spans="1:18" s="14" customFormat="1" x14ac:dyDescent="0.25">
      <c r="A1656" s="14" t="str">
        <f>"19297"</f>
        <v>19297</v>
      </c>
      <c r="B1656" s="14" t="str">
        <f>"01500"</f>
        <v>01500</v>
      </c>
      <c r="C1656" s="14" t="str">
        <f>"1300"</f>
        <v>1300</v>
      </c>
      <c r="D1656" s="14" t="str">
        <f>"19297"</f>
        <v>19297</v>
      </c>
      <c r="E1656" s="14" t="s">
        <v>823</v>
      </c>
      <c r="F1656" s="14" t="s">
        <v>130</v>
      </c>
      <c r="G1656" s="14" t="str">
        <f>"GR0019297"</f>
        <v>GR0019297</v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69</v>
      </c>
      <c r="L1656" s="14" t="s">
        <v>70</v>
      </c>
      <c r="M1656" s="14" t="s">
        <v>71</v>
      </c>
      <c r="O1656" s="14" t="s">
        <v>824</v>
      </c>
      <c r="P1656" s="14" t="s">
        <v>31</v>
      </c>
      <c r="Q1656" s="14" t="s">
        <v>31</v>
      </c>
      <c r="R1656" s="14" t="s">
        <v>72</v>
      </c>
    </row>
    <row r="1657" spans="1:18" s="14" customFormat="1" x14ac:dyDescent="0.25">
      <c r="A1657" s="14" t="str">
        <f>"19298"</f>
        <v>19298</v>
      </c>
      <c r="B1657" s="14" t="str">
        <f>"01560"</f>
        <v>01560</v>
      </c>
      <c r="C1657" s="14" t="str">
        <f>"1300"</f>
        <v>1300</v>
      </c>
      <c r="D1657" s="14" t="str">
        <f>"19298"</f>
        <v>19298</v>
      </c>
      <c r="E1657" s="14" t="s">
        <v>825</v>
      </c>
      <c r="F1657" s="14" t="s">
        <v>135</v>
      </c>
      <c r="G1657" s="14" t="str">
        <f>"GR0019298"</f>
        <v>GR0019298</v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69</v>
      </c>
      <c r="L1657" s="14" t="s">
        <v>70</v>
      </c>
      <c r="M1657" s="14" t="s">
        <v>71</v>
      </c>
      <c r="O1657" s="14" t="s">
        <v>826</v>
      </c>
      <c r="P1657" s="14" t="s">
        <v>31</v>
      </c>
      <c r="Q1657" s="14" t="s">
        <v>31</v>
      </c>
      <c r="R1657" s="14" t="s">
        <v>72</v>
      </c>
    </row>
    <row r="1658" spans="1:18" s="14" customFormat="1" x14ac:dyDescent="0.25">
      <c r="A1658" s="14" t="str">
        <f>"19299"</f>
        <v>19299</v>
      </c>
      <c r="B1658" s="14" t="str">
        <f>"01560"</f>
        <v>01560</v>
      </c>
      <c r="C1658" s="14" t="str">
        <f>"1300"</f>
        <v>1300</v>
      </c>
      <c r="D1658" s="14" t="str">
        <f>"19299"</f>
        <v>19299</v>
      </c>
      <c r="E1658" s="14" t="s">
        <v>827</v>
      </c>
      <c r="F1658" s="14" t="s">
        <v>135</v>
      </c>
      <c r="G1658" s="14" t="str">
        <f>"GR0019299"</f>
        <v>GR0019299</v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69</v>
      </c>
      <c r="L1658" s="14" t="s">
        <v>70</v>
      </c>
      <c r="M1658" s="14" t="s">
        <v>71</v>
      </c>
      <c r="O1658" s="14" t="s">
        <v>828</v>
      </c>
      <c r="P1658" s="14" t="s">
        <v>31</v>
      </c>
      <c r="Q1658" s="14" t="s">
        <v>31</v>
      </c>
      <c r="R1658" s="14" t="s">
        <v>72</v>
      </c>
    </row>
    <row r="1659" spans="1:18" s="14" customFormat="1" x14ac:dyDescent="0.25">
      <c r="A1659" s="14" t="str">
        <f>"19300"</f>
        <v>19300</v>
      </c>
      <c r="B1659" s="14" t="str">
        <f>"01600"</f>
        <v>01600</v>
      </c>
      <c r="C1659" s="14" t="str">
        <f>"1300"</f>
        <v>1300</v>
      </c>
      <c r="D1659" s="14" t="str">
        <f>"19300"</f>
        <v>19300</v>
      </c>
      <c r="E1659" s="14" t="s">
        <v>829</v>
      </c>
      <c r="F1659" s="14" t="s">
        <v>138</v>
      </c>
      <c r="G1659" s="14" t="str">
        <f>"GR0019300"</f>
        <v>GR0019300</v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69</v>
      </c>
      <c r="L1659" s="14" t="s">
        <v>70</v>
      </c>
      <c r="M1659" s="14" t="s">
        <v>71</v>
      </c>
      <c r="O1659" s="14" t="s">
        <v>830</v>
      </c>
      <c r="P1659" s="14" t="s">
        <v>31</v>
      </c>
      <c r="Q1659" s="14" t="s">
        <v>31</v>
      </c>
      <c r="R1659" s="14" t="s">
        <v>72</v>
      </c>
    </row>
    <row r="1660" spans="1:18" s="14" customFormat="1" x14ac:dyDescent="0.25">
      <c r="A1660" s="14" t="str">
        <f>"19301"</f>
        <v>19301</v>
      </c>
      <c r="B1660" s="14" t="str">
        <f>"01820"</f>
        <v>01820</v>
      </c>
      <c r="C1660" s="14" t="str">
        <f>"1200"</f>
        <v>1200</v>
      </c>
      <c r="D1660" s="14" t="str">
        <f>"19301"</f>
        <v>19301</v>
      </c>
      <c r="E1660" s="14" t="s">
        <v>831</v>
      </c>
      <c r="F1660" s="14" t="s">
        <v>185</v>
      </c>
      <c r="G1660" s="14" t="str">
        <f>"GR0019301"</f>
        <v>GR0019301</v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186</v>
      </c>
      <c r="L1660" s="14" t="s">
        <v>112</v>
      </c>
      <c r="M1660" s="14" t="s">
        <v>113</v>
      </c>
      <c r="N1660" s="14" t="s">
        <v>114</v>
      </c>
      <c r="O1660" s="14" t="s">
        <v>772</v>
      </c>
      <c r="P1660" s="14" t="s">
        <v>31</v>
      </c>
      <c r="Q1660" s="14" t="s">
        <v>31</v>
      </c>
      <c r="R1660" s="14" t="s">
        <v>115</v>
      </c>
    </row>
    <row r="1661" spans="1:18" s="14" customFormat="1" x14ac:dyDescent="0.25">
      <c r="A1661" s="14" t="str">
        <f>"19302"</f>
        <v>19302</v>
      </c>
      <c r="B1661" s="14" t="str">
        <f>"01630"</f>
        <v>01630</v>
      </c>
      <c r="C1661" s="14" t="str">
        <f>"1200"</f>
        <v>1200</v>
      </c>
      <c r="D1661" s="14" t="str">
        <f>"19302"</f>
        <v>19302</v>
      </c>
      <c r="E1661" s="14" t="s">
        <v>832</v>
      </c>
      <c r="F1661" s="14" t="s">
        <v>142</v>
      </c>
      <c r="G1661" s="14" t="str">
        <f>"GR0019302"</f>
        <v>GR0019302</v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69</v>
      </c>
      <c r="L1661" s="14" t="s">
        <v>70</v>
      </c>
      <c r="M1661" s="14" t="s">
        <v>71</v>
      </c>
      <c r="O1661" s="14" t="s">
        <v>755</v>
      </c>
      <c r="P1661" s="14" t="s">
        <v>31</v>
      </c>
      <c r="Q1661" s="14" t="s">
        <v>31</v>
      </c>
      <c r="R1661" s="14" t="s">
        <v>72</v>
      </c>
    </row>
    <row r="1662" spans="1:18" s="14" customFormat="1" x14ac:dyDescent="0.25">
      <c r="A1662" s="14" t="str">
        <f>"19303"</f>
        <v>19303</v>
      </c>
      <c r="B1662" s="14" t="str">
        <f>"01630"</f>
        <v>01630</v>
      </c>
      <c r="C1662" s="14" t="str">
        <f>"1200"</f>
        <v>1200</v>
      </c>
      <c r="D1662" s="14" t="str">
        <f>"19303"</f>
        <v>19303</v>
      </c>
      <c r="E1662" s="14" t="s">
        <v>833</v>
      </c>
      <c r="F1662" s="14" t="s">
        <v>142</v>
      </c>
      <c r="G1662" s="14" t="str">
        <f>"GR0019303"</f>
        <v>GR0019303</v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69</v>
      </c>
      <c r="L1662" s="14" t="s">
        <v>70</v>
      </c>
      <c r="M1662" s="14" t="s">
        <v>71</v>
      </c>
      <c r="O1662" s="14" t="s">
        <v>755</v>
      </c>
      <c r="P1662" s="14" t="s">
        <v>31</v>
      </c>
      <c r="Q1662" s="14" t="s">
        <v>31</v>
      </c>
      <c r="R1662" s="14" t="s">
        <v>72</v>
      </c>
    </row>
    <row r="1663" spans="1:18" s="14" customFormat="1" x14ac:dyDescent="0.25">
      <c r="A1663" s="14" t="str">
        <f>"19304"</f>
        <v>19304</v>
      </c>
      <c r="B1663" s="14" t="str">
        <f>"01630"</f>
        <v>01630</v>
      </c>
      <c r="C1663" s="14" t="str">
        <f>"1200"</f>
        <v>1200</v>
      </c>
      <c r="D1663" s="14" t="str">
        <f>"19304"</f>
        <v>19304</v>
      </c>
      <c r="E1663" s="14" t="s">
        <v>834</v>
      </c>
      <c r="F1663" s="14" t="s">
        <v>142</v>
      </c>
      <c r="G1663" s="14" t="str">
        <f>"GR0019304"</f>
        <v>GR0019304</v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69</v>
      </c>
      <c r="L1663" s="14" t="s">
        <v>70</v>
      </c>
      <c r="M1663" s="14" t="s">
        <v>71</v>
      </c>
      <c r="O1663" s="14" t="s">
        <v>755</v>
      </c>
      <c r="P1663" s="14" t="s">
        <v>31</v>
      </c>
      <c r="Q1663" s="14" t="s">
        <v>31</v>
      </c>
      <c r="R1663" s="14" t="s">
        <v>72</v>
      </c>
    </row>
    <row r="1664" spans="1:18" s="14" customFormat="1" x14ac:dyDescent="0.25">
      <c r="A1664" s="14" t="str">
        <f>"19305"</f>
        <v>19305</v>
      </c>
      <c r="B1664" s="14" t="str">
        <f>"01500"</f>
        <v>01500</v>
      </c>
      <c r="C1664" s="14" t="str">
        <f>"1200"</f>
        <v>1200</v>
      </c>
      <c r="D1664" s="14" t="str">
        <f>"19305"</f>
        <v>19305</v>
      </c>
      <c r="E1664" s="14" t="s">
        <v>835</v>
      </c>
      <c r="F1664" s="14" t="s">
        <v>130</v>
      </c>
      <c r="G1664" s="14" t="str">
        <f>"GR0019305"</f>
        <v>GR0019305</v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69</v>
      </c>
      <c r="L1664" s="14" t="s">
        <v>70</v>
      </c>
      <c r="M1664" s="14" t="s">
        <v>71</v>
      </c>
      <c r="O1664" s="14" t="s">
        <v>836</v>
      </c>
      <c r="P1664" s="14" t="s">
        <v>31</v>
      </c>
      <c r="Q1664" s="14" t="s">
        <v>31</v>
      </c>
      <c r="R1664" s="14" t="s">
        <v>72</v>
      </c>
    </row>
    <row r="1665" spans="1:18" s="14" customFormat="1" x14ac:dyDescent="0.25">
      <c r="A1665" s="14" t="str">
        <f>"19306"</f>
        <v>19306</v>
      </c>
      <c r="B1665" s="14" t="str">
        <f>"01620"</f>
        <v>01620</v>
      </c>
      <c r="C1665" s="14" t="str">
        <f>"1200"</f>
        <v>1200</v>
      </c>
      <c r="D1665" s="14" t="str">
        <f>""</f>
        <v/>
      </c>
      <c r="E1665" s="14" t="s">
        <v>1923</v>
      </c>
      <c r="F1665" s="14" t="s">
        <v>140</v>
      </c>
      <c r="G1665" s="14" t="str">
        <f>"GR0019306"</f>
        <v>GR0019306</v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69</v>
      </c>
      <c r="L1665" s="14" t="s">
        <v>70</v>
      </c>
      <c r="M1665" s="14" t="s">
        <v>71</v>
      </c>
      <c r="O1665" s="14" t="s">
        <v>1924</v>
      </c>
      <c r="P1665" s="14" t="s">
        <v>31</v>
      </c>
      <c r="Q1665" s="14" t="s">
        <v>31</v>
      </c>
      <c r="R1665" s="14" t="s">
        <v>72</v>
      </c>
    </row>
    <row r="1666" spans="1:18" s="14" customFormat="1" x14ac:dyDescent="0.25">
      <c r="A1666" s="14" t="str">
        <f>"19307"</f>
        <v>19307</v>
      </c>
      <c r="B1666" s="14" t="str">
        <f>"01370"</f>
        <v>01370</v>
      </c>
      <c r="C1666" s="14" t="str">
        <f>"1200"</f>
        <v>1200</v>
      </c>
      <c r="D1666" s="14" t="str">
        <f>""</f>
        <v/>
      </c>
      <c r="E1666" s="14" t="s">
        <v>1925</v>
      </c>
      <c r="F1666" s="14" t="s">
        <v>108</v>
      </c>
      <c r="G1666" s="14" t="str">
        <f>"GR0019307"</f>
        <v>GR0019307</v>
      </c>
      <c r="H1666" s="14" t="str">
        <f>" 00"</f>
        <v xml:space="preserve"> 00</v>
      </c>
      <c r="I1666" s="14">
        <v>0.01</v>
      </c>
      <c r="J1666" s="14">
        <v>9999999.9900000002</v>
      </c>
      <c r="K1666" s="14" t="s">
        <v>69</v>
      </c>
      <c r="L1666" s="14" t="s">
        <v>70</v>
      </c>
      <c r="M1666" s="14" t="s">
        <v>71</v>
      </c>
      <c r="O1666" s="14" t="s">
        <v>1926</v>
      </c>
      <c r="P1666" s="14" t="s">
        <v>31</v>
      </c>
      <c r="Q1666" s="14" t="s">
        <v>31</v>
      </c>
      <c r="R1666" s="14" t="s">
        <v>72</v>
      </c>
    </row>
    <row r="1667" spans="1:18" s="14" customFormat="1" x14ac:dyDescent="0.25">
      <c r="A1667" s="14" t="str">
        <f>"84002"</f>
        <v>84002</v>
      </c>
      <c r="B1667" s="14" t="str">
        <f>"07020"</f>
        <v>07020</v>
      </c>
      <c r="C1667" s="14" t="str">
        <f>"1700"</f>
        <v>1700</v>
      </c>
      <c r="D1667" s="14" t="str">
        <f>"84002"</f>
        <v>84002</v>
      </c>
      <c r="E1667" s="14" t="s">
        <v>1531</v>
      </c>
      <c r="F1667" s="14" t="s">
        <v>1532</v>
      </c>
      <c r="G1667" s="14" t="str">
        <f>""</f>
        <v/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392</v>
      </c>
      <c r="L1667" s="14" t="s">
        <v>526</v>
      </c>
      <c r="P1667" s="14" t="s">
        <v>31</v>
      </c>
      <c r="Q1667" s="14" t="s">
        <v>31</v>
      </c>
      <c r="R1667" s="14" t="s">
        <v>392</v>
      </c>
    </row>
    <row r="1668" spans="1:18" s="14" customFormat="1" x14ac:dyDescent="0.25">
      <c r="A1668" s="14" t="str">
        <f>"84004"</f>
        <v>84004</v>
      </c>
      <c r="B1668" s="14" t="str">
        <f>"07020"</f>
        <v>07020</v>
      </c>
      <c r="C1668" s="14" t="str">
        <f>"1700"</f>
        <v>1700</v>
      </c>
      <c r="D1668" s="14" t="str">
        <f>"84004"</f>
        <v>84004</v>
      </c>
      <c r="E1668" s="14" t="s">
        <v>1533</v>
      </c>
      <c r="F1668" s="14" t="s">
        <v>1532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386</v>
      </c>
      <c r="L1668" s="14" t="s">
        <v>1534</v>
      </c>
      <c r="M1668" s="14" t="s">
        <v>387</v>
      </c>
      <c r="P1668" s="14" t="s">
        <v>31</v>
      </c>
      <c r="Q1668" s="14" t="s">
        <v>31</v>
      </c>
      <c r="R1668" s="14" t="s">
        <v>388</v>
      </c>
    </row>
    <row r="1669" spans="1:18" s="14" customFormat="1" x14ac:dyDescent="0.25">
      <c r="A1669" s="14" t="str">
        <f>"84005"</f>
        <v>84005</v>
      </c>
      <c r="B1669" s="14" t="str">
        <f>"07020"</f>
        <v>07020</v>
      </c>
      <c r="C1669" s="14" t="str">
        <f>"1700"</f>
        <v>1700</v>
      </c>
      <c r="D1669" s="14" t="str">
        <f>"84005"</f>
        <v>84005</v>
      </c>
      <c r="E1669" s="14" t="s">
        <v>1535</v>
      </c>
      <c r="F1669" s="14" t="s">
        <v>1532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1536</v>
      </c>
      <c r="L1669" s="14" t="s">
        <v>789</v>
      </c>
      <c r="M1669" s="14" t="s">
        <v>181</v>
      </c>
      <c r="P1669" s="14" t="s">
        <v>31</v>
      </c>
      <c r="Q1669" s="14" t="s">
        <v>31</v>
      </c>
      <c r="R1669" s="14" t="s">
        <v>392</v>
      </c>
    </row>
    <row r="1670" spans="1:18" s="14" customFormat="1" x14ac:dyDescent="0.25">
      <c r="A1670" s="14" t="str">
        <f>"84006"</f>
        <v>84006</v>
      </c>
      <c r="B1670" s="14" t="str">
        <f>"07020"</f>
        <v>07020</v>
      </c>
      <c r="C1670" s="14" t="str">
        <f>"1700"</f>
        <v>1700</v>
      </c>
      <c r="D1670" s="14" t="str">
        <f>"84006"</f>
        <v>84006</v>
      </c>
      <c r="E1670" s="14" t="s">
        <v>1537</v>
      </c>
      <c r="F1670" s="14" t="s">
        <v>1532</v>
      </c>
      <c r="G1670" s="14" t="str">
        <f>""</f>
        <v/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392</v>
      </c>
      <c r="L1670" s="14" t="s">
        <v>526</v>
      </c>
      <c r="P1670" s="14" t="s">
        <v>31</v>
      </c>
      <c r="Q1670" s="14" t="s">
        <v>31</v>
      </c>
      <c r="R1670" s="14" t="s">
        <v>392</v>
      </c>
    </row>
    <row r="1671" spans="1:18" s="14" customFormat="1" x14ac:dyDescent="0.25">
      <c r="A1671" s="14" t="str">
        <f>"84007"</f>
        <v>84007</v>
      </c>
      <c r="B1671" s="14" t="str">
        <f>"07020"</f>
        <v>07020</v>
      </c>
      <c r="C1671" s="14" t="str">
        <f>"1700"</f>
        <v>1700</v>
      </c>
      <c r="D1671" s="14" t="str">
        <f>"84007"</f>
        <v>84007</v>
      </c>
      <c r="E1671" s="14" t="s">
        <v>1538</v>
      </c>
      <c r="F1671" s="14" t="s">
        <v>1532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48</v>
      </c>
      <c r="L1671" s="14" t="s">
        <v>97</v>
      </c>
      <c r="M1671" s="14" t="s">
        <v>98</v>
      </c>
      <c r="P1671" s="14" t="s">
        <v>31</v>
      </c>
      <c r="Q1671" s="14" t="s">
        <v>31</v>
      </c>
      <c r="R1671" s="14" t="s">
        <v>49</v>
      </c>
    </row>
    <row r="1672" spans="1:18" s="14" customFormat="1" x14ac:dyDescent="0.25">
      <c r="A1672" s="14" t="str">
        <f>"84008"</f>
        <v>84008</v>
      </c>
      <c r="B1672" s="14" t="str">
        <f>"07020"</f>
        <v>07020</v>
      </c>
      <c r="C1672" s="14" t="str">
        <f>"1700"</f>
        <v>1700</v>
      </c>
      <c r="D1672" s="14" t="str">
        <f>"84008"</f>
        <v>84008</v>
      </c>
      <c r="E1672" s="14" t="s">
        <v>1539</v>
      </c>
      <c r="F1672" s="14" t="s">
        <v>1532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70</v>
      </c>
      <c r="L1672" s="14" t="s">
        <v>1540</v>
      </c>
      <c r="M1672" s="14" t="s">
        <v>72</v>
      </c>
      <c r="P1672" s="14" t="s">
        <v>31</v>
      </c>
      <c r="Q1672" s="14" t="s">
        <v>31</v>
      </c>
      <c r="R1672" s="14" t="s">
        <v>70</v>
      </c>
    </row>
    <row r="1673" spans="1:18" s="14" customFormat="1" x14ac:dyDescent="0.25">
      <c r="A1673" s="14" t="str">
        <f>"84009"</f>
        <v>84009</v>
      </c>
      <c r="B1673" s="14" t="str">
        <f>"07020"</f>
        <v>07020</v>
      </c>
      <c r="C1673" s="14" t="str">
        <f>"1700"</f>
        <v>1700</v>
      </c>
      <c r="D1673" s="14" t="str">
        <f>"84009"</f>
        <v>84009</v>
      </c>
      <c r="E1673" s="14" t="s">
        <v>1541</v>
      </c>
      <c r="F1673" s="14" t="s">
        <v>1532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154</v>
      </c>
      <c r="L1673" s="14" t="s">
        <v>147</v>
      </c>
      <c r="M1673" s="14" t="s">
        <v>166</v>
      </c>
      <c r="P1673" s="14" t="s">
        <v>31</v>
      </c>
      <c r="Q1673" s="14" t="s">
        <v>31</v>
      </c>
      <c r="R1673" s="14" t="s">
        <v>146</v>
      </c>
    </row>
    <row r="1674" spans="1:18" s="14" customFormat="1" x14ac:dyDescent="0.25">
      <c r="A1674" s="14" t="str">
        <f>"84010"</f>
        <v>84010</v>
      </c>
      <c r="B1674" s="14" t="str">
        <f>"07020"</f>
        <v>07020</v>
      </c>
      <c r="C1674" s="14" t="str">
        <f>"1700"</f>
        <v>1700</v>
      </c>
      <c r="D1674" s="14" t="str">
        <f>"84010"</f>
        <v>84010</v>
      </c>
      <c r="E1674" s="14" t="s">
        <v>1542</v>
      </c>
      <c r="F1674" s="14" t="s">
        <v>1532</v>
      </c>
      <c r="G1674" s="14" t="str">
        <f>""</f>
        <v/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186</v>
      </c>
      <c r="P1674" s="14" t="s">
        <v>31</v>
      </c>
      <c r="Q1674" s="14" t="s">
        <v>31</v>
      </c>
      <c r="R1674" s="14" t="s">
        <v>115</v>
      </c>
    </row>
    <row r="1675" spans="1:18" s="14" customFormat="1" x14ac:dyDescent="0.25">
      <c r="A1675" s="14" t="str">
        <f>"84012"</f>
        <v>84012</v>
      </c>
      <c r="B1675" s="14" t="str">
        <f>"07020"</f>
        <v>07020</v>
      </c>
      <c r="C1675" s="14" t="str">
        <f>"1700"</f>
        <v>1700</v>
      </c>
      <c r="D1675" s="14" t="str">
        <f>"84012"</f>
        <v>84012</v>
      </c>
      <c r="E1675" s="14" t="s">
        <v>1543</v>
      </c>
      <c r="F1675" s="14" t="s">
        <v>1532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1544</v>
      </c>
      <c r="P1675" s="14" t="s">
        <v>31</v>
      </c>
      <c r="Q1675" s="14" t="s">
        <v>31</v>
      </c>
      <c r="R1675" s="14" t="s">
        <v>1545</v>
      </c>
    </row>
    <row r="1676" spans="1:18" s="14" customFormat="1" x14ac:dyDescent="0.25">
      <c r="A1676" s="14" t="str">
        <f>"84013"</f>
        <v>84013</v>
      </c>
      <c r="B1676" s="14" t="str">
        <f>"07020"</f>
        <v>07020</v>
      </c>
      <c r="C1676" s="14" t="str">
        <f>"1700"</f>
        <v>1700</v>
      </c>
      <c r="D1676" s="14" t="str">
        <f>"84013"</f>
        <v>84013</v>
      </c>
      <c r="E1676" s="14" t="s">
        <v>1546</v>
      </c>
      <c r="F1676" s="14" t="s">
        <v>1532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1547</v>
      </c>
      <c r="L1676" s="14" t="s">
        <v>1548</v>
      </c>
      <c r="M1676" s="14" t="s">
        <v>72</v>
      </c>
      <c r="P1676" s="14" t="s">
        <v>31</v>
      </c>
      <c r="Q1676" s="14" t="s">
        <v>31</v>
      </c>
      <c r="R1676" s="14" t="s">
        <v>1549</v>
      </c>
    </row>
    <row r="1677" spans="1:18" s="14" customFormat="1" x14ac:dyDescent="0.25">
      <c r="A1677" s="14" t="str">
        <f>"84014"</f>
        <v>84014</v>
      </c>
      <c r="B1677" s="14" t="str">
        <f>"07020"</f>
        <v>07020</v>
      </c>
      <c r="C1677" s="14" t="str">
        <f>"1700"</f>
        <v>1700</v>
      </c>
      <c r="D1677" s="14" t="str">
        <f>"84014"</f>
        <v>84014</v>
      </c>
      <c r="E1677" s="14" t="s">
        <v>1550</v>
      </c>
      <c r="F1677" s="14" t="s">
        <v>1532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173</v>
      </c>
      <c r="P1677" s="14" t="s">
        <v>31</v>
      </c>
      <c r="Q1677" s="14" t="s">
        <v>31</v>
      </c>
      <c r="R1677" s="14" t="s">
        <v>1551</v>
      </c>
    </row>
    <row r="1678" spans="1:18" s="14" customFormat="1" x14ac:dyDescent="0.25">
      <c r="A1678" s="14" t="str">
        <f>"84016"</f>
        <v>84016</v>
      </c>
      <c r="B1678" s="14" t="str">
        <f>"07020"</f>
        <v>07020</v>
      </c>
      <c r="C1678" s="14" t="str">
        <f>"1700"</f>
        <v>1700</v>
      </c>
      <c r="D1678" s="14" t="str">
        <f>"84016"</f>
        <v>84016</v>
      </c>
      <c r="E1678" s="14" t="s">
        <v>1552</v>
      </c>
      <c r="F1678" s="14" t="s">
        <v>1532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1553</v>
      </c>
      <c r="L1678" s="14" t="s">
        <v>755</v>
      </c>
      <c r="M1678" s="14" t="s">
        <v>72</v>
      </c>
      <c r="P1678" s="14" t="s">
        <v>31</v>
      </c>
      <c r="Q1678" s="14" t="s">
        <v>31</v>
      </c>
      <c r="R1678" s="14" t="s">
        <v>1553</v>
      </c>
    </row>
    <row r="1679" spans="1:18" s="14" customFormat="1" x14ac:dyDescent="0.25">
      <c r="A1679" s="14" t="str">
        <f>"84017"</f>
        <v>84017</v>
      </c>
      <c r="B1679" s="14" t="str">
        <f>"07020"</f>
        <v>07020</v>
      </c>
      <c r="C1679" s="14" t="str">
        <f>"1700"</f>
        <v>1700</v>
      </c>
      <c r="D1679" s="14" t="str">
        <f>"84017"</f>
        <v>84017</v>
      </c>
      <c r="E1679" s="14" t="s">
        <v>1554</v>
      </c>
      <c r="F1679" s="14" t="s">
        <v>1532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109</v>
      </c>
      <c r="L1679" s="14" t="s">
        <v>1555</v>
      </c>
      <c r="M1679" s="14" t="s">
        <v>72</v>
      </c>
      <c r="P1679" s="14" t="s">
        <v>31</v>
      </c>
      <c r="Q1679" s="14" t="s">
        <v>31</v>
      </c>
      <c r="R1679" s="14" t="s">
        <v>109</v>
      </c>
    </row>
    <row r="1680" spans="1:18" s="14" customFormat="1" x14ac:dyDescent="0.25">
      <c r="A1680" s="14" t="str">
        <f>"84018"</f>
        <v>84018</v>
      </c>
      <c r="B1680" s="14" t="str">
        <f>"07020"</f>
        <v>07020</v>
      </c>
      <c r="C1680" s="14" t="str">
        <f>"1700"</f>
        <v>1700</v>
      </c>
      <c r="D1680" s="14" t="str">
        <f>"84018"</f>
        <v>84018</v>
      </c>
      <c r="E1680" s="14" t="s">
        <v>1556</v>
      </c>
      <c r="F1680" s="14" t="s">
        <v>1532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147</v>
      </c>
      <c r="L1680" s="14" t="s">
        <v>148</v>
      </c>
      <c r="P1680" s="14" t="s">
        <v>31</v>
      </c>
      <c r="Q1680" s="14" t="s">
        <v>31</v>
      </c>
      <c r="R1680" s="14" t="s">
        <v>146</v>
      </c>
    </row>
    <row r="1681" spans="1:18" s="14" customFormat="1" x14ac:dyDescent="0.25">
      <c r="A1681" s="14" t="str">
        <f>"84020"</f>
        <v>84020</v>
      </c>
      <c r="B1681" s="14" t="str">
        <f>"07020"</f>
        <v>07020</v>
      </c>
      <c r="C1681" s="14" t="str">
        <f>"1700"</f>
        <v>1700</v>
      </c>
      <c r="D1681" s="14" t="str">
        <f>"84020"</f>
        <v>84020</v>
      </c>
      <c r="E1681" s="14" t="s">
        <v>1557</v>
      </c>
      <c r="F1681" s="14" t="s">
        <v>1532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1558</v>
      </c>
      <c r="L1681" s="14" t="s">
        <v>113</v>
      </c>
      <c r="P1681" s="14" t="s">
        <v>31</v>
      </c>
      <c r="Q1681" s="14" t="s">
        <v>31</v>
      </c>
      <c r="R1681" s="14" t="s">
        <v>1558</v>
      </c>
    </row>
    <row r="1682" spans="1:18" s="14" customFormat="1" x14ac:dyDescent="0.25">
      <c r="A1682" s="14" t="str">
        <f>"84021"</f>
        <v>84021</v>
      </c>
      <c r="B1682" s="14" t="str">
        <f>"07020"</f>
        <v>07020</v>
      </c>
      <c r="C1682" s="14" t="str">
        <f>"1700"</f>
        <v>1700</v>
      </c>
      <c r="D1682" s="14" t="str">
        <f>"84021"</f>
        <v>84021</v>
      </c>
      <c r="E1682" s="14" t="s">
        <v>1559</v>
      </c>
      <c r="F1682" s="14" t="s">
        <v>1532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1560</v>
      </c>
      <c r="L1682" s="14" t="s">
        <v>181</v>
      </c>
      <c r="P1682" s="14" t="s">
        <v>31</v>
      </c>
      <c r="Q1682" s="14" t="s">
        <v>31</v>
      </c>
      <c r="R1682" s="14" t="s">
        <v>1560</v>
      </c>
    </row>
    <row r="1683" spans="1:18" s="14" customFormat="1" x14ac:dyDescent="0.25">
      <c r="A1683" s="14" t="str">
        <f>"84023"</f>
        <v>84023</v>
      </c>
      <c r="B1683" s="14" t="str">
        <f>"07020"</f>
        <v>07020</v>
      </c>
      <c r="C1683" s="14" t="str">
        <f>"1700"</f>
        <v>1700</v>
      </c>
      <c r="D1683" s="14" t="str">
        <f>"84023"</f>
        <v>84023</v>
      </c>
      <c r="E1683" s="14" t="s">
        <v>1561</v>
      </c>
      <c r="F1683" s="14" t="s">
        <v>1532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48</v>
      </c>
      <c r="L1683" s="14" t="s">
        <v>97</v>
      </c>
      <c r="M1683" s="14" t="s">
        <v>1562</v>
      </c>
      <c r="P1683" s="14" t="s">
        <v>31</v>
      </c>
      <c r="Q1683" s="14" t="s">
        <v>31</v>
      </c>
      <c r="R1683" s="14" t="s">
        <v>49</v>
      </c>
    </row>
    <row r="1684" spans="1:18" s="14" customFormat="1" x14ac:dyDescent="0.25">
      <c r="A1684" s="14" t="str">
        <f>"84024"</f>
        <v>84024</v>
      </c>
      <c r="B1684" s="14" t="str">
        <f>"07020"</f>
        <v>07020</v>
      </c>
      <c r="C1684" s="14" t="str">
        <f>"1700"</f>
        <v>1700</v>
      </c>
      <c r="D1684" s="14" t="str">
        <f>"84024"</f>
        <v>84024</v>
      </c>
      <c r="E1684" s="14" t="s">
        <v>1563</v>
      </c>
      <c r="F1684" s="14" t="s">
        <v>1532</v>
      </c>
      <c r="G1684" s="14" t="str">
        <f>""</f>
        <v/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392</v>
      </c>
      <c r="L1684" s="14" t="s">
        <v>526</v>
      </c>
      <c r="P1684" s="14" t="s">
        <v>31</v>
      </c>
      <c r="Q1684" s="14" t="s">
        <v>31</v>
      </c>
      <c r="R1684" s="14" t="s">
        <v>392</v>
      </c>
    </row>
    <row r="1685" spans="1:18" s="14" customFormat="1" x14ac:dyDescent="0.25">
      <c r="A1685" s="14" t="str">
        <f>"84025"</f>
        <v>84025</v>
      </c>
      <c r="B1685" s="14" t="str">
        <f>"07020"</f>
        <v>07020</v>
      </c>
      <c r="C1685" s="14" t="str">
        <f>"1700"</f>
        <v>1700</v>
      </c>
      <c r="D1685" s="14" t="str">
        <f>"84025"</f>
        <v>84025</v>
      </c>
      <c r="E1685" s="14" t="s">
        <v>1564</v>
      </c>
      <c r="F1685" s="14" t="s">
        <v>1532</v>
      </c>
      <c r="G1685" s="14" t="str">
        <f>""</f>
        <v/>
      </c>
      <c r="H1685" s="14" t="str">
        <f>" 00"</f>
        <v xml:space="preserve"> 00</v>
      </c>
      <c r="I1685" s="14">
        <v>0.01</v>
      </c>
      <c r="J1685" s="14">
        <v>9999999.9900000002</v>
      </c>
      <c r="K1685" s="14" t="s">
        <v>1565</v>
      </c>
      <c r="L1685" s="14" t="s">
        <v>1566</v>
      </c>
      <c r="P1685" s="14" t="s">
        <v>31</v>
      </c>
      <c r="Q1685" s="14" t="s">
        <v>31</v>
      </c>
      <c r="R1685" s="14" t="s">
        <v>1565</v>
      </c>
    </row>
    <row r="1686" spans="1:18" s="14" customFormat="1" x14ac:dyDescent="0.25">
      <c r="A1686" s="14" t="str">
        <f>"84026"</f>
        <v>84026</v>
      </c>
      <c r="B1686" s="14" t="str">
        <f>"07020"</f>
        <v>07020</v>
      </c>
      <c r="C1686" s="14" t="str">
        <f>"1700"</f>
        <v>1700</v>
      </c>
      <c r="D1686" s="14" t="str">
        <f>"84026"</f>
        <v>84026</v>
      </c>
      <c r="E1686" s="14" t="s">
        <v>1567</v>
      </c>
      <c r="F1686" s="14" t="s">
        <v>1532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1568</v>
      </c>
      <c r="P1686" s="14" t="s">
        <v>31</v>
      </c>
      <c r="Q1686" s="14" t="s">
        <v>31</v>
      </c>
      <c r="R1686" s="14" t="s">
        <v>115</v>
      </c>
    </row>
    <row r="1687" spans="1:18" s="14" customFormat="1" x14ac:dyDescent="0.25">
      <c r="A1687" s="14" t="str">
        <f>"84030"</f>
        <v>84030</v>
      </c>
      <c r="B1687" s="14" t="str">
        <f>"07020"</f>
        <v>07020</v>
      </c>
      <c r="C1687" s="14" t="str">
        <f>"1700"</f>
        <v>1700</v>
      </c>
      <c r="D1687" s="14" t="str">
        <f>"84030"</f>
        <v>84030</v>
      </c>
      <c r="E1687" s="14" t="s">
        <v>1571</v>
      </c>
      <c r="F1687" s="14" t="s">
        <v>1532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392</v>
      </c>
      <c r="L1687" s="14" t="s">
        <v>526</v>
      </c>
      <c r="P1687" s="14" t="s">
        <v>31</v>
      </c>
      <c r="Q1687" s="14" t="s">
        <v>31</v>
      </c>
      <c r="R1687" s="14" t="s">
        <v>392</v>
      </c>
    </row>
    <row r="1688" spans="1:18" s="14" customFormat="1" x14ac:dyDescent="0.25">
      <c r="A1688" s="14" t="str">
        <f>"84031"</f>
        <v>84031</v>
      </c>
      <c r="B1688" s="14" t="str">
        <f>"07020"</f>
        <v>07020</v>
      </c>
      <c r="C1688" s="14" t="str">
        <f>"1700"</f>
        <v>1700</v>
      </c>
      <c r="D1688" s="14" t="str">
        <f>"84031"</f>
        <v>84031</v>
      </c>
      <c r="E1688" s="14" t="s">
        <v>1572</v>
      </c>
      <c r="F1688" s="14" t="s">
        <v>1532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392</v>
      </c>
      <c r="L1688" s="14" t="s">
        <v>526</v>
      </c>
      <c r="P1688" s="14" t="s">
        <v>31</v>
      </c>
      <c r="Q1688" s="14" t="s">
        <v>31</v>
      </c>
      <c r="R1688" s="14" t="s">
        <v>392</v>
      </c>
    </row>
    <row r="1689" spans="1:18" s="14" customFormat="1" x14ac:dyDescent="0.25">
      <c r="A1689" s="14" t="str">
        <f>"84032"</f>
        <v>84032</v>
      </c>
      <c r="B1689" s="14" t="str">
        <f>"07020"</f>
        <v>07020</v>
      </c>
      <c r="C1689" s="14" t="str">
        <f>"1700"</f>
        <v>1700</v>
      </c>
      <c r="D1689" s="14" t="str">
        <f>"84032"</f>
        <v>84032</v>
      </c>
      <c r="E1689" s="14" t="s">
        <v>1573</v>
      </c>
      <c r="F1689" s="14" t="s">
        <v>1532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1574</v>
      </c>
      <c r="P1689" s="14" t="s">
        <v>31</v>
      </c>
      <c r="Q1689" s="14" t="s">
        <v>31</v>
      </c>
      <c r="R1689" s="14" t="s">
        <v>1575</v>
      </c>
    </row>
    <row r="1690" spans="1:18" s="14" customFormat="1" x14ac:dyDescent="0.25">
      <c r="A1690" s="14" t="str">
        <f>"84033"</f>
        <v>84033</v>
      </c>
      <c r="B1690" s="14" t="str">
        <f>"07020"</f>
        <v>07020</v>
      </c>
      <c r="C1690" s="14" t="str">
        <f>"1700"</f>
        <v>1700</v>
      </c>
      <c r="D1690" s="14" t="str">
        <f>"84033"</f>
        <v>84033</v>
      </c>
      <c r="E1690" s="14" t="s">
        <v>1576</v>
      </c>
      <c r="F1690" s="14" t="s">
        <v>1532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381</v>
      </c>
      <c r="L1690" s="14" t="s">
        <v>382</v>
      </c>
      <c r="M1690" s="14" t="s">
        <v>1570</v>
      </c>
      <c r="P1690" s="14" t="s">
        <v>31</v>
      </c>
      <c r="Q1690" s="14" t="s">
        <v>31</v>
      </c>
      <c r="R1690" s="14" t="s">
        <v>383</v>
      </c>
    </row>
    <row r="1691" spans="1:18" s="14" customFormat="1" x14ac:dyDescent="0.25">
      <c r="A1691" s="14" t="str">
        <f>"84034"</f>
        <v>84034</v>
      </c>
      <c r="B1691" s="14" t="str">
        <f>"07020"</f>
        <v>07020</v>
      </c>
      <c r="C1691" s="14" t="str">
        <f>"1700"</f>
        <v>1700</v>
      </c>
      <c r="D1691" s="14" t="str">
        <f>"84034"</f>
        <v>84034</v>
      </c>
      <c r="E1691" s="14" t="s">
        <v>1577</v>
      </c>
      <c r="F1691" s="14" t="s">
        <v>1532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166</v>
      </c>
      <c r="L1691" s="14" t="s">
        <v>147</v>
      </c>
      <c r="P1691" s="14" t="s">
        <v>31</v>
      </c>
      <c r="Q1691" s="14" t="s">
        <v>31</v>
      </c>
      <c r="R1691" s="14" t="s">
        <v>166</v>
      </c>
    </row>
    <row r="1692" spans="1:18" s="14" customFormat="1" x14ac:dyDescent="0.25">
      <c r="A1692" s="14" t="str">
        <f>"84036"</f>
        <v>84036</v>
      </c>
      <c r="B1692" s="14" t="str">
        <f>"07020"</f>
        <v>07020</v>
      </c>
      <c r="C1692" s="14" t="str">
        <f>"1700"</f>
        <v>1700</v>
      </c>
      <c r="D1692" s="14" t="str">
        <f>"84036"</f>
        <v>84036</v>
      </c>
      <c r="E1692" s="14" t="s">
        <v>1578</v>
      </c>
      <c r="F1692" s="14" t="s">
        <v>1532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1579</v>
      </c>
      <c r="L1692" s="14" t="s">
        <v>824</v>
      </c>
      <c r="M1692" s="14" t="s">
        <v>72</v>
      </c>
      <c r="P1692" s="14" t="s">
        <v>31</v>
      </c>
      <c r="Q1692" s="14" t="s">
        <v>31</v>
      </c>
      <c r="R1692" s="14" t="s">
        <v>1579</v>
      </c>
    </row>
    <row r="1693" spans="1:18" s="14" customFormat="1" x14ac:dyDescent="0.25">
      <c r="A1693" s="14" t="str">
        <f>"84037"</f>
        <v>84037</v>
      </c>
      <c r="B1693" s="14" t="str">
        <f>"07020"</f>
        <v>07020</v>
      </c>
      <c r="C1693" s="14" t="str">
        <f>"1700"</f>
        <v>1700</v>
      </c>
      <c r="D1693" s="14" t="str">
        <f>"84037"</f>
        <v>84037</v>
      </c>
      <c r="E1693" s="14" t="s">
        <v>1580</v>
      </c>
      <c r="F1693" s="14" t="s">
        <v>1532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392</v>
      </c>
      <c r="L1693" s="14" t="s">
        <v>526</v>
      </c>
      <c r="P1693" s="14" t="s">
        <v>31</v>
      </c>
      <c r="Q1693" s="14" t="s">
        <v>31</v>
      </c>
      <c r="R1693" s="14" t="s">
        <v>392</v>
      </c>
    </row>
    <row r="1694" spans="1:18" s="14" customFormat="1" x14ac:dyDescent="0.25">
      <c r="A1694" s="14" t="str">
        <f>"84040"</f>
        <v>84040</v>
      </c>
      <c r="B1694" s="14" t="str">
        <f>"07020"</f>
        <v>07020</v>
      </c>
      <c r="C1694" s="14" t="str">
        <f>"1700"</f>
        <v>1700</v>
      </c>
      <c r="D1694" s="14" t="str">
        <f>"84040"</f>
        <v>84040</v>
      </c>
      <c r="E1694" s="14" t="s">
        <v>1581</v>
      </c>
      <c r="F1694" s="14" t="s">
        <v>1532</v>
      </c>
      <c r="G1694" s="14" t="str">
        <f>""</f>
        <v/>
      </c>
      <c r="H1694" s="14" t="str">
        <f>" 10"</f>
        <v xml:space="preserve"> 10</v>
      </c>
      <c r="I1694" s="14">
        <v>0.01</v>
      </c>
      <c r="J1694" s="14">
        <v>500</v>
      </c>
      <c r="K1694" s="14" t="s">
        <v>146</v>
      </c>
      <c r="L1694" s="14" t="s">
        <v>147</v>
      </c>
      <c r="P1694" s="14" t="s">
        <v>31</v>
      </c>
      <c r="Q1694" s="14" t="s">
        <v>31</v>
      </c>
      <c r="R1694" s="14" t="s">
        <v>146</v>
      </c>
    </row>
    <row r="1695" spans="1:18" s="14" customFormat="1" x14ac:dyDescent="0.25">
      <c r="A1695" s="14" t="str">
        <f>"84040"</f>
        <v>84040</v>
      </c>
      <c r="B1695" s="14" t="str">
        <f>"07020"</f>
        <v>07020</v>
      </c>
      <c r="C1695" s="14" t="str">
        <f>"1700"</f>
        <v>1700</v>
      </c>
      <c r="D1695" s="14" t="str">
        <f>"84040"</f>
        <v>84040</v>
      </c>
      <c r="E1695" s="14" t="s">
        <v>1581</v>
      </c>
      <c r="F1695" s="14" t="s">
        <v>1532</v>
      </c>
      <c r="G1695" s="14" t="str">
        <f>""</f>
        <v/>
      </c>
      <c r="H1695" s="14" t="str">
        <f>" 20"</f>
        <v xml:space="preserve"> 20</v>
      </c>
      <c r="I1695" s="14">
        <v>500.01</v>
      </c>
      <c r="J1695" s="14">
        <v>9999999.9900000002</v>
      </c>
      <c r="K1695" s="14" t="s">
        <v>147</v>
      </c>
      <c r="L1695" s="14" t="s">
        <v>148</v>
      </c>
      <c r="P1695" s="14" t="s">
        <v>31</v>
      </c>
      <c r="Q1695" s="14" t="s">
        <v>31</v>
      </c>
      <c r="R1695" s="14" t="s">
        <v>146</v>
      </c>
    </row>
    <row r="1696" spans="1:18" s="14" customFormat="1" x14ac:dyDescent="0.25">
      <c r="A1696" s="14" t="str">
        <f>"84041"</f>
        <v>84041</v>
      </c>
      <c r="B1696" s="14" t="str">
        <f>"07020"</f>
        <v>07020</v>
      </c>
      <c r="C1696" s="14" t="str">
        <f>"1700"</f>
        <v>1700</v>
      </c>
      <c r="D1696" s="14" t="str">
        <f>"84041"</f>
        <v>84041</v>
      </c>
      <c r="E1696" s="14" t="s">
        <v>1582</v>
      </c>
      <c r="F1696" s="14" t="s">
        <v>1532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1583</v>
      </c>
      <c r="M1696" s="14" t="s">
        <v>72</v>
      </c>
      <c r="P1696" s="14" t="s">
        <v>31</v>
      </c>
      <c r="Q1696" s="14" t="s">
        <v>31</v>
      </c>
      <c r="R1696" s="14" t="s">
        <v>72</v>
      </c>
    </row>
    <row r="1697" spans="1:18" s="14" customFormat="1" x14ac:dyDescent="0.25">
      <c r="A1697" s="14" t="str">
        <f>"84042"</f>
        <v>84042</v>
      </c>
      <c r="B1697" s="14" t="str">
        <f>"07020"</f>
        <v>07020</v>
      </c>
      <c r="C1697" s="14" t="str">
        <f>"1700"</f>
        <v>1700</v>
      </c>
      <c r="D1697" s="14" t="str">
        <f>"84042"</f>
        <v>84042</v>
      </c>
      <c r="E1697" s="14" t="s">
        <v>1584</v>
      </c>
      <c r="F1697" s="14" t="s">
        <v>1532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993</v>
      </c>
      <c r="P1697" s="14" t="s">
        <v>31</v>
      </c>
      <c r="Q1697" s="14" t="s">
        <v>31</v>
      </c>
      <c r="R1697" s="14" t="s">
        <v>993</v>
      </c>
    </row>
    <row r="1698" spans="1:18" s="14" customFormat="1" x14ac:dyDescent="0.25">
      <c r="A1698" s="14" t="str">
        <f>"84044"</f>
        <v>84044</v>
      </c>
      <c r="B1698" s="14" t="str">
        <f>"07020"</f>
        <v>07020</v>
      </c>
      <c r="C1698" s="14" t="str">
        <f>"1700"</f>
        <v>1700</v>
      </c>
      <c r="D1698" s="14" t="str">
        <f>"84044"</f>
        <v>84044</v>
      </c>
      <c r="E1698" s="14" t="s">
        <v>1585</v>
      </c>
      <c r="F1698" s="14" t="s">
        <v>1532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1586</v>
      </c>
      <c r="P1698" s="14" t="s">
        <v>31</v>
      </c>
      <c r="Q1698" s="14" t="s">
        <v>31</v>
      </c>
      <c r="R1698" s="14" t="s">
        <v>1586</v>
      </c>
    </row>
    <row r="1699" spans="1:18" s="14" customFormat="1" x14ac:dyDescent="0.25">
      <c r="A1699" s="14" t="str">
        <f>"84045"</f>
        <v>84045</v>
      </c>
      <c r="B1699" s="14" t="str">
        <f>"07020"</f>
        <v>07020</v>
      </c>
      <c r="C1699" s="14" t="str">
        <f>"1700"</f>
        <v>1700</v>
      </c>
      <c r="D1699" s="14" t="str">
        <f>"84045"</f>
        <v>84045</v>
      </c>
      <c r="E1699" s="14" t="s">
        <v>1587</v>
      </c>
      <c r="F1699" s="14" t="s">
        <v>1532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109</v>
      </c>
      <c r="L1699" s="14" t="s">
        <v>72</v>
      </c>
      <c r="P1699" s="14" t="s">
        <v>31</v>
      </c>
      <c r="Q1699" s="14" t="s">
        <v>31</v>
      </c>
      <c r="R1699" s="14" t="s">
        <v>72</v>
      </c>
    </row>
    <row r="1700" spans="1:18" s="14" customFormat="1" x14ac:dyDescent="0.25">
      <c r="A1700" s="14" t="str">
        <f>"84047"</f>
        <v>84047</v>
      </c>
      <c r="B1700" s="14" t="str">
        <f>"07020"</f>
        <v>07020</v>
      </c>
      <c r="C1700" s="14" t="str">
        <f>"1700"</f>
        <v>1700</v>
      </c>
      <c r="D1700" s="14" t="str">
        <f>"84047"</f>
        <v>84047</v>
      </c>
      <c r="E1700" s="14" t="s">
        <v>1588</v>
      </c>
      <c r="F1700" s="14" t="s">
        <v>1532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404</v>
      </c>
      <c r="L1700" s="14" t="s">
        <v>405</v>
      </c>
      <c r="P1700" s="14" t="s">
        <v>31</v>
      </c>
      <c r="Q1700" s="14" t="s">
        <v>31</v>
      </c>
      <c r="R1700" s="14" t="s">
        <v>403</v>
      </c>
    </row>
    <row r="1701" spans="1:18" s="14" customFormat="1" x14ac:dyDescent="0.25">
      <c r="A1701" s="14" t="str">
        <f>"84048"</f>
        <v>84048</v>
      </c>
      <c r="B1701" s="14" t="str">
        <f>"07020"</f>
        <v>07020</v>
      </c>
      <c r="C1701" s="14" t="str">
        <f>"1700"</f>
        <v>1700</v>
      </c>
      <c r="D1701" s="14" t="str">
        <f>"84048"</f>
        <v>84048</v>
      </c>
      <c r="E1701" s="14" t="s">
        <v>1589</v>
      </c>
      <c r="F1701" s="14" t="s">
        <v>1532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69</v>
      </c>
      <c r="L1701" s="14" t="s">
        <v>71</v>
      </c>
      <c r="M1701" s="14" t="s">
        <v>70</v>
      </c>
      <c r="N1701" s="14" t="s">
        <v>72</v>
      </c>
      <c r="P1701" s="14" t="s">
        <v>31</v>
      </c>
      <c r="Q1701" s="14" t="s">
        <v>31</v>
      </c>
      <c r="R1701" s="14" t="s">
        <v>69</v>
      </c>
    </row>
    <row r="1702" spans="1:18" s="14" customFormat="1" x14ac:dyDescent="0.25">
      <c r="A1702" s="14" t="str">
        <f>"84050"</f>
        <v>84050</v>
      </c>
      <c r="B1702" s="14" t="str">
        <f>"07020"</f>
        <v>07020</v>
      </c>
      <c r="C1702" s="14" t="str">
        <f>"1700"</f>
        <v>1700</v>
      </c>
      <c r="D1702" s="14" t="str">
        <f>"84050"</f>
        <v>84050</v>
      </c>
      <c r="E1702" s="14" t="s">
        <v>1590</v>
      </c>
      <c r="F1702" s="14" t="s">
        <v>1532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392</v>
      </c>
      <c r="L1702" s="14" t="s">
        <v>526</v>
      </c>
      <c r="P1702" s="14" t="s">
        <v>31</v>
      </c>
      <c r="Q1702" s="14" t="s">
        <v>31</v>
      </c>
      <c r="R1702" s="14" t="s">
        <v>392</v>
      </c>
    </row>
    <row r="1703" spans="1:18" s="14" customFormat="1" x14ac:dyDescent="0.25">
      <c r="A1703" s="14" t="str">
        <f>"84051"</f>
        <v>84051</v>
      </c>
      <c r="B1703" s="14" t="str">
        <f>"07020"</f>
        <v>07020</v>
      </c>
      <c r="C1703" s="14" t="str">
        <f>"1700"</f>
        <v>1700</v>
      </c>
      <c r="D1703" s="14" t="str">
        <f>"84051"</f>
        <v>84051</v>
      </c>
      <c r="E1703" s="14" t="s">
        <v>1591</v>
      </c>
      <c r="F1703" s="14" t="s">
        <v>1532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392</v>
      </c>
      <c r="L1703" s="14" t="s">
        <v>526</v>
      </c>
      <c r="P1703" s="14" t="s">
        <v>31</v>
      </c>
      <c r="Q1703" s="14" t="s">
        <v>31</v>
      </c>
      <c r="R1703" s="14" t="s">
        <v>392</v>
      </c>
    </row>
    <row r="1704" spans="1:18" s="14" customFormat="1" x14ac:dyDescent="0.25">
      <c r="A1704" s="14" t="str">
        <f>"84052"</f>
        <v>84052</v>
      </c>
      <c r="B1704" s="14" t="str">
        <f>"07020"</f>
        <v>07020</v>
      </c>
      <c r="C1704" s="14" t="str">
        <f>"1700"</f>
        <v>1700</v>
      </c>
      <c r="D1704" s="14" t="str">
        <f>"84052"</f>
        <v>84052</v>
      </c>
      <c r="E1704" s="14" t="s">
        <v>1592</v>
      </c>
      <c r="F1704" s="14" t="s">
        <v>1532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48</v>
      </c>
      <c r="L1704" s="14" t="s">
        <v>97</v>
      </c>
      <c r="M1704" s="14" t="s">
        <v>98</v>
      </c>
      <c r="P1704" s="14" t="s">
        <v>31</v>
      </c>
      <c r="Q1704" s="14" t="s">
        <v>31</v>
      </c>
      <c r="R1704" s="14" t="s">
        <v>49</v>
      </c>
    </row>
    <row r="1705" spans="1:18" s="14" customFormat="1" x14ac:dyDescent="0.25">
      <c r="A1705" s="14" t="str">
        <f>"84054"</f>
        <v>84054</v>
      </c>
      <c r="B1705" s="14" t="str">
        <f>"07020"</f>
        <v>07020</v>
      </c>
      <c r="C1705" s="14" t="str">
        <f>"1700"</f>
        <v>1700</v>
      </c>
      <c r="D1705" s="14" t="str">
        <f>"84054"</f>
        <v>84054</v>
      </c>
      <c r="E1705" s="14" t="s">
        <v>1593</v>
      </c>
      <c r="F1705" s="14" t="s">
        <v>1532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755</v>
      </c>
      <c r="L1705" s="14" t="s">
        <v>751</v>
      </c>
      <c r="M1705" s="14" t="s">
        <v>72</v>
      </c>
      <c r="P1705" s="14" t="s">
        <v>31</v>
      </c>
      <c r="Q1705" s="14" t="s">
        <v>31</v>
      </c>
      <c r="R1705" s="14" t="s">
        <v>755</v>
      </c>
    </row>
    <row r="1706" spans="1:18" s="14" customFormat="1" x14ac:dyDescent="0.25">
      <c r="A1706" s="14" t="str">
        <f>"84055"</f>
        <v>84055</v>
      </c>
      <c r="B1706" s="14" t="str">
        <f>"07020"</f>
        <v>07020</v>
      </c>
      <c r="C1706" s="14" t="str">
        <f>"1700"</f>
        <v>1700</v>
      </c>
      <c r="D1706" s="14" t="str">
        <f>"84055"</f>
        <v>84055</v>
      </c>
      <c r="E1706" s="14" t="s">
        <v>1594</v>
      </c>
      <c r="F1706" s="14" t="s">
        <v>1532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392</v>
      </c>
      <c r="P1706" s="14" t="s">
        <v>31</v>
      </c>
      <c r="Q1706" s="14" t="s">
        <v>31</v>
      </c>
      <c r="R1706" s="14" t="s">
        <v>392</v>
      </c>
    </row>
    <row r="1707" spans="1:18" s="14" customFormat="1" x14ac:dyDescent="0.25">
      <c r="A1707" s="14" t="str">
        <f>"84056"</f>
        <v>84056</v>
      </c>
      <c r="B1707" s="14" t="str">
        <f>"07020"</f>
        <v>07020</v>
      </c>
      <c r="C1707" s="14" t="str">
        <f>"1700"</f>
        <v>1700</v>
      </c>
      <c r="D1707" s="14" t="str">
        <f>"84056"</f>
        <v>84056</v>
      </c>
      <c r="E1707" s="14" t="s">
        <v>1595</v>
      </c>
      <c r="F1707" s="14" t="s">
        <v>1532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70</v>
      </c>
      <c r="L1707" s="14" t="s">
        <v>72</v>
      </c>
      <c r="P1707" s="14" t="s">
        <v>31</v>
      </c>
      <c r="Q1707" s="14" t="s">
        <v>31</v>
      </c>
      <c r="R1707" s="14" t="s">
        <v>70</v>
      </c>
    </row>
    <row r="1708" spans="1:18" s="14" customFormat="1" x14ac:dyDescent="0.25">
      <c r="A1708" s="14" t="str">
        <f>"84058"</f>
        <v>84058</v>
      </c>
      <c r="B1708" s="14" t="str">
        <f>"07020"</f>
        <v>07020</v>
      </c>
      <c r="C1708" s="14" t="str">
        <f>"1700"</f>
        <v>1700</v>
      </c>
      <c r="D1708" s="14" t="str">
        <f>"84058"</f>
        <v>84058</v>
      </c>
      <c r="E1708" s="14" t="s">
        <v>1596</v>
      </c>
      <c r="F1708" s="14" t="s">
        <v>1532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1597</v>
      </c>
      <c r="L1708" s="14" t="s">
        <v>1598</v>
      </c>
      <c r="M1708" s="14" t="s">
        <v>72</v>
      </c>
      <c r="P1708" s="14" t="s">
        <v>31</v>
      </c>
      <c r="Q1708" s="14" t="s">
        <v>31</v>
      </c>
      <c r="R1708" s="14" t="s">
        <v>72</v>
      </c>
    </row>
    <row r="1709" spans="1:18" s="14" customFormat="1" x14ac:dyDescent="0.25">
      <c r="A1709" s="14" t="str">
        <f>"84059"</f>
        <v>84059</v>
      </c>
      <c r="B1709" s="14" t="str">
        <f>"07020"</f>
        <v>07020</v>
      </c>
      <c r="C1709" s="14" t="str">
        <f>"1700"</f>
        <v>1700</v>
      </c>
      <c r="D1709" s="14" t="str">
        <f>"84059"</f>
        <v>84059</v>
      </c>
      <c r="E1709" s="14" t="s">
        <v>1599</v>
      </c>
      <c r="F1709" s="14" t="s">
        <v>1532</v>
      </c>
      <c r="G1709" s="14" t="str">
        <f>""</f>
        <v/>
      </c>
      <c r="H1709" s="14" t="str">
        <f>" 00"</f>
        <v xml:space="preserve"> 00</v>
      </c>
      <c r="I1709" s="14">
        <v>0.01</v>
      </c>
      <c r="J1709" s="14">
        <v>9999999.9900000002</v>
      </c>
      <c r="K1709" s="14" t="s">
        <v>1600</v>
      </c>
      <c r="L1709" s="14" t="s">
        <v>392</v>
      </c>
      <c r="P1709" s="14" t="s">
        <v>31</v>
      </c>
      <c r="Q1709" s="14" t="s">
        <v>31</v>
      </c>
      <c r="R1709" s="14" t="s">
        <v>1600</v>
      </c>
    </row>
    <row r="1710" spans="1:18" s="14" customFormat="1" x14ac:dyDescent="0.25">
      <c r="A1710" s="14" t="str">
        <f>"84060"</f>
        <v>84060</v>
      </c>
      <c r="B1710" s="14" t="str">
        <f>"07020"</f>
        <v>07020</v>
      </c>
      <c r="C1710" s="14" t="str">
        <f>"1700"</f>
        <v>1700</v>
      </c>
      <c r="D1710" s="14" t="str">
        <f>"84060"</f>
        <v>84060</v>
      </c>
      <c r="E1710" s="14" t="s">
        <v>1601</v>
      </c>
      <c r="F1710" s="14" t="s">
        <v>1532</v>
      </c>
      <c r="G1710" s="14" t="str">
        <f>""</f>
        <v/>
      </c>
      <c r="H1710" s="14" t="str">
        <f>" 00"</f>
        <v xml:space="preserve"> 00</v>
      </c>
      <c r="I1710" s="14">
        <v>0.01</v>
      </c>
      <c r="J1710" s="14">
        <v>9999999.9900000002</v>
      </c>
      <c r="K1710" s="14" t="s">
        <v>1602</v>
      </c>
      <c r="L1710" s="14" t="s">
        <v>181</v>
      </c>
      <c r="P1710" s="14" t="s">
        <v>31</v>
      </c>
      <c r="Q1710" s="14" t="s">
        <v>31</v>
      </c>
      <c r="R1710" s="14" t="s">
        <v>1602</v>
      </c>
    </row>
    <row r="1711" spans="1:18" s="14" customFormat="1" x14ac:dyDescent="0.25">
      <c r="A1711" s="14" t="str">
        <f>"84061"</f>
        <v>84061</v>
      </c>
      <c r="B1711" s="14" t="str">
        <f>"07020"</f>
        <v>07020</v>
      </c>
      <c r="C1711" s="14" t="str">
        <f>"1700"</f>
        <v>1700</v>
      </c>
      <c r="D1711" s="14" t="str">
        <f>"84061"</f>
        <v>84061</v>
      </c>
      <c r="E1711" s="14" t="s">
        <v>1603</v>
      </c>
      <c r="F1711" s="14" t="s">
        <v>1532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141</v>
      </c>
      <c r="L1711" s="14" t="s">
        <v>71</v>
      </c>
      <c r="M1711" s="14" t="s">
        <v>72</v>
      </c>
      <c r="P1711" s="14" t="s">
        <v>31</v>
      </c>
      <c r="Q1711" s="14" t="s">
        <v>31</v>
      </c>
      <c r="R1711" s="14" t="s">
        <v>141</v>
      </c>
    </row>
    <row r="1712" spans="1:18" s="14" customFormat="1" x14ac:dyDescent="0.25">
      <c r="A1712" s="14" t="str">
        <f>"84063"</f>
        <v>84063</v>
      </c>
      <c r="B1712" s="14" t="str">
        <f>"07020"</f>
        <v>07020</v>
      </c>
      <c r="C1712" s="14" t="str">
        <f>"1700"</f>
        <v>1700</v>
      </c>
      <c r="D1712" s="14" t="str">
        <f>"84063"</f>
        <v>84063</v>
      </c>
      <c r="E1712" s="14" t="s">
        <v>1604</v>
      </c>
      <c r="F1712" s="14" t="s">
        <v>1532</v>
      </c>
      <c r="G1712" s="14" t="str">
        <f>""</f>
        <v/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392</v>
      </c>
      <c r="L1712" s="14" t="s">
        <v>526</v>
      </c>
      <c r="P1712" s="14" t="s">
        <v>31</v>
      </c>
      <c r="Q1712" s="14" t="s">
        <v>31</v>
      </c>
      <c r="R1712" s="14" t="s">
        <v>392</v>
      </c>
    </row>
    <row r="1713" spans="1:18" s="14" customFormat="1" x14ac:dyDescent="0.25">
      <c r="A1713" s="14" t="str">
        <f>"84064"</f>
        <v>84064</v>
      </c>
      <c r="B1713" s="14" t="str">
        <f>"07020"</f>
        <v>07020</v>
      </c>
      <c r="C1713" s="14" t="str">
        <f>"1700"</f>
        <v>1700</v>
      </c>
      <c r="D1713" s="14" t="str">
        <f>"84064"</f>
        <v>84064</v>
      </c>
      <c r="E1713" s="14" t="s">
        <v>1605</v>
      </c>
      <c r="F1713" s="14" t="s">
        <v>1532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379</v>
      </c>
      <c r="L1713" s="14" t="s">
        <v>394</v>
      </c>
      <c r="M1713" s="14" t="s">
        <v>395</v>
      </c>
      <c r="P1713" s="14" t="s">
        <v>31</v>
      </c>
      <c r="Q1713" s="14" t="s">
        <v>31</v>
      </c>
      <c r="R1713" s="14" t="s">
        <v>394</v>
      </c>
    </row>
    <row r="1714" spans="1:18" s="14" customFormat="1" x14ac:dyDescent="0.25">
      <c r="A1714" s="14" t="str">
        <f>"84065"</f>
        <v>84065</v>
      </c>
      <c r="B1714" s="14" t="str">
        <f>"07020"</f>
        <v>07020</v>
      </c>
      <c r="C1714" s="14" t="str">
        <f>"1700"</f>
        <v>1700</v>
      </c>
      <c r="D1714" s="14" t="str">
        <f>"84065"</f>
        <v>84065</v>
      </c>
      <c r="E1714" s="14" t="s">
        <v>1606</v>
      </c>
      <c r="F1714" s="14" t="s">
        <v>1532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1544</v>
      </c>
      <c r="L1714" s="14" t="s">
        <v>1607</v>
      </c>
      <c r="P1714" s="14" t="s">
        <v>31</v>
      </c>
      <c r="Q1714" s="14" t="s">
        <v>31</v>
      </c>
      <c r="R1714" s="14" t="s">
        <v>1544</v>
      </c>
    </row>
    <row r="1715" spans="1:18" s="14" customFormat="1" x14ac:dyDescent="0.25">
      <c r="A1715" s="14" t="str">
        <f>"84067"</f>
        <v>84067</v>
      </c>
      <c r="B1715" s="14" t="str">
        <f>"07020"</f>
        <v>07020</v>
      </c>
      <c r="C1715" s="14" t="str">
        <f>"1700"</f>
        <v>1700</v>
      </c>
      <c r="D1715" s="14" t="str">
        <f>"84067"</f>
        <v>84067</v>
      </c>
      <c r="E1715" s="14" t="s">
        <v>1608</v>
      </c>
      <c r="F1715" s="14" t="s">
        <v>1532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192</v>
      </c>
      <c r="L1715" s="14" t="s">
        <v>194</v>
      </c>
      <c r="P1715" s="14" t="s">
        <v>31</v>
      </c>
      <c r="Q1715" s="14" t="s">
        <v>31</v>
      </c>
      <c r="R1715" s="14" t="s">
        <v>192</v>
      </c>
    </row>
    <row r="1716" spans="1:18" s="14" customFormat="1" x14ac:dyDescent="0.25">
      <c r="A1716" s="14" t="str">
        <f>"84068"</f>
        <v>84068</v>
      </c>
      <c r="B1716" s="14" t="str">
        <f>"07020"</f>
        <v>07020</v>
      </c>
      <c r="C1716" s="14" t="str">
        <f>"1700"</f>
        <v>1700</v>
      </c>
      <c r="D1716" s="14" t="str">
        <f>"84068"</f>
        <v>84068</v>
      </c>
      <c r="E1716" s="14" t="s">
        <v>1609</v>
      </c>
      <c r="F1716" s="14" t="s">
        <v>1532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1607</v>
      </c>
      <c r="L1716" s="14" t="s">
        <v>141</v>
      </c>
      <c r="M1716" s="14" t="s">
        <v>72</v>
      </c>
      <c r="P1716" s="14" t="s">
        <v>31</v>
      </c>
      <c r="Q1716" s="14" t="s">
        <v>31</v>
      </c>
      <c r="R1716" s="14" t="s">
        <v>1607</v>
      </c>
    </row>
    <row r="1717" spans="1:18" s="14" customFormat="1" x14ac:dyDescent="0.25">
      <c r="A1717" s="14" t="str">
        <f>"84069"</f>
        <v>84069</v>
      </c>
      <c r="B1717" s="14" t="str">
        <f>"07020"</f>
        <v>07020</v>
      </c>
      <c r="C1717" s="14" t="str">
        <f>"1700"</f>
        <v>1700</v>
      </c>
      <c r="D1717" s="14" t="str">
        <f>"84069"</f>
        <v>84069</v>
      </c>
      <c r="E1717" s="14" t="s">
        <v>1610</v>
      </c>
      <c r="F1717" s="14" t="s">
        <v>1532</v>
      </c>
      <c r="G1717" s="14" t="str">
        <f>""</f>
        <v/>
      </c>
      <c r="H1717" s="14" t="str">
        <f>" 00"</f>
        <v xml:space="preserve"> 00</v>
      </c>
      <c r="I1717" s="14">
        <v>0.01</v>
      </c>
      <c r="J1717" s="14">
        <v>9999999.9900000002</v>
      </c>
      <c r="K1717" s="14" t="s">
        <v>381</v>
      </c>
      <c r="L1717" s="14" t="s">
        <v>382</v>
      </c>
      <c r="M1717" s="14" t="s">
        <v>1570</v>
      </c>
      <c r="P1717" s="14" t="s">
        <v>31</v>
      </c>
      <c r="Q1717" s="14" t="s">
        <v>31</v>
      </c>
      <c r="R1717" s="14" t="s">
        <v>383</v>
      </c>
    </row>
    <row r="1718" spans="1:18" s="14" customFormat="1" x14ac:dyDescent="0.25">
      <c r="A1718" s="14" t="str">
        <f>"84070"</f>
        <v>84070</v>
      </c>
      <c r="B1718" s="14" t="str">
        <f>"07020"</f>
        <v>07020</v>
      </c>
      <c r="C1718" s="14" t="str">
        <f>"1700"</f>
        <v>1700</v>
      </c>
      <c r="D1718" s="14" t="str">
        <f>"84070"</f>
        <v>84070</v>
      </c>
      <c r="E1718" s="14" t="s">
        <v>1611</v>
      </c>
      <c r="F1718" s="14" t="s">
        <v>1532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1534</v>
      </c>
      <c r="L1718" s="14" t="s">
        <v>387</v>
      </c>
      <c r="M1718" s="14" t="s">
        <v>386</v>
      </c>
      <c r="P1718" s="14" t="s">
        <v>31</v>
      </c>
      <c r="Q1718" s="14" t="s">
        <v>31</v>
      </c>
      <c r="R1718" s="14" t="s">
        <v>1534</v>
      </c>
    </row>
    <row r="1719" spans="1:18" s="14" customFormat="1" x14ac:dyDescent="0.25">
      <c r="A1719" s="14" t="str">
        <f>"84071"</f>
        <v>84071</v>
      </c>
      <c r="B1719" s="14" t="str">
        <f>"07020"</f>
        <v>07020</v>
      </c>
      <c r="C1719" s="14" t="str">
        <f>"1700"</f>
        <v>1700</v>
      </c>
      <c r="D1719" s="14" t="str">
        <f>"84071"</f>
        <v>84071</v>
      </c>
      <c r="E1719" s="14" t="s">
        <v>1612</v>
      </c>
      <c r="F1719" s="14" t="s">
        <v>1532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890</v>
      </c>
      <c r="L1719" s="14" t="s">
        <v>109</v>
      </c>
      <c r="M1719" s="14" t="s">
        <v>72</v>
      </c>
      <c r="P1719" s="14" t="s">
        <v>31</v>
      </c>
      <c r="Q1719" s="14" t="s">
        <v>31</v>
      </c>
      <c r="R1719" s="14" t="s">
        <v>890</v>
      </c>
    </row>
    <row r="1720" spans="1:18" s="14" customFormat="1" x14ac:dyDescent="0.25">
      <c r="A1720" s="14" t="str">
        <f>"84072"</f>
        <v>84072</v>
      </c>
      <c r="B1720" s="14" t="str">
        <f>"07020"</f>
        <v>07020</v>
      </c>
      <c r="C1720" s="14" t="str">
        <f>"1700"</f>
        <v>1700</v>
      </c>
      <c r="D1720" s="14" t="str">
        <f>"84072"</f>
        <v>84072</v>
      </c>
      <c r="E1720" s="14" t="s">
        <v>1613</v>
      </c>
      <c r="F1720" s="14" t="s">
        <v>1532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1614</v>
      </c>
      <c r="L1720" s="14" t="s">
        <v>69</v>
      </c>
      <c r="M1720" s="14" t="s">
        <v>70</v>
      </c>
      <c r="N1720" s="14" t="s">
        <v>71</v>
      </c>
      <c r="P1720" s="14" t="s">
        <v>31</v>
      </c>
      <c r="Q1720" s="14" t="s">
        <v>31</v>
      </c>
      <c r="R1720" s="14" t="s">
        <v>72</v>
      </c>
    </row>
    <row r="1721" spans="1:18" s="14" customFormat="1" x14ac:dyDescent="0.25">
      <c r="A1721" s="14" t="str">
        <f>"84074"</f>
        <v>84074</v>
      </c>
      <c r="B1721" s="14" t="str">
        <f>"07020"</f>
        <v>07020</v>
      </c>
      <c r="C1721" s="14" t="str">
        <f>"1700"</f>
        <v>1700</v>
      </c>
      <c r="D1721" s="14" t="str">
        <f>"84074"</f>
        <v>84074</v>
      </c>
      <c r="E1721" s="14" t="s">
        <v>1615</v>
      </c>
      <c r="F1721" s="14" t="s">
        <v>1532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392</v>
      </c>
      <c r="L1721" s="14" t="s">
        <v>526</v>
      </c>
      <c r="P1721" s="14" t="s">
        <v>31</v>
      </c>
      <c r="Q1721" s="14" t="s">
        <v>31</v>
      </c>
      <c r="R1721" s="14" t="s">
        <v>392</v>
      </c>
    </row>
    <row r="1722" spans="1:18" s="14" customFormat="1" x14ac:dyDescent="0.25">
      <c r="A1722" s="14" t="str">
        <f>"84079"</f>
        <v>84079</v>
      </c>
      <c r="B1722" s="14" t="str">
        <f>"07020"</f>
        <v>07020</v>
      </c>
      <c r="C1722" s="14" t="str">
        <f>"1700"</f>
        <v>1700</v>
      </c>
      <c r="D1722" s="14" t="str">
        <f>"84079"</f>
        <v>84079</v>
      </c>
      <c r="E1722" s="14" t="s">
        <v>1616</v>
      </c>
      <c r="F1722" s="14" t="s">
        <v>1532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1540</v>
      </c>
      <c r="L1722" s="14" t="s">
        <v>1617</v>
      </c>
      <c r="M1722" s="14" t="s">
        <v>72</v>
      </c>
      <c r="P1722" s="14" t="s">
        <v>31</v>
      </c>
      <c r="Q1722" s="14" t="s">
        <v>31</v>
      </c>
      <c r="R1722" s="14" t="s">
        <v>1540</v>
      </c>
    </row>
    <row r="1723" spans="1:18" s="14" customFormat="1" x14ac:dyDescent="0.25">
      <c r="A1723" s="14" t="str">
        <f>"84080"</f>
        <v>84080</v>
      </c>
      <c r="B1723" s="14" t="str">
        <f>"07020"</f>
        <v>07020</v>
      </c>
      <c r="C1723" s="14" t="str">
        <f>"1700"</f>
        <v>1700</v>
      </c>
      <c r="D1723" s="14" t="str">
        <f>"84080"</f>
        <v>84080</v>
      </c>
      <c r="E1723" s="14" t="s">
        <v>1618</v>
      </c>
      <c r="F1723" s="14" t="s">
        <v>1532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1619</v>
      </c>
      <c r="L1723" s="14" t="s">
        <v>862</v>
      </c>
      <c r="M1723" s="14" t="s">
        <v>72</v>
      </c>
      <c r="P1723" s="14" t="s">
        <v>31</v>
      </c>
      <c r="Q1723" s="14" t="s">
        <v>31</v>
      </c>
      <c r="R1723" s="14" t="s">
        <v>1619</v>
      </c>
    </row>
    <row r="1724" spans="1:18" s="14" customFormat="1" x14ac:dyDescent="0.25">
      <c r="A1724" s="14" t="str">
        <f>"84081"</f>
        <v>84081</v>
      </c>
      <c r="B1724" s="14" t="str">
        <f>"07020"</f>
        <v>07020</v>
      </c>
      <c r="C1724" s="14" t="str">
        <f>"1700"</f>
        <v>1700</v>
      </c>
      <c r="D1724" s="14" t="str">
        <f>"84081"</f>
        <v>84081</v>
      </c>
      <c r="E1724" s="14" t="s">
        <v>1620</v>
      </c>
      <c r="F1724" s="14" t="s">
        <v>1532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401</v>
      </c>
      <c r="L1724" s="14" t="s">
        <v>392</v>
      </c>
      <c r="P1724" s="14" t="s">
        <v>31</v>
      </c>
      <c r="Q1724" s="14" t="s">
        <v>31</v>
      </c>
      <c r="R1724" s="14" t="s">
        <v>401</v>
      </c>
    </row>
    <row r="1725" spans="1:18" s="14" customFormat="1" x14ac:dyDescent="0.25">
      <c r="A1725" s="14" t="str">
        <f>"84084"</f>
        <v>84084</v>
      </c>
      <c r="B1725" s="14" t="str">
        <f>"07020"</f>
        <v>07020</v>
      </c>
      <c r="C1725" s="14" t="str">
        <f>"1700"</f>
        <v>1700</v>
      </c>
      <c r="D1725" s="14" t="str">
        <f>"84084"</f>
        <v>84084</v>
      </c>
      <c r="E1725" s="14" t="s">
        <v>1621</v>
      </c>
      <c r="F1725" s="14" t="s">
        <v>1532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381</v>
      </c>
      <c r="L1725" s="14" t="s">
        <v>382</v>
      </c>
      <c r="M1725" s="14" t="s">
        <v>1570</v>
      </c>
      <c r="P1725" s="14" t="s">
        <v>31</v>
      </c>
      <c r="Q1725" s="14" t="s">
        <v>31</v>
      </c>
      <c r="R1725" s="14" t="s">
        <v>383</v>
      </c>
    </row>
    <row r="1726" spans="1:18" s="14" customFormat="1" x14ac:dyDescent="0.25">
      <c r="A1726" s="14" t="str">
        <f>"84086"</f>
        <v>84086</v>
      </c>
      <c r="B1726" s="14" t="str">
        <f>"07020"</f>
        <v>07020</v>
      </c>
      <c r="C1726" s="14" t="str">
        <f>"1700"</f>
        <v>1700</v>
      </c>
      <c r="D1726" s="14" t="str">
        <f>"84086"</f>
        <v>84086</v>
      </c>
      <c r="E1726" s="14" t="s">
        <v>1622</v>
      </c>
      <c r="F1726" s="14" t="s">
        <v>1532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184</v>
      </c>
      <c r="L1726" s="14" t="s">
        <v>37</v>
      </c>
      <c r="P1726" s="14" t="s">
        <v>31</v>
      </c>
      <c r="Q1726" s="14" t="s">
        <v>31</v>
      </c>
      <c r="R1726" s="14" t="s">
        <v>115</v>
      </c>
    </row>
    <row r="1727" spans="1:18" s="14" customFormat="1" x14ac:dyDescent="0.25">
      <c r="A1727" s="14" t="str">
        <f>"84088"</f>
        <v>84088</v>
      </c>
      <c r="B1727" s="14" t="str">
        <f>"07020"</f>
        <v>07020</v>
      </c>
      <c r="C1727" s="14" t="str">
        <f>"1700"</f>
        <v>1700</v>
      </c>
      <c r="D1727" s="14" t="str">
        <f>"84088"</f>
        <v>84088</v>
      </c>
      <c r="E1727" s="14" t="s">
        <v>1623</v>
      </c>
      <c r="F1727" s="14" t="s">
        <v>1532</v>
      </c>
      <c r="G1727" s="14" t="str">
        <f>""</f>
        <v/>
      </c>
      <c r="H1727" s="14" t="str">
        <f>" 00"</f>
        <v xml:space="preserve"> 00</v>
      </c>
      <c r="I1727" s="14">
        <v>0.01</v>
      </c>
      <c r="J1727" s="14">
        <v>9999999.9900000002</v>
      </c>
      <c r="K1727" s="14" t="s">
        <v>60</v>
      </c>
      <c r="L1727" s="14" t="s">
        <v>53</v>
      </c>
      <c r="P1727" s="14" t="s">
        <v>31</v>
      </c>
      <c r="Q1727" s="14" t="s">
        <v>31</v>
      </c>
      <c r="R1727" s="14" t="s">
        <v>60</v>
      </c>
    </row>
    <row r="1728" spans="1:18" s="14" customFormat="1" x14ac:dyDescent="0.25">
      <c r="A1728" s="14" t="str">
        <f>"84090"</f>
        <v>84090</v>
      </c>
      <c r="B1728" s="14" t="str">
        <f>"07020"</f>
        <v>07020</v>
      </c>
      <c r="C1728" s="14" t="str">
        <f>"1700"</f>
        <v>1700</v>
      </c>
      <c r="D1728" s="14" t="str">
        <f>"84090"</f>
        <v>84090</v>
      </c>
      <c r="E1728" s="14" t="s">
        <v>1624</v>
      </c>
      <c r="F1728" s="14" t="s">
        <v>1532</v>
      </c>
      <c r="G1728" s="14" t="str">
        <f>""</f>
        <v/>
      </c>
      <c r="H1728" s="14" t="str">
        <f>" 00"</f>
        <v xml:space="preserve"> 00</v>
      </c>
      <c r="I1728" s="14">
        <v>0.01</v>
      </c>
      <c r="J1728" s="14">
        <v>9999999.9900000002</v>
      </c>
      <c r="K1728" s="14" t="s">
        <v>386</v>
      </c>
      <c r="L1728" s="14" t="s">
        <v>392</v>
      </c>
      <c r="M1728" s="14" t="s">
        <v>1625</v>
      </c>
      <c r="P1728" s="14" t="s">
        <v>31</v>
      </c>
      <c r="Q1728" s="14" t="s">
        <v>31</v>
      </c>
      <c r="R1728" s="14" t="s">
        <v>388</v>
      </c>
    </row>
    <row r="1729" spans="1:18" s="14" customFormat="1" x14ac:dyDescent="0.25">
      <c r="A1729" s="14" t="str">
        <f>"84091"</f>
        <v>84091</v>
      </c>
      <c r="B1729" s="14" t="str">
        <f>"07020"</f>
        <v>07020</v>
      </c>
      <c r="C1729" s="14" t="str">
        <f>"1700"</f>
        <v>1700</v>
      </c>
      <c r="D1729" s="14" t="str">
        <f>"84091"</f>
        <v>84091</v>
      </c>
      <c r="E1729" s="14" t="s">
        <v>1626</v>
      </c>
      <c r="F1729" s="14" t="s">
        <v>1532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188</v>
      </c>
      <c r="L1729" s="14" t="s">
        <v>1627</v>
      </c>
      <c r="M1729" s="14" t="s">
        <v>853</v>
      </c>
      <c r="N1729" s="14" t="s">
        <v>1628</v>
      </c>
      <c r="P1729" s="14" t="s">
        <v>31</v>
      </c>
      <c r="Q1729" s="14" t="s">
        <v>31</v>
      </c>
      <c r="R1729" s="14" t="s">
        <v>115</v>
      </c>
    </row>
    <row r="1730" spans="1:18" s="14" customFormat="1" x14ac:dyDescent="0.25">
      <c r="A1730" s="14" t="str">
        <f>"84092"</f>
        <v>84092</v>
      </c>
      <c r="B1730" s="14" t="str">
        <f>"07020"</f>
        <v>07020</v>
      </c>
      <c r="C1730" s="14" t="str">
        <f>"1700"</f>
        <v>1700</v>
      </c>
      <c r="D1730" s="14" t="str">
        <f>"84092"</f>
        <v>84092</v>
      </c>
      <c r="E1730" s="14" t="s">
        <v>1629</v>
      </c>
      <c r="F1730" s="14" t="s">
        <v>1532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601</v>
      </c>
      <c r="L1730" s="14" t="s">
        <v>1630</v>
      </c>
      <c r="P1730" s="14" t="s">
        <v>31</v>
      </c>
      <c r="Q1730" s="14" t="s">
        <v>31</v>
      </c>
      <c r="R1730" s="14" t="s">
        <v>601</v>
      </c>
    </row>
    <row r="1731" spans="1:18" s="14" customFormat="1" x14ac:dyDescent="0.25">
      <c r="A1731" s="14" t="str">
        <f>"84093"</f>
        <v>84093</v>
      </c>
      <c r="B1731" s="14" t="str">
        <f>"07020"</f>
        <v>07020</v>
      </c>
      <c r="C1731" s="14" t="str">
        <f>"1700"</f>
        <v>1700</v>
      </c>
      <c r="D1731" s="14" t="str">
        <f>"84093"</f>
        <v>84093</v>
      </c>
      <c r="E1731" s="14" t="s">
        <v>1631</v>
      </c>
      <c r="F1731" s="14" t="s">
        <v>1532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48</v>
      </c>
      <c r="L1731" s="14" t="s">
        <v>97</v>
      </c>
      <c r="M1731" s="14" t="s">
        <v>98</v>
      </c>
      <c r="P1731" s="14" t="s">
        <v>31</v>
      </c>
      <c r="Q1731" s="14" t="s">
        <v>31</v>
      </c>
      <c r="R1731" s="14" t="s">
        <v>49</v>
      </c>
    </row>
    <row r="1732" spans="1:18" s="14" customFormat="1" x14ac:dyDescent="0.25">
      <c r="A1732" s="14" t="str">
        <f>"84094"</f>
        <v>84094</v>
      </c>
      <c r="B1732" s="14" t="str">
        <f>"07020"</f>
        <v>07020</v>
      </c>
      <c r="C1732" s="14" t="str">
        <f>"1700"</f>
        <v>1700</v>
      </c>
      <c r="D1732" s="14" t="str">
        <f>"84094"</f>
        <v>84094</v>
      </c>
      <c r="E1732" s="14" t="s">
        <v>1632</v>
      </c>
      <c r="F1732" s="14" t="s">
        <v>1532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1633</v>
      </c>
      <c r="P1732" s="14" t="s">
        <v>31</v>
      </c>
      <c r="Q1732" s="14" t="s">
        <v>31</v>
      </c>
      <c r="R1732" s="14" t="s">
        <v>1633</v>
      </c>
    </row>
    <row r="1733" spans="1:18" s="14" customFormat="1" x14ac:dyDescent="0.25">
      <c r="A1733" s="14" t="str">
        <f>"84095"</f>
        <v>84095</v>
      </c>
      <c r="B1733" s="14" t="str">
        <f>"07020"</f>
        <v>07020</v>
      </c>
      <c r="C1733" s="14" t="str">
        <f>"1700"</f>
        <v>1700</v>
      </c>
      <c r="D1733" s="14" t="str">
        <f>"84095"</f>
        <v>84095</v>
      </c>
      <c r="E1733" s="14" t="s">
        <v>1634</v>
      </c>
      <c r="F1733" s="14" t="s">
        <v>1532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801</v>
      </c>
      <c r="L1733" s="14" t="s">
        <v>779</v>
      </c>
      <c r="M1733" s="14" t="s">
        <v>72</v>
      </c>
      <c r="P1733" s="14" t="s">
        <v>31</v>
      </c>
      <c r="Q1733" s="14" t="s">
        <v>31</v>
      </c>
      <c r="R1733" s="14" t="s">
        <v>801</v>
      </c>
    </row>
    <row r="1734" spans="1:18" s="14" customFormat="1" x14ac:dyDescent="0.25">
      <c r="A1734" s="14" t="str">
        <f>"84096"</f>
        <v>84096</v>
      </c>
      <c r="B1734" s="14" t="str">
        <f>"07020"</f>
        <v>07020</v>
      </c>
      <c r="C1734" s="14" t="str">
        <f>"1700"</f>
        <v>1700</v>
      </c>
      <c r="D1734" s="14" t="str">
        <f>"84096"</f>
        <v>84096</v>
      </c>
      <c r="E1734" s="14" t="s">
        <v>1635</v>
      </c>
      <c r="F1734" s="14" t="s">
        <v>1532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1562</v>
      </c>
      <c r="P1734" s="14" t="s">
        <v>31</v>
      </c>
      <c r="Q1734" s="14" t="s">
        <v>31</v>
      </c>
      <c r="R1734" s="14" t="s">
        <v>1636</v>
      </c>
    </row>
    <row r="1735" spans="1:18" s="14" customFormat="1" x14ac:dyDescent="0.25">
      <c r="A1735" s="14" t="str">
        <f>"84098"</f>
        <v>84098</v>
      </c>
      <c r="B1735" s="14" t="str">
        <f>"07020"</f>
        <v>07020</v>
      </c>
      <c r="C1735" s="14" t="str">
        <f>"1700"</f>
        <v>1700</v>
      </c>
      <c r="D1735" s="14" t="str">
        <f>"84098"</f>
        <v>84098</v>
      </c>
      <c r="E1735" s="14" t="s">
        <v>1637</v>
      </c>
      <c r="F1735" s="14" t="s">
        <v>1532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1638</v>
      </c>
      <c r="L1735" s="14" t="s">
        <v>1639</v>
      </c>
      <c r="P1735" s="14" t="s">
        <v>31</v>
      </c>
      <c r="Q1735" s="14" t="s">
        <v>31</v>
      </c>
      <c r="R1735" s="14" t="s">
        <v>111</v>
      </c>
    </row>
    <row r="1736" spans="1:18" s="14" customFormat="1" x14ac:dyDescent="0.25">
      <c r="A1736" s="14" t="str">
        <f>"84099"</f>
        <v>84099</v>
      </c>
      <c r="B1736" s="14" t="str">
        <f>"07020"</f>
        <v>07020</v>
      </c>
      <c r="C1736" s="14" t="str">
        <f>"1700"</f>
        <v>1700</v>
      </c>
      <c r="D1736" s="14" t="str">
        <f>"84099"</f>
        <v>84099</v>
      </c>
      <c r="E1736" s="14" t="s">
        <v>1640</v>
      </c>
      <c r="F1736" s="14" t="s">
        <v>1532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1641</v>
      </c>
      <c r="L1736" s="14" t="s">
        <v>392</v>
      </c>
      <c r="M1736" s="14" t="s">
        <v>72</v>
      </c>
      <c r="P1736" s="14" t="s">
        <v>31</v>
      </c>
      <c r="Q1736" s="14" t="s">
        <v>31</v>
      </c>
      <c r="R1736" s="14" t="s">
        <v>1641</v>
      </c>
    </row>
    <row r="1737" spans="1:18" s="14" customFormat="1" x14ac:dyDescent="0.25">
      <c r="A1737" s="14" t="str">
        <f>"84101"</f>
        <v>84101</v>
      </c>
      <c r="B1737" s="14" t="str">
        <f>"07020"</f>
        <v>07020</v>
      </c>
      <c r="C1737" s="14" t="str">
        <f>"1700"</f>
        <v>1700</v>
      </c>
      <c r="D1737" s="14" t="str">
        <f>"84101"</f>
        <v>84101</v>
      </c>
      <c r="E1737" s="14" t="s">
        <v>1642</v>
      </c>
      <c r="F1737" s="14" t="s">
        <v>1532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48</v>
      </c>
      <c r="L1737" s="14" t="s">
        <v>97</v>
      </c>
      <c r="M1737" s="14" t="s">
        <v>102</v>
      </c>
      <c r="P1737" s="14" t="s">
        <v>31</v>
      </c>
      <c r="Q1737" s="14" t="s">
        <v>31</v>
      </c>
      <c r="R1737" s="14" t="s">
        <v>49</v>
      </c>
    </row>
    <row r="1738" spans="1:18" s="14" customFormat="1" x14ac:dyDescent="0.25">
      <c r="A1738" s="14" t="str">
        <f>"84102"</f>
        <v>84102</v>
      </c>
      <c r="B1738" s="14" t="str">
        <f>"07020"</f>
        <v>07020</v>
      </c>
      <c r="C1738" s="14" t="str">
        <f>"1700"</f>
        <v>1700</v>
      </c>
      <c r="D1738" s="14" t="str">
        <f>"84102"</f>
        <v>84102</v>
      </c>
      <c r="E1738" s="14" t="s">
        <v>1643</v>
      </c>
      <c r="F1738" s="14" t="s">
        <v>1532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156</v>
      </c>
      <c r="P1738" s="14" t="s">
        <v>31</v>
      </c>
      <c r="Q1738" s="14" t="s">
        <v>31</v>
      </c>
      <c r="R1738" s="14" t="s">
        <v>156</v>
      </c>
    </row>
    <row r="1739" spans="1:18" s="14" customFormat="1" x14ac:dyDescent="0.25">
      <c r="A1739" s="14" t="str">
        <f>"84103"</f>
        <v>84103</v>
      </c>
      <c r="B1739" s="14" t="str">
        <f>"07020"</f>
        <v>07020</v>
      </c>
      <c r="C1739" s="14" t="str">
        <f>"1700"</f>
        <v>1700</v>
      </c>
      <c r="D1739" s="14" t="str">
        <f>"84103"</f>
        <v>84103</v>
      </c>
      <c r="E1739" s="14" t="s">
        <v>1644</v>
      </c>
      <c r="F1739" s="14" t="s">
        <v>1532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70</v>
      </c>
      <c r="L1739" s="14" t="s">
        <v>1645</v>
      </c>
      <c r="M1739" s="14" t="s">
        <v>72</v>
      </c>
      <c r="P1739" s="14" t="s">
        <v>31</v>
      </c>
      <c r="Q1739" s="14" t="s">
        <v>31</v>
      </c>
      <c r="R1739" s="14" t="s">
        <v>1645</v>
      </c>
    </row>
    <row r="1740" spans="1:18" s="14" customFormat="1" x14ac:dyDescent="0.25">
      <c r="A1740" s="14" t="str">
        <f>"84107"</f>
        <v>84107</v>
      </c>
      <c r="B1740" s="14" t="str">
        <f>"07020"</f>
        <v>07020</v>
      </c>
      <c r="C1740" s="14" t="str">
        <f>"1700"</f>
        <v>1700</v>
      </c>
      <c r="D1740" s="14" t="str">
        <f>"84107"</f>
        <v>84107</v>
      </c>
      <c r="E1740" s="14" t="s">
        <v>1646</v>
      </c>
      <c r="F1740" s="14" t="s">
        <v>1532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37</v>
      </c>
      <c r="L1740" s="14" t="s">
        <v>1619</v>
      </c>
      <c r="P1740" s="14" t="s">
        <v>31</v>
      </c>
      <c r="Q1740" s="14" t="s">
        <v>31</v>
      </c>
      <c r="R1740" s="14" t="s">
        <v>38</v>
      </c>
    </row>
    <row r="1741" spans="1:18" s="14" customFormat="1" x14ac:dyDescent="0.25">
      <c r="A1741" s="14" t="str">
        <f>"84108"</f>
        <v>84108</v>
      </c>
      <c r="B1741" s="14" t="str">
        <f>"07020"</f>
        <v>07020</v>
      </c>
      <c r="C1741" s="14" t="str">
        <f>"1700"</f>
        <v>1700</v>
      </c>
      <c r="D1741" s="14" t="str">
        <f>"84108"</f>
        <v>84108</v>
      </c>
      <c r="E1741" s="14" t="s">
        <v>1647</v>
      </c>
      <c r="F1741" s="14" t="s">
        <v>1532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601</v>
      </c>
      <c r="L1741" s="14" t="s">
        <v>72</v>
      </c>
      <c r="P1741" s="14" t="s">
        <v>31</v>
      </c>
      <c r="Q1741" s="14" t="s">
        <v>31</v>
      </c>
      <c r="R1741" s="14" t="s">
        <v>72</v>
      </c>
    </row>
    <row r="1742" spans="1:18" s="14" customFormat="1" x14ac:dyDescent="0.25">
      <c r="A1742" s="14" t="str">
        <f>"84110"</f>
        <v>84110</v>
      </c>
      <c r="B1742" s="14" t="str">
        <f>"07020"</f>
        <v>07020</v>
      </c>
      <c r="C1742" s="14" t="str">
        <f>"1700"</f>
        <v>1700</v>
      </c>
      <c r="D1742" s="14" t="str">
        <f>"84110"</f>
        <v>84110</v>
      </c>
      <c r="E1742" s="14" t="s">
        <v>1648</v>
      </c>
      <c r="F1742" s="14" t="s">
        <v>1532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1649</v>
      </c>
      <c r="L1742" s="14" t="s">
        <v>1650</v>
      </c>
      <c r="P1742" s="14" t="s">
        <v>31</v>
      </c>
      <c r="Q1742" s="14" t="s">
        <v>31</v>
      </c>
      <c r="R1742" s="14" t="s">
        <v>1649</v>
      </c>
    </row>
    <row r="1743" spans="1:18" s="14" customFormat="1" x14ac:dyDescent="0.25">
      <c r="A1743" s="14" t="str">
        <f>"84113"</f>
        <v>84113</v>
      </c>
      <c r="B1743" s="14" t="str">
        <f>"07020"</f>
        <v>07020</v>
      </c>
      <c r="C1743" s="14" t="str">
        <f>"1700"</f>
        <v>1700</v>
      </c>
      <c r="D1743" s="14" t="str">
        <f>"84113"</f>
        <v>84113</v>
      </c>
      <c r="E1743" s="14" t="s">
        <v>1651</v>
      </c>
      <c r="F1743" s="14" t="s">
        <v>1532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69</v>
      </c>
      <c r="L1743" s="14" t="s">
        <v>1652</v>
      </c>
      <c r="M1743" s="14" t="s">
        <v>70</v>
      </c>
      <c r="N1743" s="14" t="s">
        <v>71</v>
      </c>
      <c r="P1743" s="14" t="s">
        <v>31</v>
      </c>
      <c r="Q1743" s="14" t="s">
        <v>31</v>
      </c>
      <c r="R1743" s="14" t="s">
        <v>72</v>
      </c>
    </row>
    <row r="1744" spans="1:18" s="14" customFormat="1" x14ac:dyDescent="0.25">
      <c r="A1744" s="14" t="str">
        <f>"84114"</f>
        <v>84114</v>
      </c>
      <c r="B1744" s="14" t="str">
        <f>"07020"</f>
        <v>07020</v>
      </c>
      <c r="C1744" s="14" t="str">
        <f>"1700"</f>
        <v>1700</v>
      </c>
      <c r="D1744" s="14" t="str">
        <f>"84114"</f>
        <v>84114</v>
      </c>
      <c r="E1744" s="14" t="s">
        <v>1653</v>
      </c>
      <c r="F1744" s="14" t="s">
        <v>1532</v>
      </c>
      <c r="G1744" s="14" t="str">
        <f>""</f>
        <v/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392</v>
      </c>
      <c r="L1744" s="14" t="s">
        <v>526</v>
      </c>
      <c r="P1744" s="14" t="s">
        <v>31</v>
      </c>
      <c r="Q1744" s="14" t="s">
        <v>31</v>
      </c>
      <c r="R1744" s="14" t="s">
        <v>392</v>
      </c>
    </row>
    <row r="1745" spans="1:18" s="14" customFormat="1" x14ac:dyDescent="0.25">
      <c r="A1745" s="14" t="str">
        <f>"84117"</f>
        <v>84117</v>
      </c>
      <c r="B1745" s="14" t="str">
        <f>"07020"</f>
        <v>07020</v>
      </c>
      <c r="C1745" s="14" t="str">
        <f>"1700"</f>
        <v>1700</v>
      </c>
      <c r="D1745" s="14" t="str">
        <f>"84117"</f>
        <v>84117</v>
      </c>
      <c r="E1745" s="14" t="s">
        <v>1654</v>
      </c>
      <c r="F1745" s="14" t="s">
        <v>1532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162</v>
      </c>
      <c r="L1745" s="14" t="s">
        <v>164</v>
      </c>
      <c r="M1745" s="14" t="s">
        <v>147</v>
      </c>
      <c r="P1745" s="14" t="s">
        <v>31</v>
      </c>
      <c r="Q1745" s="14" t="s">
        <v>31</v>
      </c>
      <c r="R1745" s="14" t="s">
        <v>162</v>
      </c>
    </row>
    <row r="1746" spans="1:18" s="14" customFormat="1" x14ac:dyDescent="0.25">
      <c r="A1746" s="14" t="str">
        <f>"84118"</f>
        <v>84118</v>
      </c>
      <c r="B1746" s="14" t="str">
        <f>"07020"</f>
        <v>07020</v>
      </c>
      <c r="C1746" s="14" t="str">
        <f>"1700"</f>
        <v>1700</v>
      </c>
      <c r="D1746" s="14" t="str">
        <f>"84118"</f>
        <v>84118</v>
      </c>
      <c r="E1746" s="14" t="s">
        <v>1655</v>
      </c>
      <c r="F1746" s="14" t="s">
        <v>1532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388</v>
      </c>
      <c r="L1746" s="14" t="s">
        <v>387</v>
      </c>
      <c r="M1746" s="14" t="s">
        <v>1656</v>
      </c>
      <c r="N1746" s="14" t="s">
        <v>386</v>
      </c>
      <c r="P1746" s="14" t="s">
        <v>31</v>
      </c>
      <c r="Q1746" s="14" t="s">
        <v>31</v>
      </c>
      <c r="R1746" s="14" t="s">
        <v>388</v>
      </c>
    </row>
    <row r="1747" spans="1:18" s="14" customFormat="1" x14ac:dyDescent="0.25">
      <c r="A1747" s="14" t="str">
        <f>"84119"</f>
        <v>84119</v>
      </c>
      <c r="B1747" s="14" t="str">
        <f>"07020"</f>
        <v>07020</v>
      </c>
      <c r="C1747" s="14" t="str">
        <f>"1700"</f>
        <v>1700</v>
      </c>
      <c r="D1747" s="14" t="str">
        <f>"84119"</f>
        <v>84119</v>
      </c>
      <c r="E1747" s="14" t="s">
        <v>1657</v>
      </c>
      <c r="F1747" s="14" t="s">
        <v>1532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762</v>
      </c>
      <c r="P1747" s="14" t="s">
        <v>31</v>
      </c>
      <c r="Q1747" s="14" t="s">
        <v>31</v>
      </c>
      <c r="R1747" s="14" t="s">
        <v>762</v>
      </c>
    </row>
    <row r="1748" spans="1:18" s="14" customFormat="1" x14ac:dyDescent="0.25">
      <c r="A1748" s="14" t="str">
        <f>"84122"</f>
        <v>84122</v>
      </c>
      <c r="B1748" s="14" t="str">
        <f>"07020"</f>
        <v>07020</v>
      </c>
      <c r="C1748" s="14" t="str">
        <f>"1700"</f>
        <v>1700</v>
      </c>
      <c r="D1748" s="14" t="str">
        <f>"84122"</f>
        <v>84122</v>
      </c>
      <c r="E1748" s="14" t="s">
        <v>1658</v>
      </c>
      <c r="F1748" s="14" t="s">
        <v>1532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1540</v>
      </c>
      <c r="L1748" s="14" t="s">
        <v>70</v>
      </c>
      <c r="M1748" s="14" t="s">
        <v>72</v>
      </c>
      <c r="P1748" s="14" t="s">
        <v>31</v>
      </c>
      <c r="Q1748" s="14" t="s">
        <v>31</v>
      </c>
      <c r="R1748" s="14" t="s">
        <v>1540</v>
      </c>
    </row>
    <row r="1749" spans="1:18" s="14" customFormat="1" x14ac:dyDescent="0.25">
      <c r="A1749" s="14" t="str">
        <f>"84124"</f>
        <v>84124</v>
      </c>
      <c r="B1749" s="14" t="str">
        <f>"07020"</f>
        <v>07020</v>
      </c>
      <c r="C1749" s="14" t="str">
        <f>"1700"</f>
        <v>1700</v>
      </c>
      <c r="D1749" s="14" t="str">
        <f>"84124"</f>
        <v>84124</v>
      </c>
      <c r="E1749" s="14" t="s">
        <v>159</v>
      </c>
      <c r="F1749" s="14" t="s">
        <v>1532</v>
      </c>
      <c r="G1749" s="14" t="str">
        <f>""</f>
        <v/>
      </c>
      <c r="H1749" s="14" t="str">
        <f>" 10"</f>
        <v xml:space="preserve"> 10</v>
      </c>
      <c r="I1749" s="14">
        <v>0.01</v>
      </c>
      <c r="J1749" s="14">
        <v>500</v>
      </c>
      <c r="K1749" s="14" t="s">
        <v>1659</v>
      </c>
      <c r="L1749" s="14" t="s">
        <v>147</v>
      </c>
      <c r="P1749" s="14" t="s">
        <v>31</v>
      </c>
      <c r="Q1749" s="14" t="s">
        <v>31</v>
      </c>
      <c r="R1749" s="14" t="s">
        <v>1659</v>
      </c>
    </row>
    <row r="1750" spans="1:18" s="14" customFormat="1" x14ac:dyDescent="0.25">
      <c r="A1750" s="14" t="str">
        <f>"84124"</f>
        <v>84124</v>
      </c>
      <c r="B1750" s="14" t="str">
        <f>"07020"</f>
        <v>07020</v>
      </c>
      <c r="C1750" s="14" t="str">
        <f>"1700"</f>
        <v>1700</v>
      </c>
      <c r="D1750" s="14" t="str">
        <f>"84124"</f>
        <v>84124</v>
      </c>
      <c r="E1750" s="14" t="s">
        <v>159</v>
      </c>
      <c r="F1750" s="14" t="s">
        <v>1532</v>
      </c>
      <c r="G1750" s="14" t="str">
        <f>""</f>
        <v/>
      </c>
      <c r="H1750" s="14" t="str">
        <f>" 20"</f>
        <v xml:space="preserve"> 20</v>
      </c>
      <c r="I1750" s="14">
        <v>500.01</v>
      </c>
      <c r="J1750" s="14">
        <v>9999999.9900000002</v>
      </c>
      <c r="K1750" s="14" t="s">
        <v>160</v>
      </c>
      <c r="L1750" s="14" t="s">
        <v>147</v>
      </c>
      <c r="P1750" s="14" t="s">
        <v>31</v>
      </c>
      <c r="Q1750" s="14" t="s">
        <v>31</v>
      </c>
      <c r="R1750" s="14" t="s">
        <v>146</v>
      </c>
    </row>
    <row r="1751" spans="1:18" s="14" customFormat="1" x14ac:dyDescent="0.25">
      <c r="A1751" s="14" t="str">
        <f>"84131"</f>
        <v>84131</v>
      </c>
      <c r="B1751" s="14" t="str">
        <f>"07020"</f>
        <v>07020</v>
      </c>
      <c r="C1751" s="14" t="str">
        <f>"1700"</f>
        <v>1700</v>
      </c>
      <c r="D1751" s="14" t="str">
        <f>"84131"</f>
        <v>84131</v>
      </c>
      <c r="E1751" s="14" t="s">
        <v>1660</v>
      </c>
      <c r="F1751" s="14" t="s">
        <v>1532</v>
      </c>
      <c r="G1751" s="14" t="str">
        <f>""</f>
        <v/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1661</v>
      </c>
      <c r="L1751" s="14" t="s">
        <v>181</v>
      </c>
      <c r="M1751" s="14" t="s">
        <v>37</v>
      </c>
      <c r="P1751" s="14" t="s">
        <v>31</v>
      </c>
      <c r="Q1751" s="14" t="s">
        <v>31</v>
      </c>
      <c r="R1751" s="14" t="s">
        <v>1661</v>
      </c>
    </row>
    <row r="1752" spans="1:18" s="14" customFormat="1" x14ac:dyDescent="0.25">
      <c r="A1752" s="14" t="str">
        <f>"84134"</f>
        <v>84134</v>
      </c>
      <c r="B1752" s="14" t="str">
        <f>"07020"</f>
        <v>07020</v>
      </c>
      <c r="C1752" s="14" t="str">
        <f>"1700"</f>
        <v>1700</v>
      </c>
      <c r="D1752" s="14" t="str">
        <f>"84134"</f>
        <v>84134</v>
      </c>
      <c r="E1752" s="14" t="s">
        <v>1662</v>
      </c>
      <c r="F1752" s="14" t="s">
        <v>1532</v>
      </c>
      <c r="G1752" s="14" t="str">
        <f>""</f>
        <v/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1663</v>
      </c>
      <c r="L1752" s="14" t="s">
        <v>392</v>
      </c>
      <c r="P1752" s="14" t="s">
        <v>31</v>
      </c>
      <c r="Q1752" s="14" t="s">
        <v>31</v>
      </c>
      <c r="R1752" s="14" t="s">
        <v>1663</v>
      </c>
    </row>
    <row r="1753" spans="1:18" s="14" customFormat="1" x14ac:dyDescent="0.25">
      <c r="A1753" s="14" t="str">
        <f>"84136"</f>
        <v>84136</v>
      </c>
      <c r="B1753" s="14" t="str">
        <f>"07020"</f>
        <v>07020</v>
      </c>
      <c r="C1753" s="14" t="str">
        <f>"1700"</f>
        <v>1700</v>
      </c>
      <c r="D1753" s="14" t="str">
        <f>"84136"</f>
        <v>84136</v>
      </c>
      <c r="E1753" s="14" t="s">
        <v>1664</v>
      </c>
      <c r="F1753" s="14" t="s">
        <v>1532</v>
      </c>
      <c r="G1753" s="14" t="str">
        <f>""</f>
        <v/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1665</v>
      </c>
      <c r="L1753" s="14" t="s">
        <v>401</v>
      </c>
      <c r="P1753" s="14" t="s">
        <v>31</v>
      </c>
      <c r="Q1753" s="14" t="s">
        <v>31</v>
      </c>
      <c r="R1753" s="14" t="s">
        <v>1665</v>
      </c>
    </row>
    <row r="1754" spans="1:18" s="14" customFormat="1" x14ac:dyDescent="0.25">
      <c r="A1754" s="14" t="str">
        <f>"84139"</f>
        <v>84139</v>
      </c>
      <c r="B1754" s="14" t="str">
        <f>"07020"</f>
        <v>07020</v>
      </c>
      <c r="C1754" s="14" t="str">
        <f>"1700"</f>
        <v>1700</v>
      </c>
      <c r="D1754" s="14" t="str">
        <f>"84139"</f>
        <v>84139</v>
      </c>
      <c r="E1754" s="14" t="s">
        <v>1666</v>
      </c>
      <c r="F1754" s="14" t="s">
        <v>1532</v>
      </c>
      <c r="G1754" s="14" t="str">
        <f>""</f>
        <v/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1667</v>
      </c>
      <c r="L1754" s="14" t="s">
        <v>72</v>
      </c>
      <c r="P1754" s="14" t="s">
        <v>31</v>
      </c>
      <c r="Q1754" s="14" t="s">
        <v>31</v>
      </c>
      <c r="R1754" s="14" t="s">
        <v>1667</v>
      </c>
    </row>
    <row r="1755" spans="1:18" s="14" customFormat="1" x14ac:dyDescent="0.25">
      <c r="A1755" s="14" t="str">
        <f>"84141"</f>
        <v>84141</v>
      </c>
      <c r="B1755" s="14" t="str">
        <f>"07020"</f>
        <v>07020</v>
      </c>
      <c r="C1755" s="14" t="str">
        <f>"1700"</f>
        <v>1700</v>
      </c>
      <c r="D1755" s="14" t="str">
        <f>"84141"</f>
        <v>84141</v>
      </c>
      <c r="E1755" s="14" t="s">
        <v>1668</v>
      </c>
      <c r="F1755" s="14" t="s">
        <v>1532</v>
      </c>
      <c r="G1755" s="14" t="str">
        <f>""</f>
        <v/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60</v>
      </c>
      <c r="L1755" s="14" t="s">
        <v>53</v>
      </c>
      <c r="M1755" s="14" t="s">
        <v>54</v>
      </c>
      <c r="P1755" s="14" t="s">
        <v>31</v>
      </c>
      <c r="Q1755" s="14" t="s">
        <v>31</v>
      </c>
      <c r="R1755" s="14" t="s">
        <v>60</v>
      </c>
    </row>
    <row r="1756" spans="1:18" s="14" customFormat="1" x14ac:dyDescent="0.25">
      <c r="A1756" s="14" t="str">
        <f>"84142"</f>
        <v>84142</v>
      </c>
      <c r="B1756" s="14" t="str">
        <f>"07020"</f>
        <v>07020</v>
      </c>
      <c r="C1756" s="14" t="str">
        <f>"1700"</f>
        <v>1700</v>
      </c>
      <c r="D1756" s="14" t="str">
        <f>"84142"</f>
        <v>84142</v>
      </c>
      <c r="E1756" s="14" t="s">
        <v>1669</v>
      </c>
      <c r="F1756" s="14" t="s">
        <v>1532</v>
      </c>
      <c r="G1756" s="14" t="str">
        <f>""</f>
        <v/>
      </c>
      <c r="H1756" s="14" t="str">
        <f>" 00"</f>
        <v xml:space="preserve"> 00</v>
      </c>
      <c r="I1756" s="14">
        <v>0.01</v>
      </c>
      <c r="J1756" s="14">
        <v>9999999.9900000002</v>
      </c>
      <c r="K1756" s="14" t="s">
        <v>392</v>
      </c>
      <c r="L1756" s="14" t="s">
        <v>526</v>
      </c>
      <c r="P1756" s="14" t="s">
        <v>31</v>
      </c>
      <c r="Q1756" s="14" t="s">
        <v>31</v>
      </c>
      <c r="R1756" s="14" t="s">
        <v>392</v>
      </c>
    </row>
    <row r="1757" spans="1:18" s="14" customFormat="1" x14ac:dyDescent="0.25">
      <c r="A1757" s="14" t="str">
        <f>"84145"</f>
        <v>84145</v>
      </c>
      <c r="B1757" s="14" t="str">
        <f>"07020"</f>
        <v>07020</v>
      </c>
      <c r="C1757" s="14" t="str">
        <f>"1700"</f>
        <v>1700</v>
      </c>
      <c r="D1757" s="14" t="str">
        <f>"84145"</f>
        <v>84145</v>
      </c>
      <c r="E1757" s="14" t="s">
        <v>1670</v>
      </c>
      <c r="F1757" s="14" t="s">
        <v>1532</v>
      </c>
      <c r="G1757" s="14" t="str">
        <f>""</f>
        <v/>
      </c>
      <c r="H1757" s="14" t="str">
        <f>" 00"</f>
        <v xml:space="preserve"> 00</v>
      </c>
      <c r="I1757" s="14">
        <v>0.01</v>
      </c>
      <c r="J1757" s="14">
        <v>9999999.9900000002</v>
      </c>
      <c r="K1757" s="14" t="s">
        <v>1649</v>
      </c>
      <c r="L1757" s="14" t="s">
        <v>1650</v>
      </c>
      <c r="P1757" s="14" t="s">
        <v>31</v>
      </c>
      <c r="Q1757" s="14" t="s">
        <v>31</v>
      </c>
      <c r="R1757" s="14" t="s">
        <v>1649</v>
      </c>
    </row>
    <row r="1758" spans="1:18" s="14" customFormat="1" x14ac:dyDescent="0.25">
      <c r="A1758" s="14" t="str">
        <f>"84146"</f>
        <v>84146</v>
      </c>
      <c r="B1758" s="14" t="str">
        <f>"07020"</f>
        <v>07020</v>
      </c>
      <c r="C1758" s="14" t="str">
        <f>"1700"</f>
        <v>1700</v>
      </c>
      <c r="D1758" s="14" t="str">
        <f>"84146"</f>
        <v>84146</v>
      </c>
      <c r="E1758" s="14" t="s">
        <v>1671</v>
      </c>
      <c r="F1758" s="14" t="s">
        <v>1532</v>
      </c>
      <c r="G1758" s="14" t="str">
        <f>""</f>
        <v/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1636</v>
      </c>
      <c r="L1758" s="14" t="s">
        <v>390</v>
      </c>
      <c r="P1758" s="14" t="s">
        <v>31</v>
      </c>
      <c r="Q1758" s="14" t="s">
        <v>31</v>
      </c>
      <c r="R1758" s="14" t="s">
        <v>1636</v>
      </c>
    </row>
    <row r="1759" spans="1:18" s="14" customFormat="1" x14ac:dyDescent="0.25">
      <c r="A1759" s="14" t="str">
        <f>"84148"</f>
        <v>84148</v>
      </c>
      <c r="B1759" s="14" t="str">
        <f>"07020"</f>
        <v>07020</v>
      </c>
      <c r="C1759" s="14" t="str">
        <f>"1700"</f>
        <v>1700</v>
      </c>
      <c r="D1759" s="14" t="str">
        <f>"84148"</f>
        <v>84148</v>
      </c>
      <c r="E1759" s="14" t="s">
        <v>1672</v>
      </c>
      <c r="F1759" s="14" t="s">
        <v>1532</v>
      </c>
      <c r="G1759" s="14" t="str">
        <f>""</f>
        <v/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1619</v>
      </c>
      <c r="L1759" s="14" t="s">
        <v>862</v>
      </c>
      <c r="M1759" s="14" t="s">
        <v>72</v>
      </c>
      <c r="P1759" s="14" t="s">
        <v>31</v>
      </c>
      <c r="Q1759" s="14" t="s">
        <v>31</v>
      </c>
      <c r="R1759" s="14" t="s">
        <v>1619</v>
      </c>
    </row>
    <row r="1760" spans="1:18" s="14" customFormat="1" x14ac:dyDescent="0.25">
      <c r="A1760" s="14" t="str">
        <f>"84151"</f>
        <v>84151</v>
      </c>
      <c r="B1760" s="14" t="str">
        <f>"07020"</f>
        <v>07020</v>
      </c>
      <c r="C1760" s="14" t="str">
        <f>"1700"</f>
        <v>1700</v>
      </c>
      <c r="D1760" s="14" t="str">
        <f>"84151"</f>
        <v>84151</v>
      </c>
      <c r="E1760" s="14" t="s">
        <v>1673</v>
      </c>
      <c r="F1760" s="14" t="s">
        <v>1532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71</v>
      </c>
      <c r="L1760" s="14" t="s">
        <v>141</v>
      </c>
      <c r="M1760" s="14" t="s">
        <v>72</v>
      </c>
      <c r="P1760" s="14" t="s">
        <v>31</v>
      </c>
      <c r="Q1760" s="14" t="s">
        <v>31</v>
      </c>
      <c r="R1760" s="14" t="s">
        <v>71</v>
      </c>
    </row>
    <row r="1761" spans="1:18" s="14" customFormat="1" x14ac:dyDescent="0.25">
      <c r="A1761" s="14" t="str">
        <f>"84156"</f>
        <v>84156</v>
      </c>
      <c r="B1761" s="14" t="str">
        <f>"07020"</f>
        <v>07020</v>
      </c>
      <c r="C1761" s="14" t="str">
        <f>"1700"</f>
        <v>1700</v>
      </c>
      <c r="D1761" s="14" t="str">
        <f>"84156"</f>
        <v>84156</v>
      </c>
      <c r="E1761" s="14" t="s">
        <v>1674</v>
      </c>
      <c r="F1761" s="14" t="s">
        <v>1532</v>
      </c>
      <c r="G1761" s="14" t="str">
        <f>""</f>
        <v/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661</v>
      </c>
      <c r="L1761" s="14" t="s">
        <v>147</v>
      </c>
      <c r="P1761" s="14" t="s">
        <v>31</v>
      </c>
      <c r="Q1761" s="14" t="s">
        <v>31</v>
      </c>
      <c r="R1761" s="14" t="s">
        <v>661</v>
      </c>
    </row>
    <row r="1762" spans="1:18" s="14" customFormat="1" x14ac:dyDescent="0.25">
      <c r="A1762" s="14" t="str">
        <f>"84157"</f>
        <v>84157</v>
      </c>
      <c r="B1762" s="14" t="str">
        <f>"07020"</f>
        <v>07020</v>
      </c>
      <c r="C1762" s="14" t="str">
        <f>"1700"</f>
        <v>1700</v>
      </c>
      <c r="D1762" s="14" t="str">
        <f>"84157"</f>
        <v>84157</v>
      </c>
      <c r="E1762" s="14" t="s">
        <v>1675</v>
      </c>
      <c r="F1762" s="14" t="s">
        <v>1532</v>
      </c>
      <c r="G1762" s="14" t="str">
        <f>""</f>
        <v/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392</v>
      </c>
      <c r="L1762" s="14" t="s">
        <v>526</v>
      </c>
      <c r="P1762" s="14" t="s">
        <v>31</v>
      </c>
      <c r="Q1762" s="14" t="s">
        <v>31</v>
      </c>
      <c r="R1762" s="14" t="s">
        <v>392</v>
      </c>
    </row>
    <row r="1763" spans="1:18" s="14" customFormat="1" x14ac:dyDescent="0.25">
      <c r="A1763" s="14" t="str">
        <f>"84158"</f>
        <v>84158</v>
      </c>
      <c r="B1763" s="14" t="str">
        <f>"07020"</f>
        <v>07020</v>
      </c>
      <c r="C1763" s="14" t="str">
        <f>"1700"</f>
        <v>1700</v>
      </c>
      <c r="D1763" s="14" t="str">
        <f>"84158"</f>
        <v>84158</v>
      </c>
      <c r="E1763" s="14" t="s">
        <v>1676</v>
      </c>
      <c r="F1763" s="14" t="s">
        <v>1532</v>
      </c>
      <c r="G1763" s="14" t="str">
        <f>""</f>
        <v/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1597</v>
      </c>
      <c r="L1763" s="14" t="s">
        <v>1677</v>
      </c>
      <c r="M1763" s="14" t="s">
        <v>72</v>
      </c>
      <c r="P1763" s="14" t="s">
        <v>31</v>
      </c>
      <c r="Q1763" s="14" t="s">
        <v>31</v>
      </c>
      <c r="R1763" s="14" t="s">
        <v>1597</v>
      </c>
    </row>
    <row r="1764" spans="1:18" s="14" customFormat="1" x14ac:dyDescent="0.25">
      <c r="A1764" s="14" t="str">
        <f>"84160"</f>
        <v>84160</v>
      </c>
      <c r="B1764" s="14" t="str">
        <f>"07020"</f>
        <v>07020</v>
      </c>
      <c r="C1764" s="14" t="str">
        <f>"1700"</f>
        <v>1700</v>
      </c>
      <c r="D1764" s="14" t="str">
        <f>"84160"</f>
        <v>84160</v>
      </c>
      <c r="E1764" s="14" t="s">
        <v>1678</v>
      </c>
      <c r="F1764" s="14" t="s">
        <v>1532</v>
      </c>
      <c r="G1764" s="14" t="str">
        <f>""</f>
        <v/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1679</v>
      </c>
      <c r="L1764" s="14" t="s">
        <v>146</v>
      </c>
      <c r="M1764" s="14" t="s">
        <v>1680</v>
      </c>
      <c r="P1764" s="14" t="s">
        <v>31</v>
      </c>
      <c r="Q1764" s="14" t="s">
        <v>31</v>
      </c>
      <c r="R1764" s="14" t="s">
        <v>1679</v>
      </c>
    </row>
    <row r="1765" spans="1:18" s="14" customFormat="1" x14ac:dyDescent="0.25">
      <c r="A1765" s="14" t="str">
        <f>"84162"</f>
        <v>84162</v>
      </c>
      <c r="B1765" s="14" t="str">
        <f>"07020"</f>
        <v>07020</v>
      </c>
      <c r="C1765" s="14" t="str">
        <f>"1700"</f>
        <v>1700</v>
      </c>
      <c r="D1765" s="14" t="str">
        <f>"84162"</f>
        <v>84162</v>
      </c>
      <c r="E1765" s="14" t="s">
        <v>1681</v>
      </c>
      <c r="F1765" s="14" t="s">
        <v>1532</v>
      </c>
      <c r="G1765" s="14" t="str">
        <f>""</f>
        <v/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1679</v>
      </c>
      <c r="L1765" s="14" t="s">
        <v>146</v>
      </c>
      <c r="P1765" s="14" t="s">
        <v>31</v>
      </c>
      <c r="Q1765" s="14" t="s">
        <v>31</v>
      </c>
      <c r="R1765" s="14" t="s">
        <v>1679</v>
      </c>
    </row>
    <row r="1766" spans="1:18" s="14" customFormat="1" x14ac:dyDescent="0.25">
      <c r="A1766" s="14" t="str">
        <f>"84164"</f>
        <v>84164</v>
      </c>
      <c r="B1766" s="14" t="str">
        <f>"07020"</f>
        <v>07020</v>
      </c>
      <c r="C1766" s="14" t="str">
        <f>"1700"</f>
        <v>1700</v>
      </c>
      <c r="D1766" s="14" t="str">
        <f>"84164"</f>
        <v>84164</v>
      </c>
      <c r="E1766" s="14" t="s">
        <v>1682</v>
      </c>
      <c r="F1766" s="14" t="s">
        <v>1532</v>
      </c>
      <c r="G1766" s="14" t="str">
        <f>""</f>
        <v/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386</v>
      </c>
      <c r="L1766" s="14" t="s">
        <v>1534</v>
      </c>
      <c r="M1766" s="14" t="s">
        <v>387</v>
      </c>
      <c r="P1766" s="14" t="s">
        <v>31</v>
      </c>
      <c r="Q1766" s="14" t="s">
        <v>31</v>
      </c>
      <c r="R1766" s="14" t="s">
        <v>388</v>
      </c>
    </row>
    <row r="1767" spans="1:18" s="14" customFormat="1" x14ac:dyDescent="0.25">
      <c r="A1767" s="14" t="str">
        <f>"84166"</f>
        <v>84166</v>
      </c>
      <c r="B1767" s="14" t="str">
        <f>"07020"</f>
        <v>07020</v>
      </c>
      <c r="C1767" s="14" t="str">
        <f>"1700"</f>
        <v>1700</v>
      </c>
      <c r="D1767" s="14" t="str">
        <f>"84166"</f>
        <v>84166</v>
      </c>
      <c r="E1767" s="14" t="s">
        <v>1683</v>
      </c>
      <c r="F1767" s="14" t="s">
        <v>1532</v>
      </c>
      <c r="G1767" s="14" t="str">
        <f>""</f>
        <v/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381</v>
      </c>
      <c r="L1767" s="14" t="s">
        <v>382</v>
      </c>
      <c r="M1767" s="14" t="s">
        <v>1570</v>
      </c>
      <c r="P1767" s="14" t="s">
        <v>31</v>
      </c>
      <c r="Q1767" s="14" t="s">
        <v>31</v>
      </c>
      <c r="R1767" s="14" t="s">
        <v>383</v>
      </c>
    </row>
    <row r="1768" spans="1:18" s="14" customFormat="1" x14ac:dyDescent="0.25">
      <c r="A1768" s="14" t="str">
        <f>"84169"</f>
        <v>84169</v>
      </c>
      <c r="B1768" s="14" t="str">
        <f>"07020"</f>
        <v>07020</v>
      </c>
      <c r="C1768" s="14" t="str">
        <f>"1700"</f>
        <v>1700</v>
      </c>
      <c r="D1768" s="14" t="str">
        <f>"84169"</f>
        <v>84169</v>
      </c>
      <c r="E1768" s="14" t="s">
        <v>1684</v>
      </c>
      <c r="F1768" s="14" t="s">
        <v>1532</v>
      </c>
      <c r="G1768" s="14" t="str">
        <f>""</f>
        <v/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146</v>
      </c>
      <c r="P1768" s="14" t="s">
        <v>31</v>
      </c>
      <c r="Q1768" s="14" t="s">
        <v>31</v>
      </c>
      <c r="R1768" s="14" t="s">
        <v>146</v>
      </c>
    </row>
    <row r="1769" spans="1:18" s="14" customFormat="1" x14ac:dyDescent="0.25">
      <c r="A1769" s="14" t="str">
        <f>"84173"</f>
        <v>84173</v>
      </c>
      <c r="B1769" s="14" t="str">
        <f>"07020"</f>
        <v>07020</v>
      </c>
      <c r="C1769" s="14" t="str">
        <f>"1700"</f>
        <v>1700</v>
      </c>
      <c r="D1769" s="14" t="str">
        <f>"84173"</f>
        <v>84173</v>
      </c>
      <c r="E1769" s="14" t="s">
        <v>1685</v>
      </c>
      <c r="F1769" s="14" t="s">
        <v>1532</v>
      </c>
      <c r="G1769" s="14" t="str">
        <f>""</f>
        <v/>
      </c>
      <c r="H1769" s="14" t="str">
        <f>" 00"</f>
        <v xml:space="preserve"> 00</v>
      </c>
      <c r="I1769" s="14">
        <v>0.01</v>
      </c>
      <c r="J1769" s="14">
        <v>9999999.9900000002</v>
      </c>
      <c r="K1769" s="14" t="s">
        <v>1570</v>
      </c>
      <c r="L1769" s="14" t="s">
        <v>1686</v>
      </c>
      <c r="M1769" s="14" t="s">
        <v>1544</v>
      </c>
      <c r="P1769" s="14" t="s">
        <v>31</v>
      </c>
      <c r="Q1769" s="14" t="s">
        <v>31</v>
      </c>
      <c r="R1769" s="14" t="s">
        <v>1570</v>
      </c>
    </row>
    <row r="1770" spans="1:18" s="14" customFormat="1" x14ac:dyDescent="0.25">
      <c r="A1770" s="14" t="str">
        <f>"84176"</f>
        <v>84176</v>
      </c>
      <c r="B1770" s="14" t="str">
        <f>"07020"</f>
        <v>07020</v>
      </c>
      <c r="C1770" s="14" t="str">
        <f>"1700"</f>
        <v>1700</v>
      </c>
      <c r="D1770" s="14" t="str">
        <f>"84176"</f>
        <v>84176</v>
      </c>
      <c r="E1770" s="14" t="s">
        <v>1687</v>
      </c>
      <c r="F1770" s="14" t="s">
        <v>1532</v>
      </c>
      <c r="G1770" s="14" t="str">
        <f>""</f>
        <v/>
      </c>
      <c r="H1770" s="14" t="str">
        <f>" 00"</f>
        <v xml:space="preserve"> 00</v>
      </c>
      <c r="I1770" s="14">
        <v>0.01</v>
      </c>
      <c r="J1770" s="14">
        <v>9999999.9900000002</v>
      </c>
      <c r="K1770" s="14" t="s">
        <v>418</v>
      </c>
      <c r="P1770" s="14" t="s">
        <v>31</v>
      </c>
      <c r="Q1770" s="14" t="s">
        <v>31</v>
      </c>
      <c r="R1770" s="14" t="s">
        <v>414</v>
      </c>
    </row>
    <row r="1771" spans="1:18" s="14" customFormat="1" x14ac:dyDescent="0.25">
      <c r="A1771" s="14" t="str">
        <f>"84178"</f>
        <v>84178</v>
      </c>
      <c r="B1771" s="14" t="str">
        <f>"07020"</f>
        <v>07020</v>
      </c>
      <c r="C1771" s="14" t="str">
        <f>"1700"</f>
        <v>1700</v>
      </c>
      <c r="D1771" s="14" t="str">
        <f>"84178"</f>
        <v>84178</v>
      </c>
      <c r="E1771" s="14" t="s">
        <v>1688</v>
      </c>
      <c r="F1771" s="14" t="s">
        <v>1532</v>
      </c>
      <c r="G1771" s="14" t="str">
        <f>""</f>
        <v/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1689</v>
      </c>
      <c r="L1771" s="14" t="s">
        <v>146</v>
      </c>
      <c r="P1771" s="14" t="s">
        <v>31</v>
      </c>
      <c r="Q1771" s="14" t="s">
        <v>31</v>
      </c>
      <c r="R1771" s="14" t="s">
        <v>1689</v>
      </c>
    </row>
    <row r="1772" spans="1:18" s="14" customFormat="1" x14ac:dyDescent="0.25">
      <c r="A1772" s="14" t="str">
        <f>"84179"</f>
        <v>84179</v>
      </c>
      <c r="B1772" s="14" t="str">
        <f>"07020"</f>
        <v>07020</v>
      </c>
      <c r="C1772" s="14" t="str">
        <f>"1700"</f>
        <v>1700</v>
      </c>
      <c r="D1772" s="14" t="str">
        <f>"84179"</f>
        <v>84179</v>
      </c>
      <c r="E1772" s="14" t="s">
        <v>1690</v>
      </c>
      <c r="F1772" s="14" t="s">
        <v>1532</v>
      </c>
      <c r="G1772" s="14" t="str">
        <f>""</f>
        <v/>
      </c>
      <c r="H1772" s="14" t="str">
        <f>" 10"</f>
        <v xml:space="preserve"> 10</v>
      </c>
      <c r="I1772" s="14">
        <v>0.01</v>
      </c>
      <c r="J1772" s="14">
        <v>500</v>
      </c>
      <c r="K1772" s="14" t="s">
        <v>147</v>
      </c>
      <c r="L1772" s="14" t="s">
        <v>146</v>
      </c>
      <c r="P1772" s="14" t="s">
        <v>31</v>
      </c>
      <c r="Q1772" s="14" t="s">
        <v>31</v>
      </c>
      <c r="R1772" s="14" t="s">
        <v>146</v>
      </c>
    </row>
    <row r="1773" spans="1:18" s="14" customFormat="1" x14ac:dyDescent="0.25">
      <c r="A1773" s="14" t="str">
        <f>"84179"</f>
        <v>84179</v>
      </c>
      <c r="B1773" s="14" t="str">
        <f>"07020"</f>
        <v>07020</v>
      </c>
      <c r="C1773" s="14" t="str">
        <f>"1700"</f>
        <v>1700</v>
      </c>
      <c r="D1773" s="14" t="str">
        <f>"84179"</f>
        <v>84179</v>
      </c>
      <c r="E1773" s="14" t="s">
        <v>1690</v>
      </c>
      <c r="F1773" s="14" t="s">
        <v>1532</v>
      </c>
      <c r="G1773" s="14" t="str">
        <f>""</f>
        <v/>
      </c>
      <c r="H1773" s="14" t="str">
        <f>" 20"</f>
        <v xml:space="preserve"> 20</v>
      </c>
      <c r="I1773" s="14">
        <v>500.01</v>
      </c>
      <c r="J1773" s="14">
        <v>9999999.9900000002</v>
      </c>
      <c r="K1773" s="14" t="s">
        <v>147</v>
      </c>
      <c r="P1773" s="14" t="s">
        <v>31</v>
      </c>
      <c r="Q1773" s="14" t="s">
        <v>31</v>
      </c>
      <c r="R1773" s="14" t="s">
        <v>146</v>
      </c>
    </row>
    <row r="1774" spans="1:18" s="14" customFormat="1" x14ac:dyDescent="0.25">
      <c r="A1774" s="14" t="str">
        <f>"84181"</f>
        <v>84181</v>
      </c>
      <c r="B1774" s="14" t="str">
        <f>"07020"</f>
        <v>07020</v>
      </c>
      <c r="C1774" s="14" t="str">
        <f>"1700"</f>
        <v>1700</v>
      </c>
      <c r="D1774" s="14" t="str">
        <f>"84181"</f>
        <v>84181</v>
      </c>
      <c r="E1774" s="14" t="s">
        <v>1691</v>
      </c>
      <c r="F1774" s="14" t="s">
        <v>1532</v>
      </c>
      <c r="G1774" s="14" t="str">
        <f>""</f>
        <v/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392</v>
      </c>
      <c r="L1774" s="14" t="s">
        <v>71</v>
      </c>
      <c r="P1774" s="14" t="s">
        <v>31</v>
      </c>
      <c r="Q1774" s="14" t="s">
        <v>31</v>
      </c>
      <c r="R1774" s="14" t="s">
        <v>72</v>
      </c>
    </row>
    <row r="1775" spans="1:18" s="14" customFormat="1" x14ac:dyDescent="0.25">
      <c r="A1775" s="14" t="str">
        <f>"84185"</f>
        <v>84185</v>
      </c>
      <c r="B1775" s="14" t="str">
        <f>"07020"</f>
        <v>07020</v>
      </c>
      <c r="C1775" s="14" t="str">
        <f>"1700"</f>
        <v>1700</v>
      </c>
      <c r="D1775" s="14" t="str">
        <f>"84185"</f>
        <v>84185</v>
      </c>
      <c r="E1775" s="14" t="s">
        <v>1692</v>
      </c>
      <c r="F1775" s="14" t="s">
        <v>1532</v>
      </c>
      <c r="G1775" s="14" t="str">
        <f>""</f>
        <v/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50</v>
      </c>
      <c r="P1775" s="14" t="s">
        <v>31</v>
      </c>
      <c r="Q1775" s="14" t="s">
        <v>31</v>
      </c>
      <c r="R1775" s="14" t="s">
        <v>74</v>
      </c>
    </row>
    <row r="1776" spans="1:18" s="14" customFormat="1" x14ac:dyDescent="0.25">
      <c r="A1776" s="14" t="str">
        <f>"84186"</f>
        <v>84186</v>
      </c>
      <c r="B1776" s="14" t="str">
        <f>"07020"</f>
        <v>07020</v>
      </c>
      <c r="C1776" s="14" t="str">
        <f>"1700"</f>
        <v>1700</v>
      </c>
      <c r="D1776" s="14" t="str">
        <f>"84186"</f>
        <v>84186</v>
      </c>
      <c r="E1776" s="14" t="s">
        <v>1693</v>
      </c>
      <c r="F1776" s="14" t="s">
        <v>1532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370</v>
      </c>
      <c r="L1776" s="14" t="s">
        <v>404</v>
      </c>
      <c r="P1776" s="14" t="s">
        <v>31</v>
      </c>
      <c r="Q1776" s="14" t="s">
        <v>31</v>
      </c>
      <c r="R1776" s="14" t="s">
        <v>370</v>
      </c>
    </row>
    <row r="1777" spans="1:18" s="14" customFormat="1" x14ac:dyDescent="0.25">
      <c r="A1777" s="14" t="str">
        <f>"84188"</f>
        <v>84188</v>
      </c>
      <c r="B1777" s="14" t="str">
        <f>"07020"</f>
        <v>07020</v>
      </c>
      <c r="C1777" s="14" t="str">
        <f>"1700"</f>
        <v>1700</v>
      </c>
      <c r="D1777" s="14" t="str">
        <f>"84188"</f>
        <v>84188</v>
      </c>
      <c r="E1777" s="14" t="s">
        <v>1694</v>
      </c>
      <c r="F1777" s="14" t="s">
        <v>1532</v>
      </c>
      <c r="G1777" s="14" t="str">
        <f>""</f>
        <v/>
      </c>
      <c r="H1777" s="14" t="str">
        <f>" 00"</f>
        <v xml:space="preserve"> 00</v>
      </c>
      <c r="I1777" s="14">
        <v>0.01</v>
      </c>
      <c r="J1777" s="14">
        <v>9999999.9900000002</v>
      </c>
      <c r="K1777" s="14" t="s">
        <v>1695</v>
      </c>
      <c r="P1777" s="14" t="s">
        <v>31</v>
      </c>
      <c r="Q1777" s="14" t="s">
        <v>31</v>
      </c>
      <c r="R1777" s="14" t="s">
        <v>1695</v>
      </c>
    </row>
    <row r="1778" spans="1:18" s="14" customFormat="1" x14ac:dyDescent="0.25">
      <c r="A1778" s="14" t="str">
        <f>"84191"</f>
        <v>84191</v>
      </c>
      <c r="B1778" s="14" t="str">
        <f>"07020"</f>
        <v>07020</v>
      </c>
      <c r="C1778" s="14" t="str">
        <f>"1700"</f>
        <v>1700</v>
      </c>
      <c r="D1778" s="14" t="str">
        <f>"84191"</f>
        <v>84191</v>
      </c>
      <c r="E1778" s="14" t="s">
        <v>1696</v>
      </c>
      <c r="F1778" s="14" t="s">
        <v>1532</v>
      </c>
      <c r="G1778" s="14" t="str">
        <f>""</f>
        <v/>
      </c>
      <c r="H1778" s="14" t="str">
        <f>" 00"</f>
        <v xml:space="preserve"> 00</v>
      </c>
      <c r="I1778" s="14">
        <v>0.01</v>
      </c>
      <c r="J1778" s="14">
        <v>9999999.9900000002</v>
      </c>
      <c r="K1778" s="14" t="s">
        <v>1697</v>
      </c>
      <c r="L1778" s="14" t="s">
        <v>1698</v>
      </c>
      <c r="P1778" s="14" t="s">
        <v>31</v>
      </c>
      <c r="Q1778" s="14" t="s">
        <v>31</v>
      </c>
      <c r="R1778" s="14" t="s">
        <v>392</v>
      </c>
    </row>
    <row r="1779" spans="1:18" s="14" customFormat="1" x14ac:dyDescent="0.25">
      <c r="A1779" s="14" t="str">
        <f>"84194"</f>
        <v>84194</v>
      </c>
      <c r="B1779" s="14" t="str">
        <f>"07020"</f>
        <v>07020</v>
      </c>
      <c r="C1779" s="14" t="str">
        <f>"1700"</f>
        <v>1700</v>
      </c>
      <c r="D1779" s="14" t="str">
        <f>"84194"</f>
        <v>84194</v>
      </c>
      <c r="E1779" s="14" t="s">
        <v>1699</v>
      </c>
      <c r="F1779" s="14" t="s">
        <v>1532</v>
      </c>
      <c r="G1779" s="14" t="str">
        <f>""</f>
        <v/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114</v>
      </c>
      <c r="P1779" s="14" t="s">
        <v>31</v>
      </c>
      <c r="Q1779" s="14" t="s">
        <v>31</v>
      </c>
      <c r="R1779" s="14" t="s">
        <v>115</v>
      </c>
    </row>
    <row r="1780" spans="1:18" s="14" customFormat="1" x14ac:dyDescent="0.25">
      <c r="A1780" s="14" t="str">
        <f>"84195"</f>
        <v>84195</v>
      </c>
      <c r="B1780" s="14" t="str">
        <f>"07020"</f>
        <v>07020</v>
      </c>
      <c r="C1780" s="14" t="str">
        <f>"1700"</f>
        <v>1700</v>
      </c>
      <c r="D1780" s="14" t="str">
        <f>"84195"</f>
        <v>84195</v>
      </c>
      <c r="E1780" s="14" t="s">
        <v>1700</v>
      </c>
      <c r="F1780" s="14" t="s">
        <v>1532</v>
      </c>
      <c r="G1780" s="14" t="str">
        <f>""</f>
        <v/>
      </c>
      <c r="H1780" s="14" t="str">
        <f>" 00"</f>
        <v xml:space="preserve"> 00</v>
      </c>
      <c r="I1780" s="14">
        <v>0.01</v>
      </c>
      <c r="J1780" s="14">
        <v>9999999.9900000002</v>
      </c>
      <c r="K1780" s="14" t="s">
        <v>799</v>
      </c>
      <c r="L1780" s="14" t="s">
        <v>797</v>
      </c>
      <c r="M1780" s="14" t="s">
        <v>72</v>
      </c>
      <c r="P1780" s="14" t="s">
        <v>31</v>
      </c>
      <c r="Q1780" s="14" t="s">
        <v>31</v>
      </c>
      <c r="R1780" s="14" t="s">
        <v>799</v>
      </c>
    </row>
    <row r="1781" spans="1:18" s="14" customFormat="1" x14ac:dyDescent="0.25">
      <c r="A1781" s="14" t="str">
        <f>"84196"</f>
        <v>84196</v>
      </c>
      <c r="B1781" s="14" t="str">
        <f>"07020"</f>
        <v>07020</v>
      </c>
      <c r="C1781" s="14" t="str">
        <f>"1700"</f>
        <v>1700</v>
      </c>
      <c r="D1781" s="14" t="str">
        <f>"84196"</f>
        <v>84196</v>
      </c>
      <c r="E1781" s="14" t="s">
        <v>1701</v>
      </c>
      <c r="F1781" s="14" t="s">
        <v>1532</v>
      </c>
      <c r="G1781" s="14" t="str">
        <f>""</f>
        <v/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1702</v>
      </c>
      <c r="L1781" s="14" t="s">
        <v>757</v>
      </c>
      <c r="P1781" s="14" t="s">
        <v>31</v>
      </c>
      <c r="Q1781" s="14" t="s">
        <v>31</v>
      </c>
      <c r="R1781" s="14" t="s">
        <v>1702</v>
      </c>
    </row>
    <row r="1782" spans="1:18" s="14" customFormat="1" x14ac:dyDescent="0.25">
      <c r="A1782" s="14" t="str">
        <f>"84198"</f>
        <v>84198</v>
      </c>
      <c r="B1782" s="14" t="str">
        <f>"07020"</f>
        <v>07020</v>
      </c>
      <c r="C1782" s="14" t="str">
        <f>"1700"</f>
        <v>1700</v>
      </c>
      <c r="D1782" s="14" t="str">
        <f>"84198"</f>
        <v>84198</v>
      </c>
      <c r="E1782" s="14" t="s">
        <v>1703</v>
      </c>
      <c r="F1782" s="14" t="s">
        <v>1532</v>
      </c>
      <c r="G1782" s="14" t="str">
        <f>""</f>
        <v/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392</v>
      </c>
      <c r="P1782" s="14" t="s">
        <v>31</v>
      </c>
      <c r="Q1782" s="14" t="s">
        <v>31</v>
      </c>
      <c r="R1782" s="14" t="s">
        <v>392</v>
      </c>
    </row>
    <row r="1783" spans="1:18" s="14" customFormat="1" x14ac:dyDescent="0.25">
      <c r="A1783" s="14" t="str">
        <f>"84199"</f>
        <v>84199</v>
      </c>
      <c r="B1783" s="14" t="str">
        <f>"07020"</f>
        <v>07020</v>
      </c>
      <c r="C1783" s="14" t="str">
        <f>"1700"</f>
        <v>1700</v>
      </c>
      <c r="D1783" s="14" t="str">
        <f>"84199"</f>
        <v>84199</v>
      </c>
      <c r="E1783" s="14" t="s">
        <v>1704</v>
      </c>
      <c r="F1783" s="14" t="s">
        <v>1532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72</v>
      </c>
      <c r="L1783" s="14" t="s">
        <v>797</v>
      </c>
      <c r="P1783" s="14" t="s">
        <v>31</v>
      </c>
      <c r="Q1783" s="14" t="s">
        <v>31</v>
      </c>
      <c r="R1783" s="14" t="s">
        <v>72</v>
      </c>
    </row>
    <row r="1784" spans="1:18" s="14" customFormat="1" x14ac:dyDescent="0.25">
      <c r="A1784" s="14" t="str">
        <f>"84200"</f>
        <v>84200</v>
      </c>
      <c r="B1784" s="14" t="str">
        <f>"07020"</f>
        <v>07020</v>
      </c>
      <c r="C1784" s="14" t="str">
        <f>"1700"</f>
        <v>1700</v>
      </c>
      <c r="D1784" s="14" t="str">
        <f>"84200"</f>
        <v>84200</v>
      </c>
      <c r="E1784" s="14" t="s">
        <v>1705</v>
      </c>
      <c r="F1784" s="14" t="s">
        <v>1532</v>
      </c>
      <c r="G1784" s="14" t="str">
        <f>""</f>
        <v/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1706</v>
      </c>
      <c r="P1784" s="14" t="s">
        <v>31</v>
      </c>
      <c r="Q1784" s="14" t="s">
        <v>31</v>
      </c>
      <c r="R1784" s="14" t="s">
        <v>383</v>
      </c>
    </row>
    <row r="1785" spans="1:18" s="14" customFormat="1" x14ac:dyDescent="0.25">
      <c r="A1785" s="14" t="str">
        <f>"84202"</f>
        <v>84202</v>
      </c>
      <c r="B1785" s="14" t="str">
        <f>"07020"</f>
        <v>07020</v>
      </c>
      <c r="C1785" s="14" t="str">
        <f>"1700"</f>
        <v>1700</v>
      </c>
      <c r="D1785" s="14" t="str">
        <f>"84202"</f>
        <v>84202</v>
      </c>
      <c r="E1785" s="14" t="s">
        <v>1707</v>
      </c>
      <c r="F1785" s="14" t="s">
        <v>1532</v>
      </c>
      <c r="G1785" s="14" t="str">
        <f>""</f>
        <v/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1708</v>
      </c>
      <c r="P1785" s="14" t="s">
        <v>31</v>
      </c>
      <c r="Q1785" s="14" t="s">
        <v>31</v>
      </c>
      <c r="R1785" s="14" t="s">
        <v>1708</v>
      </c>
    </row>
    <row r="1786" spans="1:18" s="14" customFormat="1" x14ac:dyDescent="0.25">
      <c r="A1786" s="14" t="str">
        <f>"84203"</f>
        <v>84203</v>
      </c>
      <c r="B1786" s="14" t="str">
        <f>"07020"</f>
        <v>07020</v>
      </c>
      <c r="C1786" s="14" t="str">
        <f>"1700"</f>
        <v>1700</v>
      </c>
      <c r="D1786" s="14" t="str">
        <f>"84203"</f>
        <v>84203</v>
      </c>
      <c r="E1786" s="14" t="s">
        <v>1709</v>
      </c>
      <c r="F1786" s="14" t="s">
        <v>1532</v>
      </c>
      <c r="G1786" s="14" t="str">
        <f>""</f>
        <v/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381</v>
      </c>
      <c r="L1786" s="14" t="s">
        <v>382</v>
      </c>
      <c r="M1786" s="14" t="s">
        <v>1570</v>
      </c>
      <c r="P1786" s="14" t="s">
        <v>31</v>
      </c>
      <c r="Q1786" s="14" t="s">
        <v>31</v>
      </c>
      <c r="R1786" s="14" t="s">
        <v>383</v>
      </c>
    </row>
    <row r="1787" spans="1:18" s="14" customFormat="1" x14ac:dyDescent="0.25">
      <c r="A1787" s="14" t="str">
        <f>"84204"</f>
        <v>84204</v>
      </c>
      <c r="B1787" s="14" t="str">
        <f>"07020"</f>
        <v>07020</v>
      </c>
      <c r="C1787" s="14" t="str">
        <f>"1700"</f>
        <v>1700</v>
      </c>
      <c r="D1787" s="14" t="str">
        <f>"84204"</f>
        <v>84204</v>
      </c>
      <c r="E1787" s="14" t="s">
        <v>1710</v>
      </c>
      <c r="F1787" s="14" t="s">
        <v>1532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404</v>
      </c>
      <c r="L1787" s="14" t="s">
        <v>405</v>
      </c>
      <c r="P1787" s="14" t="s">
        <v>31</v>
      </c>
      <c r="Q1787" s="14" t="s">
        <v>31</v>
      </c>
      <c r="R1787" s="14" t="s">
        <v>403</v>
      </c>
    </row>
    <row r="1788" spans="1:18" s="14" customFormat="1" x14ac:dyDescent="0.25">
      <c r="A1788" s="14" t="str">
        <f>"84207"</f>
        <v>84207</v>
      </c>
      <c r="B1788" s="14" t="str">
        <f>"07020"</f>
        <v>07020</v>
      </c>
      <c r="C1788" s="14" t="str">
        <f>"1700"</f>
        <v>1700</v>
      </c>
      <c r="D1788" s="14" t="str">
        <f>"84207"</f>
        <v>84207</v>
      </c>
      <c r="E1788" s="14" t="s">
        <v>1711</v>
      </c>
      <c r="F1788" s="14" t="s">
        <v>1532</v>
      </c>
      <c r="G1788" s="14" t="str">
        <f>""</f>
        <v/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1636</v>
      </c>
      <c r="P1788" s="14" t="s">
        <v>31</v>
      </c>
      <c r="Q1788" s="14" t="s">
        <v>31</v>
      </c>
      <c r="R1788" s="14" t="s">
        <v>1712</v>
      </c>
    </row>
    <row r="1789" spans="1:18" s="14" customFormat="1" x14ac:dyDescent="0.25">
      <c r="A1789" s="14" t="str">
        <f>"84208"</f>
        <v>84208</v>
      </c>
      <c r="B1789" s="14" t="str">
        <f>"07020"</f>
        <v>07020</v>
      </c>
      <c r="C1789" s="14" t="str">
        <f>"1700"</f>
        <v>1700</v>
      </c>
      <c r="D1789" s="14" t="str">
        <f>"84208"</f>
        <v>84208</v>
      </c>
      <c r="E1789" s="14" t="s">
        <v>1713</v>
      </c>
      <c r="F1789" s="14" t="s">
        <v>1532</v>
      </c>
      <c r="G1789" s="14" t="str">
        <f>""</f>
        <v/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1565</v>
      </c>
      <c r="L1789" s="14" t="s">
        <v>392</v>
      </c>
      <c r="P1789" s="14" t="s">
        <v>31</v>
      </c>
      <c r="Q1789" s="14" t="s">
        <v>31</v>
      </c>
      <c r="R1789" s="14" t="s">
        <v>392</v>
      </c>
    </row>
    <row r="1790" spans="1:18" s="14" customFormat="1" x14ac:dyDescent="0.25">
      <c r="A1790" s="14" t="str">
        <f>"84210"</f>
        <v>84210</v>
      </c>
      <c r="B1790" s="14" t="str">
        <f>"07020"</f>
        <v>07020</v>
      </c>
      <c r="C1790" s="14" t="str">
        <f>"1700"</f>
        <v>1700</v>
      </c>
      <c r="D1790" s="14" t="str">
        <f>"84210"</f>
        <v>84210</v>
      </c>
      <c r="E1790" s="14" t="s">
        <v>1715</v>
      </c>
      <c r="F1790" s="14" t="s">
        <v>1532</v>
      </c>
      <c r="G1790" s="14" t="str">
        <f>""</f>
        <v/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1716</v>
      </c>
      <c r="P1790" s="14" t="s">
        <v>31</v>
      </c>
      <c r="Q1790" s="14" t="s">
        <v>31</v>
      </c>
      <c r="R1790" s="14" t="s">
        <v>1716</v>
      </c>
    </row>
    <row r="1791" spans="1:18" s="14" customFormat="1" x14ac:dyDescent="0.25">
      <c r="A1791" s="14" t="str">
        <f>"84211"</f>
        <v>84211</v>
      </c>
      <c r="B1791" s="14" t="str">
        <f>"07020"</f>
        <v>07020</v>
      </c>
      <c r="C1791" s="14" t="str">
        <f>"1700"</f>
        <v>1700</v>
      </c>
      <c r="D1791" s="14" t="str">
        <f>"84211"</f>
        <v>84211</v>
      </c>
      <c r="E1791" s="14" t="s">
        <v>1717</v>
      </c>
      <c r="F1791" s="14" t="s">
        <v>1532</v>
      </c>
      <c r="G1791" s="14" t="str">
        <f>""</f>
        <v/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392</v>
      </c>
      <c r="P1791" s="14" t="s">
        <v>31</v>
      </c>
      <c r="Q1791" s="14" t="s">
        <v>31</v>
      </c>
      <c r="R1791" s="14" t="s">
        <v>392</v>
      </c>
    </row>
    <row r="1792" spans="1:18" s="14" customFormat="1" x14ac:dyDescent="0.25">
      <c r="A1792" s="14" t="str">
        <f>"84212"</f>
        <v>84212</v>
      </c>
      <c r="B1792" s="14" t="str">
        <f>"07020"</f>
        <v>07020</v>
      </c>
      <c r="C1792" s="14" t="str">
        <f>"1700"</f>
        <v>1700</v>
      </c>
      <c r="D1792" s="14" t="str">
        <f>"84212"</f>
        <v>84212</v>
      </c>
      <c r="E1792" s="14" t="s">
        <v>1718</v>
      </c>
      <c r="F1792" s="14" t="s">
        <v>1532</v>
      </c>
      <c r="G1792" s="14" t="str">
        <f>""</f>
        <v/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1719</v>
      </c>
      <c r="L1792" s="14" t="s">
        <v>822</v>
      </c>
      <c r="M1792" s="14" t="s">
        <v>72</v>
      </c>
      <c r="P1792" s="14" t="s">
        <v>31</v>
      </c>
      <c r="Q1792" s="14" t="s">
        <v>31</v>
      </c>
      <c r="R1792" s="14" t="s">
        <v>70</v>
      </c>
    </row>
    <row r="1793" spans="1:18" s="14" customFormat="1" x14ac:dyDescent="0.25">
      <c r="A1793" s="14" t="str">
        <f>"84213"</f>
        <v>84213</v>
      </c>
      <c r="B1793" s="14" t="str">
        <f>"07020"</f>
        <v>07020</v>
      </c>
      <c r="C1793" s="14" t="str">
        <f>"1700"</f>
        <v>1700</v>
      </c>
      <c r="D1793" s="14" t="str">
        <f>"84213"</f>
        <v>84213</v>
      </c>
      <c r="E1793" s="14" t="s">
        <v>1720</v>
      </c>
      <c r="F1793" s="14" t="s">
        <v>1532</v>
      </c>
      <c r="G1793" s="14" t="str">
        <f>""</f>
        <v/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1721</v>
      </c>
      <c r="L1793" s="14" t="s">
        <v>1722</v>
      </c>
      <c r="P1793" s="14" t="s">
        <v>31</v>
      </c>
      <c r="Q1793" s="14" t="s">
        <v>31</v>
      </c>
      <c r="R1793" s="14" t="s">
        <v>1721</v>
      </c>
    </row>
    <row r="1794" spans="1:18" s="14" customFormat="1" x14ac:dyDescent="0.25">
      <c r="A1794" s="14" t="str">
        <f>"84215"</f>
        <v>84215</v>
      </c>
      <c r="B1794" s="14" t="str">
        <f>"07020"</f>
        <v>07020</v>
      </c>
      <c r="C1794" s="14" t="str">
        <f>"1700"</f>
        <v>1700</v>
      </c>
      <c r="D1794" s="14" t="str">
        <f>"84215"</f>
        <v>84215</v>
      </c>
      <c r="E1794" s="14" t="s">
        <v>1723</v>
      </c>
      <c r="F1794" s="14" t="s">
        <v>1532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392</v>
      </c>
      <c r="L1794" s="14" t="s">
        <v>47</v>
      </c>
      <c r="P1794" s="14" t="s">
        <v>31</v>
      </c>
      <c r="Q1794" s="14" t="s">
        <v>31</v>
      </c>
      <c r="R1794" s="14" t="s">
        <v>392</v>
      </c>
    </row>
    <row r="1795" spans="1:18" s="14" customFormat="1" x14ac:dyDescent="0.25">
      <c r="A1795" s="14" t="str">
        <f>"84216"</f>
        <v>84216</v>
      </c>
      <c r="B1795" s="14" t="str">
        <f>"07020"</f>
        <v>07020</v>
      </c>
      <c r="C1795" s="14" t="str">
        <f>"1700"</f>
        <v>1700</v>
      </c>
      <c r="D1795" s="14" t="str">
        <f>"84216"</f>
        <v>84216</v>
      </c>
      <c r="E1795" s="14" t="s">
        <v>1724</v>
      </c>
      <c r="F1795" s="14" t="s">
        <v>1532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601</v>
      </c>
      <c r="L1795" s="14" t="s">
        <v>72</v>
      </c>
      <c r="P1795" s="14" t="s">
        <v>31</v>
      </c>
      <c r="Q1795" s="14" t="s">
        <v>31</v>
      </c>
      <c r="R1795" s="14" t="s">
        <v>1549</v>
      </c>
    </row>
    <row r="1796" spans="1:18" s="14" customFormat="1" x14ac:dyDescent="0.25">
      <c r="A1796" s="14" t="str">
        <f>"84218"</f>
        <v>84218</v>
      </c>
      <c r="B1796" s="14" t="str">
        <f>"07020"</f>
        <v>07020</v>
      </c>
      <c r="C1796" s="14" t="str">
        <f>"1700"</f>
        <v>1700</v>
      </c>
      <c r="D1796" s="14" t="str">
        <f>"84218"</f>
        <v>84218</v>
      </c>
      <c r="E1796" s="14" t="s">
        <v>1725</v>
      </c>
      <c r="F1796" s="14" t="s">
        <v>1532</v>
      </c>
      <c r="G1796" s="14" t="str">
        <f>""</f>
        <v/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1726</v>
      </c>
      <c r="L1796" s="14" t="s">
        <v>1727</v>
      </c>
      <c r="P1796" s="14" t="s">
        <v>31</v>
      </c>
      <c r="Q1796" s="14" t="s">
        <v>31</v>
      </c>
      <c r="R1796" s="14" t="s">
        <v>1726</v>
      </c>
    </row>
    <row r="1797" spans="1:18" s="14" customFormat="1" x14ac:dyDescent="0.25">
      <c r="A1797" s="14" t="str">
        <f>"84222"</f>
        <v>84222</v>
      </c>
      <c r="B1797" s="14" t="str">
        <f>"07020"</f>
        <v>07020</v>
      </c>
      <c r="C1797" s="14" t="str">
        <f>"1700"</f>
        <v>1700</v>
      </c>
      <c r="D1797" s="14" t="str">
        <f>"84222"</f>
        <v>84222</v>
      </c>
      <c r="E1797" s="14" t="s">
        <v>1728</v>
      </c>
      <c r="F1797" s="14" t="s">
        <v>1532</v>
      </c>
      <c r="G1797" s="14" t="str">
        <f>""</f>
        <v/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381</v>
      </c>
      <c r="L1797" s="14" t="s">
        <v>382</v>
      </c>
      <c r="M1797" s="14" t="s">
        <v>1570</v>
      </c>
      <c r="P1797" s="14" t="s">
        <v>31</v>
      </c>
      <c r="Q1797" s="14" t="s">
        <v>31</v>
      </c>
      <c r="R1797" s="14" t="s">
        <v>383</v>
      </c>
    </row>
    <row r="1798" spans="1:18" s="14" customFormat="1" x14ac:dyDescent="0.25">
      <c r="A1798" s="14" t="str">
        <f>"84223"</f>
        <v>84223</v>
      </c>
      <c r="B1798" s="14" t="str">
        <f>"07020"</f>
        <v>07020</v>
      </c>
      <c r="C1798" s="14" t="str">
        <f>"1700"</f>
        <v>1700</v>
      </c>
      <c r="D1798" s="14" t="str">
        <f>"84223"</f>
        <v>84223</v>
      </c>
      <c r="E1798" s="14" t="s">
        <v>1729</v>
      </c>
      <c r="F1798" s="14" t="s">
        <v>1532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663</v>
      </c>
      <c r="P1798" s="14" t="s">
        <v>31</v>
      </c>
      <c r="Q1798" s="14" t="s">
        <v>31</v>
      </c>
      <c r="R1798" s="14" t="s">
        <v>1730</v>
      </c>
    </row>
    <row r="1799" spans="1:18" s="14" customFormat="1" x14ac:dyDescent="0.25">
      <c r="A1799" s="14" t="str">
        <f>"84224"</f>
        <v>84224</v>
      </c>
      <c r="B1799" s="14" t="str">
        <f>"07020"</f>
        <v>07020</v>
      </c>
      <c r="C1799" s="14" t="str">
        <f>"1700"</f>
        <v>1700</v>
      </c>
      <c r="D1799" s="14" t="str">
        <f>"84224"</f>
        <v>84224</v>
      </c>
      <c r="E1799" s="14" t="s">
        <v>1731</v>
      </c>
      <c r="F1799" s="14" t="s">
        <v>1532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1677</v>
      </c>
      <c r="L1799" s="14" t="s">
        <v>72</v>
      </c>
      <c r="P1799" s="14" t="s">
        <v>31</v>
      </c>
      <c r="Q1799" s="14" t="s">
        <v>31</v>
      </c>
      <c r="R1799" s="14" t="s">
        <v>1597</v>
      </c>
    </row>
    <row r="1800" spans="1:18" s="14" customFormat="1" x14ac:dyDescent="0.25">
      <c r="A1800" s="14" t="str">
        <f>"84225"</f>
        <v>84225</v>
      </c>
      <c r="B1800" s="14" t="str">
        <f>"07020"</f>
        <v>07020</v>
      </c>
      <c r="C1800" s="14" t="str">
        <f>"1700"</f>
        <v>1700</v>
      </c>
      <c r="D1800" s="14" t="str">
        <f>"84225"</f>
        <v>84225</v>
      </c>
      <c r="E1800" s="14" t="s">
        <v>1732</v>
      </c>
      <c r="F1800" s="14" t="s">
        <v>1532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48</v>
      </c>
      <c r="L1800" s="14" t="s">
        <v>97</v>
      </c>
      <c r="M1800" s="14" t="s">
        <v>98</v>
      </c>
      <c r="P1800" s="14" t="s">
        <v>31</v>
      </c>
      <c r="Q1800" s="14" t="s">
        <v>31</v>
      </c>
      <c r="R1800" s="14" t="s">
        <v>49</v>
      </c>
    </row>
    <row r="1801" spans="1:18" s="14" customFormat="1" x14ac:dyDescent="0.25">
      <c r="A1801" s="14" t="str">
        <f>"84226"</f>
        <v>84226</v>
      </c>
      <c r="B1801" s="14" t="str">
        <f>"07020"</f>
        <v>07020</v>
      </c>
      <c r="C1801" s="14" t="str">
        <f>"1700"</f>
        <v>1700</v>
      </c>
      <c r="D1801" s="14" t="str">
        <f>"84226"</f>
        <v>84226</v>
      </c>
      <c r="E1801" s="14" t="s">
        <v>1733</v>
      </c>
      <c r="F1801" s="14" t="s">
        <v>1532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1734</v>
      </c>
      <c r="L1801" s="14" t="s">
        <v>392</v>
      </c>
      <c r="M1801" s="14" t="s">
        <v>72</v>
      </c>
      <c r="P1801" s="14" t="s">
        <v>31</v>
      </c>
      <c r="Q1801" s="14" t="s">
        <v>31</v>
      </c>
      <c r="R1801" s="14" t="s">
        <v>1735</v>
      </c>
    </row>
    <row r="1802" spans="1:18" s="14" customFormat="1" x14ac:dyDescent="0.25">
      <c r="A1802" s="14" t="str">
        <f>"84227"</f>
        <v>84227</v>
      </c>
      <c r="B1802" s="14" t="str">
        <f>"07020"</f>
        <v>07020</v>
      </c>
      <c r="C1802" s="14" t="str">
        <f>"1700"</f>
        <v>1700</v>
      </c>
      <c r="D1802" s="14" t="str">
        <f>"84227"</f>
        <v>84227</v>
      </c>
      <c r="E1802" s="14" t="s">
        <v>1736</v>
      </c>
      <c r="F1802" s="14" t="s">
        <v>1532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1737</v>
      </c>
      <c r="P1802" s="14" t="s">
        <v>31</v>
      </c>
      <c r="Q1802" s="14" t="s">
        <v>31</v>
      </c>
      <c r="R1802" s="14" t="s">
        <v>98</v>
      </c>
    </row>
    <row r="1803" spans="1:18" s="14" customFormat="1" x14ac:dyDescent="0.25">
      <c r="A1803" s="14" t="str">
        <f>"84228"</f>
        <v>84228</v>
      </c>
      <c r="B1803" s="14" t="str">
        <f>"07020"</f>
        <v>07020</v>
      </c>
      <c r="C1803" s="14" t="str">
        <f>"1700"</f>
        <v>1700</v>
      </c>
      <c r="D1803" s="14" t="str">
        <f>"84228"</f>
        <v>84228</v>
      </c>
      <c r="E1803" s="14" t="s">
        <v>1738</v>
      </c>
      <c r="F1803" s="14" t="s">
        <v>1532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1739</v>
      </c>
      <c r="L1803" s="14" t="s">
        <v>1740</v>
      </c>
      <c r="P1803" s="14" t="s">
        <v>31</v>
      </c>
      <c r="Q1803" s="14" t="s">
        <v>31</v>
      </c>
      <c r="R1803" s="14" t="s">
        <v>1739</v>
      </c>
    </row>
    <row r="1804" spans="1:18" s="14" customFormat="1" x14ac:dyDescent="0.25">
      <c r="A1804" s="14" t="str">
        <f>"84229"</f>
        <v>84229</v>
      </c>
      <c r="B1804" s="14" t="str">
        <f>"07020"</f>
        <v>07020</v>
      </c>
      <c r="C1804" s="14" t="str">
        <f>"1700"</f>
        <v>1700</v>
      </c>
      <c r="D1804" s="14" t="str">
        <f>"84229"</f>
        <v>84229</v>
      </c>
      <c r="E1804" s="14" t="s">
        <v>1741</v>
      </c>
      <c r="F1804" s="14" t="s">
        <v>1532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403</v>
      </c>
      <c r="L1804" s="14" t="s">
        <v>404</v>
      </c>
      <c r="P1804" s="14" t="s">
        <v>31</v>
      </c>
      <c r="Q1804" s="14" t="s">
        <v>31</v>
      </c>
      <c r="R1804" s="14" t="s">
        <v>404</v>
      </c>
    </row>
    <row r="1805" spans="1:18" s="14" customFormat="1" x14ac:dyDescent="0.25">
      <c r="A1805" s="14" t="str">
        <f>"84230"</f>
        <v>84230</v>
      </c>
      <c r="B1805" s="14" t="str">
        <f>"07020"</f>
        <v>07020</v>
      </c>
      <c r="C1805" s="14" t="str">
        <f>"1700"</f>
        <v>1700</v>
      </c>
      <c r="D1805" s="14" t="str">
        <f>"84230"</f>
        <v>84230</v>
      </c>
      <c r="E1805" s="14" t="s">
        <v>1742</v>
      </c>
      <c r="F1805" s="14" t="s">
        <v>1532</v>
      </c>
      <c r="G1805" s="14" t="str">
        <f>""</f>
        <v/>
      </c>
      <c r="H1805" s="14" t="str">
        <f>" 10"</f>
        <v xml:space="preserve"> 10</v>
      </c>
      <c r="I1805" s="14">
        <v>0.01</v>
      </c>
      <c r="J1805" s="14">
        <v>500</v>
      </c>
      <c r="K1805" s="14" t="s">
        <v>146</v>
      </c>
      <c r="L1805" s="14" t="s">
        <v>147</v>
      </c>
      <c r="P1805" s="14" t="s">
        <v>31</v>
      </c>
      <c r="Q1805" s="14" t="s">
        <v>31</v>
      </c>
      <c r="R1805" s="14" t="s">
        <v>147</v>
      </c>
    </row>
    <row r="1806" spans="1:18" s="14" customFormat="1" x14ac:dyDescent="0.25">
      <c r="A1806" s="14" t="str">
        <f>"84230"</f>
        <v>84230</v>
      </c>
      <c r="B1806" s="14" t="str">
        <f>"07020"</f>
        <v>07020</v>
      </c>
      <c r="C1806" s="14" t="str">
        <f>"1700"</f>
        <v>1700</v>
      </c>
      <c r="D1806" s="14" t="str">
        <f>"84230"</f>
        <v>84230</v>
      </c>
      <c r="E1806" s="14" t="s">
        <v>1742</v>
      </c>
      <c r="F1806" s="14" t="s">
        <v>1532</v>
      </c>
      <c r="G1806" s="14" t="str">
        <f>""</f>
        <v/>
      </c>
      <c r="H1806" s="14" t="str">
        <f>" 20"</f>
        <v xml:space="preserve"> 20</v>
      </c>
      <c r="I1806" s="14">
        <v>500.01</v>
      </c>
      <c r="J1806" s="14">
        <v>9999999.9900000002</v>
      </c>
      <c r="K1806" s="14" t="s">
        <v>147</v>
      </c>
      <c r="L1806" s="14" t="s">
        <v>158</v>
      </c>
      <c r="P1806" s="14" t="s">
        <v>31</v>
      </c>
      <c r="Q1806" s="14" t="s">
        <v>31</v>
      </c>
      <c r="R1806" s="14" t="s">
        <v>147</v>
      </c>
    </row>
    <row r="1807" spans="1:18" s="14" customFormat="1" x14ac:dyDescent="0.25">
      <c r="A1807" s="14" t="str">
        <f>"84231"</f>
        <v>84231</v>
      </c>
      <c r="B1807" s="14" t="str">
        <f>"07020"</f>
        <v>07020</v>
      </c>
      <c r="C1807" s="14" t="str">
        <f>"1700"</f>
        <v>1700</v>
      </c>
      <c r="D1807" s="14" t="str">
        <f>"84231"</f>
        <v>84231</v>
      </c>
      <c r="E1807" s="14" t="s">
        <v>1743</v>
      </c>
      <c r="F1807" s="14" t="s">
        <v>1532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1619</v>
      </c>
      <c r="L1807" s="14" t="s">
        <v>72</v>
      </c>
      <c r="P1807" s="14" t="s">
        <v>31</v>
      </c>
      <c r="Q1807" s="14" t="s">
        <v>31</v>
      </c>
      <c r="R1807" s="14" t="s">
        <v>862</v>
      </c>
    </row>
    <row r="1808" spans="1:18" s="14" customFormat="1" x14ac:dyDescent="0.25">
      <c r="A1808" s="14" t="str">
        <f>"84232"</f>
        <v>84232</v>
      </c>
      <c r="B1808" s="14" t="str">
        <f>"07020"</f>
        <v>07020</v>
      </c>
      <c r="C1808" s="14" t="str">
        <f>"1700"</f>
        <v>1700</v>
      </c>
      <c r="D1808" s="14" t="str">
        <f>"84232"</f>
        <v>84232</v>
      </c>
      <c r="E1808" s="14" t="s">
        <v>1744</v>
      </c>
      <c r="F1808" s="14" t="s">
        <v>1532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1745</v>
      </c>
      <c r="P1808" s="14" t="s">
        <v>31</v>
      </c>
      <c r="Q1808" s="14" t="s">
        <v>31</v>
      </c>
      <c r="R1808" s="14" t="s">
        <v>1746</v>
      </c>
    </row>
    <row r="1809" spans="1:18" s="14" customFormat="1" x14ac:dyDescent="0.25">
      <c r="A1809" s="14" t="str">
        <f>"84233"</f>
        <v>84233</v>
      </c>
      <c r="B1809" s="14" t="str">
        <f>"07020"</f>
        <v>07020</v>
      </c>
      <c r="C1809" s="14" t="str">
        <f>"1700"</f>
        <v>1700</v>
      </c>
      <c r="D1809" s="14" t="str">
        <f>"84233"</f>
        <v>84233</v>
      </c>
      <c r="E1809" s="14" t="s">
        <v>1747</v>
      </c>
      <c r="F1809" s="14" t="s">
        <v>1532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1748</v>
      </c>
      <c r="L1809" s="14" t="s">
        <v>181</v>
      </c>
      <c r="P1809" s="14" t="s">
        <v>31</v>
      </c>
      <c r="Q1809" s="14" t="s">
        <v>31</v>
      </c>
      <c r="R1809" s="14" t="s">
        <v>1536</v>
      </c>
    </row>
    <row r="1810" spans="1:18" s="14" customFormat="1" x14ac:dyDescent="0.25">
      <c r="A1810" s="14" t="str">
        <f>"84234"</f>
        <v>84234</v>
      </c>
      <c r="B1810" s="14" t="str">
        <f>"07020"</f>
        <v>07020</v>
      </c>
      <c r="C1810" s="14" t="str">
        <f>"1700"</f>
        <v>1700</v>
      </c>
      <c r="D1810" s="14" t="str">
        <f>"84234"</f>
        <v>84234</v>
      </c>
      <c r="E1810" s="14" t="s">
        <v>1749</v>
      </c>
      <c r="F1810" s="14" t="s">
        <v>1532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1663</v>
      </c>
      <c r="P1810" s="14" t="s">
        <v>31</v>
      </c>
      <c r="Q1810" s="14" t="s">
        <v>31</v>
      </c>
      <c r="R1810" s="14" t="s">
        <v>392</v>
      </c>
    </row>
    <row r="1811" spans="1:18" s="14" customFormat="1" x14ac:dyDescent="0.25">
      <c r="A1811" s="14" t="str">
        <f>"84235"</f>
        <v>84235</v>
      </c>
      <c r="B1811" s="14" t="str">
        <f>"07020"</f>
        <v>07020</v>
      </c>
      <c r="C1811" s="14" t="str">
        <f>"1700"</f>
        <v>1700</v>
      </c>
      <c r="D1811" s="14" t="str">
        <f>"84235"</f>
        <v>84235</v>
      </c>
      <c r="E1811" s="14" t="s">
        <v>1750</v>
      </c>
      <c r="F1811" s="14" t="s">
        <v>1532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386</v>
      </c>
      <c r="L1811" s="14" t="s">
        <v>1534</v>
      </c>
      <c r="P1811" s="14" t="s">
        <v>31</v>
      </c>
      <c r="Q1811" s="14" t="s">
        <v>31</v>
      </c>
      <c r="R1811" s="14" t="s">
        <v>388</v>
      </c>
    </row>
    <row r="1812" spans="1:18" s="14" customFormat="1" x14ac:dyDescent="0.25">
      <c r="A1812" s="14" t="str">
        <f>"84236"</f>
        <v>84236</v>
      </c>
      <c r="B1812" s="14" t="str">
        <f>"07020"</f>
        <v>07020</v>
      </c>
      <c r="C1812" s="14" t="str">
        <f>"1700"</f>
        <v>1700</v>
      </c>
      <c r="D1812" s="14" t="str">
        <f>"84236"</f>
        <v>84236</v>
      </c>
      <c r="E1812" s="14" t="s">
        <v>1751</v>
      </c>
      <c r="F1812" s="14" t="s">
        <v>1532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766</v>
      </c>
      <c r="P1812" s="14" t="s">
        <v>31</v>
      </c>
      <c r="Q1812" s="14" t="s">
        <v>31</v>
      </c>
      <c r="R1812" s="14" t="s">
        <v>794</v>
      </c>
    </row>
    <row r="1813" spans="1:18" s="14" customFormat="1" x14ac:dyDescent="0.25">
      <c r="A1813" s="14" t="str">
        <f>"84237"</f>
        <v>84237</v>
      </c>
      <c r="B1813" s="14" t="str">
        <f>"07020"</f>
        <v>07020</v>
      </c>
      <c r="C1813" s="14" t="str">
        <f>"1700"</f>
        <v>1700</v>
      </c>
      <c r="D1813" s="14" t="str">
        <f>"84237"</f>
        <v>84237</v>
      </c>
      <c r="E1813" s="14" t="s">
        <v>1752</v>
      </c>
      <c r="F1813" s="14" t="s">
        <v>1532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392</v>
      </c>
      <c r="L1813" s="14" t="s">
        <v>1753</v>
      </c>
      <c r="M1813" s="14" t="s">
        <v>72</v>
      </c>
      <c r="P1813" s="14" t="s">
        <v>31</v>
      </c>
      <c r="Q1813" s="14" t="s">
        <v>31</v>
      </c>
      <c r="R1813" s="14" t="s">
        <v>392</v>
      </c>
    </row>
    <row r="1814" spans="1:18" s="14" customFormat="1" x14ac:dyDescent="0.25">
      <c r="A1814" s="14" t="str">
        <f>"84238"</f>
        <v>84238</v>
      </c>
      <c r="B1814" s="14" t="str">
        <f>"07020"</f>
        <v>07020</v>
      </c>
      <c r="C1814" s="14" t="str">
        <f>"1700"</f>
        <v>1700</v>
      </c>
      <c r="D1814" s="14" t="str">
        <f>"84238"</f>
        <v>84238</v>
      </c>
      <c r="E1814" s="14" t="s">
        <v>1754</v>
      </c>
      <c r="F1814" s="14" t="s">
        <v>1532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1619</v>
      </c>
      <c r="L1814" s="14" t="s">
        <v>392</v>
      </c>
      <c r="M1814" s="14" t="s">
        <v>72</v>
      </c>
      <c r="P1814" s="14" t="s">
        <v>31</v>
      </c>
      <c r="Q1814" s="14" t="s">
        <v>31</v>
      </c>
      <c r="R1814" s="14" t="s">
        <v>392</v>
      </c>
    </row>
    <row r="1815" spans="1:18" s="14" customFormat="1" x14ac:dyDescent="0.25">
      <c r="A1815" s="14" t="str">
        <f>"84239"</f>
        <v>84239</v>
      </c>
      <c r="B1815" s="14" t="str">
        <f>"07020"</f>
        <v>07020</v>
      </c>
      <c r="C1815" s="14" t="str">
        <f>"1700"</f>
        <v>1700</v>
      </c>
      <c r="D1815" s="14" t="str">
        <f>"84239"</f>
        <v>84239</v>
      </c>
      <c r="E1815" s="14" t="s">
        <v>1755</v>
      </c>
      <c r="F1815" s="14" t="s">
        <v>1532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181</v>
      </c>
      <c r="L1815" s="14" t="s">
        <v>753</v>
      </c>
      <c r="M1815" s="14" t="s">
        <v>873</v>
      </c>
      <c r="P1815" s="14" t="s">
        <v>31</v>
      </c>
      <c r="Q1815" s="14" t="s">
        <v>31</v>
      </c>
      <c r="R1815" s="14" t="s">
        <v>753</v>
      </c>
    </row>
    <row r="1816" spans="1:18" s="14" customFormat="1" x14ac:dyDescent="0.25">
      <c r="A1816" s="14" t="str">
        <f>"84240"</f>
        <v>84240</v>
      </c>
      <c r="B1816" s="14" t="str">
        <f>"07020"</f>
        <v>07020</v>
      </c>
      <c r="C1816" s="14" t="str">
        <f>"1700"</f>
        <v>1700</v>
      </c>
      <c r="D1816" s="14" t="str">
        <f>"84240"</f>
        <v>84240</v>
      </c>
      <c r="E1816" s="14" t="s">
        <v>1756</v>
      </c>
      <c r="F1816" s="14" t="s">
        <v>1532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1757</v>
      </c>
      <c r="L1816" s="14" t="s">
        <v>392</v>
      </c>
      <c r="P1816" s="14" t="s">
        <v>31</v>
      </c>
      <c r="Q1816" s="14" t="s">
        <v>31</v>
      </c>
      <c r="R1816" s="14" t="s">
        <v>1757</v>
      </c>
    </row>
    <row r="1817" spans="1:18" s="14" customFormat="1" x14ac:dyDescent="0.25">
      <c r="A1817" s="14" t="str">
        <f>"84241"</f>
        <v>84241</v>
      </c>
      <c r="B1817" s="14" t="str">
        <f>"07020"</f>
        <v>07020</v>
      </c>
      <c r="C1817" s="14" t="str">
        <f>"1700"</f>
        <v>1700</v>
      </c>
      <c r="D1817" s="14" t="str">
        <f>"84241"</f>
        <v>84241</v>
      </c>
      <c r="E1817" s="14" t="s">
        <v>1758</v>
      </c>
      <c r="F1817" s="14" t="s">
        <v>1532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779</v>
      </c>
      <c r="L1817" s="14" t="s">
        <v>392</v>
      </c>
      <c r="M1817" s="14" t="s">
        <v>72</v>
      </c>
      <c r="P1817" s="14" t="s">
        <v>31</v>
      </c>
      <c r="Q1817" s="14" t="s">
        <v>31</v>
      </c>
      <c r="R1817" s="14" t="s">
        <v>779</v>
      </c>
    </row>
    <row r="1818" spans="1:18" s="14" customFormat="1" x14ac:dyDescent="0.25">
      <c r="A1818" s="14" t="str">
        <f>"84242"</f>
        <v>84242</v>
      </c>
      <c r="B1818" s="14" t="str">
        <f>"07020"</f>
        <v>07020</v>
      </c>
      <c r="C1818" s="14" t="str">
        <f>"1700"</f>
        <v>1700</v>
      </c>
      <c r="D1818" s="14" t="str">
        <f>"84242"</f>
        <v>84242</v>
      </c>
      <c r="E1818" s="14" t="s">
        <v>1759</v>
      </c>
      <c r="F1818" s="14" t="s">
        <v>1532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1760</v>
      </c>
      <c r="P1818" s="14" t="s">
        <v>31</v>
      </c>
      <c r="Q1818" s="14" t="s">
        <v>31</v>
      </c>
      <c r="R1818" s="14" t="s">
        <v>1760</v>
      </c>
    </row>
    <row r="1819" spans="1:18" s="14" customFormat="1" x14ac:dyDescent="0.25">
      <c r="A1819" s="14" t="str">
        <f>"84243"</f>
        <v>84243</v>
      </c>
      <c r="B1819" s="14" t="str">
        <f>"07020"</f>
        <v>07020</v>
      </c>
      <c r="C1819" s="14" t="str">
        <f>"1700"</f>
        <v>1700</v>
      </c>
      <c r="D1819" s="14" t="str">
        <f>"84243"</f>
        <v>84243</v>
      </c>
      <c r="E1819" s="14" t="s">
        <v>1761</v>
      </c>
      <c r="F1819" s="14" t="s">
        <v>1532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766</v>
      </c>
      <c r="L1819" s="14" t="s">
        <v>392</v>
      </c>
      <c r="P1819" s="14" t="s">
        <v>31</v>
      </c>
      <c r="Q1819" s="14" t="s">
        <v>31</v>
      </c>
      <c r="R1819" s="14" t="s">
        <v>766</v>
      </c>
    </row>
    <row r="1820" spans="1:18" s="14" customFormat="1" x14ac:dyDescent="0.25">
      <c r="A1820" s="14" t="str">
        <f>"84244"</f>
        <v>84244</v>
      </c>
      <c r="B1820" s="14" t="str">
        <f>"07020"</f>
        <v>07020</v>
      </c>
      <c r="C1820" s="14" t="str">
        <f>"1700"</f>
        <v>1700</v>
      </c>
      <c r="D1820" s="14" t="str">
        <f>"84244"</f>
        <v>84244</v>
      </c>
      <c r="E1820" s="14" t="s">
        <v>1762</v>
      </c>
      <c r="F1820" s="14" t="s">
        <v>1532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381</v>
      </c>
      <c r="L1820" s="14" t="s">
        <v>382</v>
      </c>
      <c r="M1820" s="14" t="s">
        <v>1570</v>
      </c>
      <c r="P1820" s="14" t="s">
        <v>31</v>
      </c>
      <c r="Q1820" s="14" t="s">
        <v>31</v>
      </c>
      <c r="R1820" s="14" t="s">
        <v>383</v>
      </c>
    </row>
    <row r="1821" spans="1:18" s="14" customFormat="1" x14ac:dyDescent="0.25">
      <c r="A1821" s="14" t="str">
        <f>"84245"</f>
        <v>84245</v>
      </c>
      <c r="B1821" s="14" t="str">
        <f>"07020"</f>
        <v>07020</v>
      </c>
      <c r="C1821" s="14" t="str">
        <f>"1700"</f>
        <v>1700</v>
      </c>
      <c r="D1821" s="14" t="str">
        <f>"84245"</f>
        <v>84245</v>
      </c>
      <c r="E1821" s="14" t="s">
        <v>1763</v>
      </c>
      <c r="F1821" s="14" t="s">
        <v>1532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601</v>
      </c>
      <c r="L1821" s="14" t="s">
        <v>392</v>
      </c>
      <c r="P1821" s="14" t="s">
        <v>31</v>
      </c>
      <c r="Q1821" s="14" t="s">
        <v>31</v>
      </c>
      <c r="R1821" s="14" t="s">
        <v>392</v>
      </c>
    </row>
    <row r="1822" spans="1:18" s="14" customFormat="1" x14ac:dyDescent="0.25">
      <c r="A1822" s="14" t="str">
        <f>"84246"</f>
        <v>84246</v>
      </c>
      <c r="B1822" s="14" t="str">
        <f>"07020"</f>
        <v>07020</v>
      </c>
      <c r="C1822" s="14" t="str">
        <f>"1700"</f>
        <v>1700</v>
      </c>
      <c r="D1822" s="14" t="str">
        <f>"84246"</f>
        <v>84246</v>
      </c>
      <c r="E1822" s="14" t="s">
        <v>1764</v>
      </c>
      <c r="F1822" s="14" t="s">
        <v>1532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1706</v>
      </c>
      <c r="L1822" s="14" t="s">
        <v>392</v>
      </c>
      <c r="P1822" s="14" t="s">
        <v>31</v>
      </c>
      <c r="Q1822" s="14" t="s">
        <v>31</v>
      </c>
      <c r="R1822" s="14" t="s">
        <v>1706</v>
      </c>
    </row>
    <row r="1823" spans="1:18" s="14" customFormat="1" x14ac:dyDescent="0.25">
      <c r="A1823" s="14" t="str">
        <f>"84247"</f>
        <v>84247</v>
      </c>
      <c r="B1823" s="14" t="str">
        <f>"07020"</f>
        <v>07020</v>
      </c>
      <c r="C1823" s="14" t="str">
        <f>"1700"</f>
        <v>1700</v>
      </c>
      <c r="D1823" s="14" t="str">
        <f>"84247"</f>
        <v>84247</v>
      </c>
      <c r="E1823" s="14" t="s">
        <v>1765</v>
      </c>
      <c r="F1823" s="14" t="s">
        <v>1532</v>
      </c>
      <c r="G1823" s="14" t="str">
        <f>""</f>
        <v/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824</v>
      </c>
      <c r="L1823" s="14" t="s">
        <v>72</v>
      </c>
      <c r="P1823" s="14" t="s">
        <v>31</v>
      </c>
      <c r="Q1823" s="14" t="s">
        <v>31</v>
      </c>
      <c r="R1823" s="14" t="s">
        <v>392</v>
      </c>
    </row>
    <row r="1824" spans="1:18" s="14" customFormat="1" x14ac:dyDescent="0.25">
      <c r="A1824" s="14" t="str">
        <f>"84248"</f>
        <v>84248</v>
      </c>
      <c r="B1824" s="14" t="str">
        <f>"07020"</f>
        <v>07020</v>
      </c>
      <c r="C1824" s="14" t="str">
        <f>"1700"</f>
        <v>1700</v>
      </c>
      <c r="D1824" s="14" t="str">
        <f>"84248"</f>
        <v>84248</v>
      </c>
      <c r="E1824" s="14" t="s">
        <v>1766</v>
      </c>
      <c r="F1824" s="14" t="s">
        <v>1532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1636</v>
      </c>
      <c r="L1824" s="14" t="s">
        <v>1562</v>
      </c>
      <c r="P1824" s="14" t="s">
        <v>31</v>
      </c>
      <c r="Q1824" s="14" t="s">
        <v>31</v>
      </c>
      <c r="R1824" s="14" t="s">
        <v>390</v>
      </c>
    </row>
    <row r="1825" spans="1:18" s="14" customFormat="1" x14ac:dyDescent="0.25">
      <c r="A1825" s="14" t="str">
        <f>"84252"</f>
        <v>84252</v>
      </c>
      <c r="B1825" s="14" t="str">
        <f>"07020"</f>
        <v>07020</v>
      </c>
      <c r="C1825" s="14" t="str">
        <f>"1700"</f>
        <v>1700</v>
      </c>
      <c r="D1825" s="14" t="str">
        <f>"84252"</f>
        <v>84252</v>
      </c>
      <c r="E1825" s="14" t="s">
        <v>1770</v>
      </c>
      <c r="F1825" s="14" t="s">
        <v>1532</v>
      </c>
      <c r="G1825" s="14" t="str">
        <f>""</f>
        <v/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1544</v>
      </c>
      <c r="L1825" s="14" t="s">
        <v>392</v>
      </c>
      <c r="P1825" s="14" t="s">
        <v>31</v>
      </c>
      <c r="Q1825" s="14" t="s">
        <v>31</v>
      </c>
      <c r="R1825" s="14" t="s">
        <v>1544</v>
      </c>
    </row>
    <row r="1826" spans="1:18" s="14" customFormat="1" x14ac:dyDescent="0.25">
      <c r="A1826" s="14" t="str">
        <f>"84253"</f>
        <v>84253</v>
      </c>
      <c r="B1826" s="14" t="str">
        <f>"07020"</f>
        <v>07020</v>
      </c>
      <c r="C1826" s="14" t="str">
        <f>"1700"</f>
        <v>1700</v>
      </c>
      <c r="D1826" s="14" t="str">
        <f>"84253"</f>
        <v>84253</v>
      </c>
      <c r="E1826" s="14" t="s">
        <v>1771</v>
      </c>
      <c r="F1826" s="14" t="s">
        <v>1532</v>
      </c>
      <c r="G1826" s="14" t="str">
        <f>""</f>
        <v/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1721</v>
      </c>
      <c r="L1826" s="14" t="s">
        <v>49</v>
      </c>
      <c r="P1826" s="14" t="s">
        <v>31</v>
      </c>
      <c r="Q1826" s="14" t="s">
        <v>31</v>
      </c>
      <c r="R1826" s="14" t="s">
        <v>1721</v>
      </c>
    </row>
    <row r="1827" spans="1:18" s="14" customFormat="1" x14ac:dyDescent="0.25">
      <c r="A1827" s="14" t="str">
        <f>"84254"</f>
        <v>84254</v>
      </c>
      <c r="B1827" s="14" t="str">
        <f>"07020"</f>
        <v>07020</v>
      </c>
      <c r="C1827" s="14" t="str">
        <f>"1700"</f>
        <v>1700</v>
      </c>
      <c r="D1827" s="14" t="str">
        <f>"84254"</f>
        <v>84254</v>
      </c>
      <c r="E1827" s="14" t="s">
        <v>1772</v>
      </c>
      <c r="F1827" s="14" t="s">
        <v>1532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1773</v>
      </c>
      <c r="L1827" s="14" t="s">
        <v>1553</v>
      </c>
      <c r="M1827" s="14" t="s">
        <v>72</v>
      </c>
      <c r="P1827" s="14" t="s">
        <v>31</v>
      </c>
      <c r="Q1827" s="14" t="s">
        <v>31</v>
      </c>
      <c r="R1827" s="14" t="s">
        <v>1773</v>
      </c>
    </row>
    <row r="1828" spans="1:18" s="14" customFormat="1" x14ac:dyDescent="0.25">
      <c r="A1828" s="14" t="str">
        <f>"84255"</f>
        <v>84255</v>
      </c>
      <c r="B1828" s="14" t="str">
        <f>"07020"</f>
        <v>07020</v>
      </c>
      <c r="C1828" s="14" t="str">
        <f>"1700"</f>
        <v>1700</v>
      </c>
      <c r="D1828" s="14" t="str">
        <f>"84255"</f>
        <v>84255</v>
      </c>
      <c r="E1828" s="14" t="s">
        <v>1774</v>
      </c>
      <c r="F1828" s="14" t="s">
        <v>1532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114</v>
      </c>
      <c r="L1828" s="14" t="s">
        <v>112</v>
      </c>
      <c r="M1828" s="14" t="s">
        <v>113</v>
      </c>
      <c r="P1828" s="14" t="s">
        <v>31</v>
      </c>
      <c r="Q1828" s="14" t="s">
        <v>31</v>
      </c>
      <c r="R1828" s="14" t="s">
        <v>115</v>
      </c>
    </row>
    <row r="1829" spans="1:18" s="14" customFormat="1" x14ac:dyDescent="0.25">
      <c r="A1829" s="14" t="str">
        <f>"85011"</f>
        <v>85011</v>
      </c>
      <c r="B1829" s="14" t="str">
        <f>"07030"</f>
        <v>07030</v>
      </c>
      <c r="C1829" s="14" t="str">
        <f>"8000"</f>
        <v>8000</v>
      </c>
      <c r="D1829" s="14" t="str">
        <f>"85011"</f>
        <v>85011</v>
      </c>
      <c r="E1829" s="14" t="s">
        <v>1777</v>
      </c>
      <c r="F1829" s="14" t="s">
        <v>1776</v>
      </c>
      <c r="G1829" s="14" t="str">
        <f>""</f>
        <v/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114</v>
      </c>
      <c r="L1829" s="14" t="s">
        <v>1661</v>
      </c>
      <c r="P1829" s="14" t="s">
        <v>31</v>
      </c>
      <c r="Q1829" s="14" t="s">
        <v>31</v>
      </c>
      <c r="R1829" s="14" t="s">
        <v>114</v>
      </c>
    </row>
    <row r="1830" spans="1:18" s="14" customFormat="1" x14ac:dyDescent="0.25">
      <c r="A1830" s="14" t="str">
        <f>"85014"</f>
        <v>85014</v>
      </c>
      <c r="B1830" s="14" t="str">
        <f>"07030"</f>
        <v>07030</v>
      </c>
      <c r="C1830" s="14" t="str">
        <f>"8000"</f>
        <v>8000</v>
      </c>
      <c r="D1830" s="14" t="str">
        <f>"85014"</f>
        <v>85014</v>
      </c>
      <c r="E1830" s="14" t="s">
        <v>1778</v>
      </c>
      <c r="F1830" s="14" t="s">
        <v>1776</v>
      </c>
      <c r="G1830" s="14" t="str">
        <f>""</f>
        <v/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381</v>
      </c>
      <c r="L1830" s="14" t="s">
        <v>382</v>
      </c>
      <c r="P1830" s="14" t="s">
        <v>31</v>
      </c>
      <c r="Q1830" s="14" t="s">
        <v>31</v>
      </c>
      <c r="R1830" s="14" t="s">
        <v>383</v>
      </c>
    </row>
    <row r="1831" spans="1:18" s="14" customFormat="1" x14ac:dyDescent="0.25">
      <c r="A1831" s="14" t="str">
        <f>"85025"</f>
        <v>85025</v>
      </c>
      <c r="B1831" s="14" t="str">
        <f>"07030"</f>
        <v>07030</v>
      </c>
      <c r="C1831" s="14" t="str">
        <f>"8000"</f>
        <v>8000</v>
      </c>
      <c r="D1831" s="14" t="str">
        <f>"85025"</f>
        <v>85025</v>
      </c>
      <c r="E1831" s="14" t="s">
        <v>1779</v>
      </c>
      <c r="F1831" s="14" t="s">
        <v>1776</v>
      </c>
      <c r="G1831" s="14" t="str">
        <f>""</f>
        <v/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184</v>
      </c>
      <c r="L1831" s="14" t="s">
        <v>37</v>
      </c>
      <c r="P1831" s="14" t="s">
        <v>31</v>
      </c>
      <c r="Q1831" s="14" t="s">
        <v>31</v>
      </c>
      <c r="R1831" s="14" t="s">
        <v>115</v>
      </c>
    </row>
    <row r="1832" spans="1:18" s="14" customFormat="1" x14ac:dyDescent="0.25">
      <c r="A1832" s="14" t="str">
        <f>"85029"</f>
        <v>85029</v>
      </c>
      <c r="B1832" s="14" t="str">
        <f>"07030"</f>
        <v>07030</v>
      </c>
      <c r="C1832" s="14" t="str">
        <f>"8000"</f>
        <v>8000</v>
      </c>
      <c r="D1832" s="14" t="str">
        <f>"85029"</f>
        <v>85029</v>
      </c>
      <c r="E1832" s="14" t="s">
        <v>1781</v>
      </c>
      <c r="F1832" s="14" t="s">
        <v>1776</v>
      </c>
      <c r="G1832" s="14" t="str">
        <f>""</f>
        <v/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390</v>
      </c>
      <c r="P1832" s="14" t="s">
        <v>31</v>
      </c>
      <c r="Q1832" s="14" t="s">
        <v>31</v>
      </c>
      <c r="R1832" s="14" t="s">
        <v>390</v>
      </c>
    </row>
    <row r="1833" spans="1:18" s="14" customFormat="1" x14ac:dyDescent="0.25">
      <c r="A1833" s="14" t="str">
        <f>"85057"</f>
        <v>85057</v>
      </c>
      <c r="B1833" s="14" t="str">
        <f>"07030"</f>
        <v>07030</v>
      </c>
      <c r="C1833" s="14" t="str">
        <f>"8000"</f>
        <v>8000</v>
      </c>
      <c r="D1833" s="14" t="str">
        <f>"85057"</f>
        <v>85057</v>
      </c>
      <c r="E1833" s="14" t="s">
        <v>1784</v>
      </c>
      <c r="F1833" s="14" t="s">
        <v>1776</v>
      </c>
      <c r="G1833" s="14" t="str">
        <f>""</f>
        <v/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377</v>
      </c>
      <c r="L1833" s="14" t="s">
        <v>47</v>
      </c>
      <c r="P1833" s="14" t="s">
        <v>31</v>
      </c>
      <c r="Q1833" s="14" t="s">
        <v>31</v>
      </c>
      <c r="R1833" s="14" t="s">
        <v>379</v>
      </c>
    </row>
    <row r="1834" spans="1:18" s="14" customFormat="1" x14ac:dyDescent="0.25">
      <c r="A1834" s="14" t="str">
        <f>"85072"</f>
        <v>85072</v>
      </c>
      <c r="B1834" s="14" t="str">
        <f>"01790"</f>
        <v>01790</v>
      </c>
      <c r="C1834" s="14" t="str">
        <f>"1300"</f>
        <v>1300</v>
      </c>
      <c r="D1834" s="14" t="str">
        <f>"85072"</f>
        <v>85072</v>
      </c>
      <c r="E1834" s="14" t="s">
        <v>1785</v>
      </c>
      <c r="F1834" s="14" t="s">
        <v>178</v>
      </c>
      <c r="G1834" s="14" t="str">
        <f>""</f>
        <v/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179</v>
      </c>
      <c r="L1834" s="14" t="s">
        <v>37</v>
      </c>
      <c r="M1834" s="14" t="s">
        <v>1586</v>
      </c>
      <c r="P1834" s="14" t="s">
        <v>31</v>
      </c>
      <c r="Q1834" s="14" t="s">
        <v>31</v>
      </c>
      <c r="R1834" s="14" t="s">
        <v>1586</v>
      </c>
    </row>
    <row r="1835" spans="1:18" s="14" customFormat="1" x14ac:dyDescent="0.25">
      <c r="A1835" s="14" t="str">
        <f>"85079"</f>
        <v>85079</v>
      </c>
      <c r="B1835" s="14" t="str">
        <f>"01400"</f>
        <v>01400</v>
      </c>
      <c r="C1835" s="14" t="str">
        <f>"1600"</f>
        <v>1600</v>
      </c>
      <c r="D1835" s="14" t="str">
        <f>"85079"</f>
        <v>85079</v>
      </c>
      <c r="E1835" s="14" t="s">
        <v>1786</v>
      </c>
      <c r="F1835" s="14" t="s">
        <v>117</v>
      </c>
      <c r="G1835" s="14" t="str">
        <f>""</f>
        <v/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69</v>
      </c>
      <c r="L1835" s="14" t="s">
        <v>70</v>
      </c>
      <c r="M1835" s="14" t="s">
        <v>1667</v>
      </c>
      <c r="P1835" s="14" t="s">
        <v>31</v>
      </c>
      <c r="Q1835" s="14" t="s">
        <v>31</v>
      </c>
      <c r="R1835" s="14" t="s">
        <v>1787</v>
      </c>
    </row>
    <row r="1836" spans="1:18" s="14" customFormat="1" x14ac:dyDescent="0.25">
      <c r="A1836" s="14" t="str">
        <f>"85115"</f>
        <v>85115</v>
      </c>
      <c r="B1836" s="14" t="str">
        <f>"01400"</f>
        <v>01400</v>
      </c>
      <c r="C1836" s="14" t="str">
        <f>"1600"</f>
        <v>1600</v>
      </c>
      <c r="D1836" s="14" t="str">
        <f>"85115"</f>
        <v>85115</v>
      </c>
      <c r="E1836" s="14" t="s">
        <v>1788</v>
      </c>
      <c r="F1836" s="14" t="s">
        <v>117</v>
      </c>
      <c r="G1836" s="14" t="str">
        <f>""</f>
        <v/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69</v>
      </c>
      <c r="L1836" s="14" t="s">
        <v>70</v>
      </c>
      <c r="M1836" s="14" t="s">
        <v>71</v>
      </c>
      <c r="P1836" s="14" t="s">
        <v>31</v>
      </c>
      <c r="Q1836" s="14" t="s">
        <v>31</v>
      </c>
      <c r="R1836" s="14" t="s">
        <v>69</v>
      </c>
    </row>
    <row r="1837" spans="1:18" s="14" customFormat="1" x14ac:dyDescent="0.25">
      <c r="A1837" s="14" t="str">
        <f>"85127"</f>
        <v>85127</v>
      </c>
      <c r="B1837" s="14" t="str">
        <f>"07030"</f>
        <v>07030</v>
      </c>
      <c r="C1837" s="14" t="str">
        <f>"8000"</f>
        <v>8000</v>
      </c>
      <c r="D1837" s="14" t="str">
        <f>"85127"</f>
        <v>85127</v>
      </c>
      <c r="E1837" s="14" t="s">
        <v>1792</v>
      </c>
      <c r="F1837" s="14" t="s">
        <v>1776</v>
      </c>
      <c r="G1837" s="14" t="str">
        <f>""</f>
        <v/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193</v>
      </c>
      <c r="L1837" s="14" t="s">
        <v>196</v>
      </c>
      <c r="P1837" s="14" t="s">
        <v>31</v>
      </c>
      <c r="Q1837" s="14" t="s">
        <v>31</v>
      </c>
      <c r="R1837" s="14" t="s">
        <v>1793</v>
      </c>
    </row>
    <row r="1838" spans="1:18" s="14" customFormat="1" x14ac:dyDescent="0.25">
      <c r="A1838" s="14" t="str">
        <f>"12001"</f>
        <v>12001</v>
      </c>
      <c r="B1838" s="14" t="str">
        <f>"04010"</f>
        <v>04010</v>
      </c>
      <c r="C1838" s="14" t="str">
        <f>"1400"</f>
        <v>1400</v>
      </c>
      <c r="D1838" s="14" t="str">
        <f>"12001"</f>
        <v>12001</v>
      </c>
      <c r="E1838" s="14" t="s">
        <v>486</v>
      </c>
      <c r="F1838" s="14" t="s">
        <v>361</v>
      </c>
      <c r="G1838" s="14" t="str">
        <f>""</f>
        <v/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30</v>
      </c>
      <c r="L1838" s="14" t="s">
        <v>42</v>
      </c>
      <c r="P1838" s="14" t="s">
        <v>24</v>
      </c>
      <c r="Q1838" s="14" t="s">
        <v>24</v>
      </c>
      <c r="R1838" s="14" t="s">
        <v>487</v>
      </c>
    </row>
    <row r="1839" spans="1:18" s="14" customFormat="1" x14ac:dyDescent="0.25">
      <c r="A1839" s="14" t="str">
        <f>"12002"</f>
        <v>12002</v>
      </c>
      <c r="B1839" s="14" t="str">
        <f>"04010"</f>
        <v>04010</v>
      </c>
      <c r="C1839" s="14" t="str">
        <f>"1400"</f>
        <v>1400</v>
      </c>
      <c r="D1839" s="14" t="str">
        <f>""</f>
        <v/>
      </c>
      <c r="E1839" s="14" t="s">
        <v>488</v>
      </c>
      <c r="F1839" s="14" t="s">
        <v>361</v>
      </c>
      <c r="G1839" s="14" t="str">
        <f>""</f>
        <v/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30</v>
      </c>
      <c r="L1839" s="14" t="s">
        <v>42</v>
      </c>
      <c r="P1839" s="14" t="s">
        <v>24</v>
      </c>
      <c r="Q1839" s="14" t="s">
        <v>24</v>
      </c>
      <c r="R1839" s="14" t="s">
        <v>487</v>
      </c>
    </row>
    <row r="1840" spans="1:18" s="14" customFormat="1" x14ac:dyDescent="0.25">
      <c r="A1840" s="14" t="str">
        <f>"12005"</f>
        <v>12005</v>
      </c>
      <c r="B1840" s="14" t="str">
        <f>"03000"</f>
        <v>03000</v>
      </c>
      <c r="C1840" s="14" t="str">
        <f>"1400"</f>
        <v>1400</v>
      </c>
      <c r="D1840" s="14" t="str">
        <f>""</f>
        <v/>
      </c>
      <c r="E1840" s="14" t="s">
        <v>489</v>
      </c>
      <c r="F1840" s="14" t="s">
        <v>217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34</v>
      </c>
      <c r="P1840" s="14" t="s">
        <v>24</v>
      </c>
      <c r="Q1840" s="14" t="s">
        <v>24</v>
      </c>
      <c r="R1840" s="14" t="s">
        <v>35</v>
      </c>
    </row>
    <row r="1841" spans="1:18" s="14" customFormat="1" x14ac:dyDescent="0.25">
      <c r="A1841" s="14" t="str">
        <f>"19052"</f>
        <v>19052</v>
      </c>
      <c r="B1841" s="14" t="str">
        <f>"01000"</f>
        <v>01000</v>
      </c>
      <c r="C1841" s="14" t="str">
        <f>"1200"</f>
        <v>1200</v>
      </c>
      <c r="D1841" s="14" t="str">
        <f>""</f>
        <v/>
      </c>
      <c r="E1841" s="14" t="s">
        <v>749</v>
      </c>
      <c r="F1841" s="14" t="s">
        <v>44</v>
      </c>
      <c r="G1841" s="14" t="str">
        <f>"GR0019052"</f>
        <v>GR0019052</v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37</v>
      </c>
      <c r="L1841" s="14" t="s">
        <v>34</v>
      </c>
      <c r="O1841" s="14" t="s">
        <v>38</v>
      </c>
      <c r="P1841" s="14" t="s">
        <v>39</v>
      </c>
      <c r="Q1841" s="14" t="s">
        <v>39</v>
      </c>
      <c r="R1841" s="14" t="s">
        <v>38</v>
      </c>
    </row>
    <row r="1842" spans="1:18" s="14" customFormat="1" x14ac:dyDescent="0.25">
      <c r="A1842" s="14" t="str">
        <f>"19184"</f>
        <v>19184</v>
      </c>
      <c r="B1842" s="14" t="str">
        <f>"01320"</f>
        <v>01320</v>
      </c>
      <c r="C1842" s="14" t="str">
        <f>"1200"</f>
        <v>1200</v>
      </c>
      <c r="D1842" s="14" t="str">
        <f>"19184"</f>
        <v>19184</v>
      </c>
      <c r="E1842" s="14" t="s">
        <v>756</v>
      </c>
      <c r="F1842" s="14" t="s">
        <v>103</v>
      </c>
      <c r="G1842" s="14" t="str">
        <f>"GR0019184"</f>
        <v>GR0019184</v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48</v>
      </c>
      <c r="L1842" s="14" t="s">
        <v>97</v>
      </c>
      <c r="M1842" s="14" t="s">
        <v>98</v>
      </c>
      <c r="O1842" s="14" t="s">
        <v>757</v>
      </c>
      <c r="P1842" s="14" t="s">
        <v>39</v>
      </c>
      <c r="Q1842" s="14" t="s">
        <v>39</v>
      </c>
      <c r="R1842" s="14" t="s">
        <v>49</v>
      </c>
    </row>
    <row r="1843" spans="1:18" s="14" customFormat="1" x14ac:dyDescent="0.25">
      <c r="A1843" s="14" t="str">
        <f>"19200"</f>
        <v>19200</v>
      </c>
      <c r="B1843" s="14" t="str">
        <f>"01670"</f>
        <v>01670</v>
      </c>
      <c r="C1843" s="14" t="str">
        <f>"1300"</f>
        <v>1300</v>
      </c>
      <c r="D1843" s="14" t="str">
        <f>"19200"</f>
        <v>19200</v>
      </c>
      <c r="E1843" s="14" t="s">
        <v>758</v>
      </c>
      <c r="F1843" s="14" t="s">
        <v>151</v>
      </c>
      <c r="G1843" s="14" t="str">
        <f>"GR0019200"</f>
        <v>GR0019200</v>
      </c>
      <c r="H1843" s="14" t="str">
        <f>" 10"</f>
        <v xml:space="preserve"> 10</v>
      </c>
      <c r="I1843" s="14">
        <v>0.01</v>
      </c>
      <c r="J1843" s="14">
        <v>500</v>
      </c>
      <c r="K1843" s="14" t="s">
        <v>146</v>
      </c>
      <c r="L1843" s="14" t="s">
        <v>147</v>
      </c>
      <c r="O1843" s="14" t="s">
        <v>759</v>
      </c>
      <c r="P1843" s="14" t="s">
        <v>39</v>
      </c>
      <c r="Q1843" s="14" t="s">
        <v>39</v>
      </c>
      <c r="R1843" s="14" t="s">
        <v>146</v>
      </c>
    </row>
    <row r="1844" spans="1:18" s="14" customFormat="1" x14ac:dyDescent="0.25">
      <c r="A1844" s="14" t="str">
        <f>"19200"</f>
        <v>19200</v>
      </c>
      <c r="B1844" s="14" t="str">
        <f>"01670"</f>
        <v>01670</v>
      </c>
      <c r="C1844" s="14" t="str">
        <f>"1300"</f>
        <v>1300</v>
      </c>
      <c r="D1844" s="14" t="str">
        <f>"19200"</f>
        <v>19200</v>
      </c>
      <c r="E1844" s="14" t="s">
        <v>758</v>
      </c>
      <c r="F1844" s="14" t="s">
        <v>151</v>
      </c>
      <c r="G1844" s="14" t="str">
        <f>"GR0019200"</f>
        <v>GR0019200</v>
      </c>
      <c r="H1844" s="14" t="str">
        <f>" 20"</f>
        <v xml:space="preserve"> 20</v>
      </c>
      <c r="I1844" s="14">
        <v>500.01</v>
      </c>
      <c r="J1844" s="14">
        <v>9999999.9900000002</v>
      </c>
      <c r="K1844" s="14" t="s">
        <v>147</v>
      </c>
      <c r="L1844" s="14" t="s">
        <v>148</v>
      </c>
      <c r="O1844" s="14" t="s">
        <v>759</v>
      </c>
      <c r="P1844" s="14" t="s">
        <v>39</v>
      </c>
      <c r="Q1844" s="14" t="s">
        <v>39</v>
      </c>
      <c r="R1844" s="14" t="s">
        <v>146</v>
      </c>
    </row>
    <row r="1845" spans="1:18" s="14" customFormat="1" x14ac:dyDescent="0.25">
      <c r="A1845" s="14" t="str">
        <f>"19265"</f>
        <v>19265</v>
      </c>
      <c r="B1845" s="14" t="str">
        <f>"01710"</f>
        <v>01710</v>
      </c>
      <c r="C1845" s="14" t="str">
        <f>"1300"</f>
        <v>1300</v>
      </c>
      <c r="D1845" s="14" t="str">
        <f>"19265"</f>
        <v>19265</v>
      </c>
      <c r="E1845" s="14" t="s">
        <v>776</v>
      </c>
      <c r="F1845" s="14" t="s">
        <v>161</v>
      </c>
      <c r="G1845" s="14" t="str">
        <f>"GR0019265"</f>
        <v>GR0019265</v>
      </c>
      <c r="H1845" s="14" t="str">
        <f>" 10"</f>
        <v xml:space="preserve"> 10</v>
      </c>
      <c r="I1845" s="14">
        <v>0.01</v>
      </c>
      <c r="J1845" s="14">
        <v>500</v>
      </c>
      <c r="K1845" s="14" t="s">
        <v>146</v>
      </c>
      <c r="L1845" s="14" t="s">
        <v>162</v>
      </c>
      <c r="O1845" s="14" t="s">
        <v>777</v>
      </c>
      <c r="P1845" s="14" t="s">
        <v>39</v>
      </c>
      <c r="Q1845" s="14" t="s">
        <v>39</v>
      </c>
      <c r="R1845" s="14" t="s">
        <v>146</v>
      </c>
    </row>
    <row r="1846" spans="1:18" s="14" customFormat="1" x14ac:dyDescent="0.25">
      <c r="A1846" s="14" t="str">
        <f>"19265"</f>
        <v>19265</v>
      </c>
      <c r="B1846" s="14" t="str">
        <f>"01710"</f>
        <v>01710</v>
      </c>
      <c r="C1846" s="14" t="str">
        <f>"1300"</f>
        <v>1300</v>
      </c>
      <c r="D1846" s="14" t="str">
        <f>"19265"</f>
        <v>19265</v>
      </c>
      <c r="E1846" s="14" t="s">
        <v>776</v>
      </c>
      <c r="F1846" s="14" t="s">
        <v>161</v>
      </c>
      <c r="G1846" s="14" t="str">
        <f>"GR0019265"</f>
        <v>GR0019265</v>
      </c>
      <c r="H1846" s="14" t="str">
        <f>" 20"</f>
        <v xml:space="preserve"> 20</v>
      </c>
      <c r="I1846" s="14">
        <v>500.01</v>
      </c>
      <c r="J1846" s="14">
        <v>9999999.9900000002</v>
      </c>
      <c r="K1846" s="14" t="s">
        <v>162</v>
      </c>
      <c r="L1846" s="14" t="s">
        <v>147</v>
      </c>
      <c r="M1846" s="14" t="s">
        <v>154</v>
      </c>
      <c r="O1846" s="14" t="s">
        <v>777</v>
      </c>
      <c r="P1846" s="14" t="s">
        <v>39</v>
      </c>
      <c r="Q1846" s="14" t="s">
        <v>39</v>
      </c>
      <c r="R1846" s="14" t="s">
        <v>146</v>
      </c>
    </row>
    <row r="1847" spans="1:18" s="14" customFormat="1" x14ac:dyDescent="0.25">
      <c r="A1847" s="14" t="str">
        <f>"19270"</f>
        <v>19270</v>
      </c>
      <c r="B1847" s="14" t="str">
        <f>"01760"</f>
        <v>01760</v>
      </c>
      <c r="C1847" s="14" t="str">
        <f>"1300"</f>
        <v>1300</v>
      </c>
      <c r="D1847" s="14" t="str">
        <f>"19270"</f>
        <v>19270</v>
      </c>
      <c r="E1847" s="14" t="s">
        <v>780</v>
      </c>
      <c r="F1847" s="14" t="s">
        <v>168</v>
      </c>
      <c r="G1847" s="14" t="str">
        <f>"GR0019270"</f>
        <v>GR0019270</v>
      </c>
      <c r="H1847" s="14" t="str">
        <f>" 10"</f>
        <v xml:space="preserve"> 10</v>
      </c>
      <c r="I1847" s="14">
        <v>0.01</v>
      </c>
      <c r="J1847" s="14">
        <v>500</v>
      </c>
      <c r="K1847" s="14" t="s">
        <v>146</v>
      </c>
      <c r="L1847" s="14" t="s">
        <v>169</v>
      </c>
      <c r="O1847" s="14" t="s">
        <v>781</v>
      </c>
      <c r="P1847" s="14" t="s">
        <v>39</v>
      </c>
      <c r="Q1847" s="14" t="s">
        <v>39</v>
      </c>
      <c r="R1847" s="14" t="s">
        <v>146</v>
      </c>
    </row>
    <row r="1848" spans="1:18" s="14" customFormat="1" x14ac:dyDescent="0.25">
      <c r="A1848" s="14" t="str">
        <f>"19270"</f>
        <v>19270</v>
      </c>
      <c r="B1848" s="14" t="str">
        <f>"01760"</f>
        <v>01760</v>
      </c>
      <c r="C1848" s="14" t="str">
        <f>"1300"</f>
        <v>1300</v>
      </c>
      <c r="D1848" s="14" t="str">
        <f>"19270"</f>
        <v>19270</v>
      </c>
      <c r="E1848" s="14" t="s">
        <v>780</v>
      </c>
      <c r="F1848" s="14" t="s">
        <v>168</v>
      </c>
      <c r="G1848" s="14" t="str">
        <f>"GR0019270"</f>
        <v>GR0019270</v>
      </c>
      <c r="H1848" s="14" t="str">
        <f>" 20"</f>
        <v xml:space="preserve"> 20</v>
      </c>
      <c r="I1848" s="14">
        <v>500.01</v>
      </c>
      <c r="J1848" s="14">
        <v>9999999.9900000002</v>
      </c>
      <c r="K1848" s="14" t="s">
        <v>169</v>
      </c>
      <c r="L1848" s="14" t="s">
        <v>147</v>
      </c>
      <c r="M1848" s="14" t="s">
        <v>154</v>
      </c>
      <c r="O1848" s="14" t="s">
        <v>781</v>
      </c>
      <c r="P1848" s="14" t="s">
        <v>39</v>
      </c>
      <c r="Q1848" s="14" t="s">
        <v>39</v>
      </c>
      <c r="R1848" s="14" t="s">
        <v>146</v>
      </c>
    </row>
    <row r="1849" spans="1:18" s="14" customFormat="1" x14ac:dyDescent="0.25">
      <c r="A1849" s="14" t="str">
        <f>"19293"</f>
        <v>19293</v>
      </c>
      <c r="B1849" s="14" t="str">
        <f>"01670"</f>
        <v>01670</v>
      </c>
      <c r="C1849" s="14" t="str">
        <f>"1300"</f>
        <v>1300</v>
      </c>
      <c r="D1849" s="14" t="str">
        <f>"19293"</f>
        <v>19293</v>
      </c>
      <c r="E1849" s="14" t="s">
        <v>815</v>
      </c>
      <c r="F1849" s="14" t="s">
        <v>151</v>
      </c>
      <c r="G1849" s="14" t="str">
        <f>"GR0019293"</f>
        <v>GR0019293</v>
      </c>
      <c r="H1849" s="14" t="str">
        <f>" 10"</f>
        <v xml:space="preserve"> 10</v>
      </c>
      <c r="I1849" s="14">
        <v>0.01</v>
      </c>
      <c r="J1849" s="14">
        <v>500</v>
      </c>
      <c r="K1849" s="14" t="s">
        <v>146</v>
      </c>
      <c r="L1849" s="14" t="s">
        <v>147</v>
      </c>
      <c r="O1849" s="14" t="s">
        <v>816</v>
      </c>
      <c r="P1849" s="14" t="s">
        <v>39</v>
      </c>
      <c r="Q1849" s="14" t="s">
        <v>39</v>
      </c>
      <c r="R1849" s="14" t="s">
        <v>146</v>
      </c>
    </row>
    <row r="1850" spans="1:18" s="14" customFormat="1" x14ac:dyDescent="0.25">
      <c r="A1850" s="14" t="str">
        <f>"19293"</f>
        <v>19293</v>
      </c>
      <c r="B1850" s="14" t="str">
        <f>"01670"</f>
        <v>01670</v>
      </c>
      <c r="C1850" s="14" t="str">
        <f>"1300"</f>
        <v>1300</v>
      </c>
      <c r="D1850" s="14" t="str">
        <f>"19293"</f>
        <v>19293</v>
      </c>
      <c r="E1850" s="14" t="s">
        <v>815</v>
      </c>
      <c r="F1850" s="14" t="s">
        <v>151</v>
      </c>
      <c r="G1850" s="14" t="str">
        <f>"GR0019293"</f>
        <v>GR0019293</v>
      </c>
      <c r="H1850" s="14" t="str">
        <f>" 20"</f>
        <v xml:space="preserve"> 20</v>
      </c>
      <c r="I1850" s="14">
        <v>500.01</v>
      </c>
      <c r="J1850" s="14">
        <v>9999999.9900000002</v>
      </c>
      <c r="K1850" s="14" t="s">
        <v>147</v>
      </c>
      <c r="L1850" s="14" t="s">
        <v>148</v>
      </c>
      <c r="O1850" s="14" t="s">
        <v>816</v>
      </c>
      <c r="P1850" s="14" t="s">
        <v>39</v>
      </c>
      <c r="Q1850" s="14" t="s">
        <v>39</v>
      </c>
      <c r="R1850" s="14" t="s">
        <v>146</v>
      </c>
    </row>
    <row r="1851" spans="1:18" s="14" customFormat="1" x14ac:dyDescent="0.25">
      <c r="A1851" s="14" t="str">
        <f>"19294"</f>
        <v>19294</v>
      </c>
      <c r="B1851" s="14" t="str">
        <f>"01765"</f>
        <v>01765</v>
      </c>
      <c r="C1851" s="14" t="str">
        <f>"1300"</f>
        <v>1300</v>
      </c>
      <c r="D1851" s="14" t="str">
        <f>"19294"</f>
        <v>19294</v>
      </c>
      <c r="E1851" s="14" t="s">
        <v>817</v>
      </c>
      <c r="F1851" s="14" t="s">
        <v>170</v>
      </c>
      <c r="G1851" s="14" t="str">
        <f>"GR0019294"</f>
        <v>GR0019294</v>
      </c>
      <c r="H1851" s="14" t="str">
        <f>" 10"</f>
        <v xml:space="preserve"> 10</v>
      </c>
      <c r="I1851" s="14">
        <v>0.01</v>
      </c>
      <c r="J1851" s="14">
        <v>500</v>
      </c>
      <c r="K1851" s="14" t="s">
        <v>146</v>
      </c>
      <c r="L1851" s="14" t="s">
        <v>147</v>
      </c>
      <c r="O1851" s="14" t="s">
        <v>818</v>
      </c>
      <c r="P1851" s="14" t="s">
        <v>39</v>
      </c>
      <c r="Q1851" s="14" t="s">
        <v>39</v>
      </c>
      <c r="R1851" s="14" t="s">
        <v>146</v>
      </c>
    </row>
    <row r="1852" spans="1:18" s="14" customFormat="1" x14ac:dyDescent="0.25">
      <c r="A1852" s="14" t="str">
        <f>"19294"</f>
        <v>19294</v>
      </c>
      <c r="B1852" s="14" t="str">
        <f>"01765"</f>
        <v>01765</v>
      </c>
      <c r="C1852" s="14" t="str">
        <f>"1300"</f>
        <v>1300</v>
      </c>
      <c r="D1852" s="14" t="str">
        <f>"19294"</f>
        <v>19294</v>
      </c>
      <c r="E1852" s="14" t="s">
        <v>817</v>
      </c>
      <c r="F1852" s="14" t="s">
        <v>170</v>
      </c>
      <c r="G1852" s="14" t="str">
        <f>"GR0019294"</f>
        <v>GR0019294</v>
      </c>
      <c r="H1852" s="14" t="str">
        <f>" 20"</f>
        <v xml:space="preserve"> 20</v>
      </c>
      <c r="I1852" s="14">
        <v>500.01</v>
      </c>
      <c r="J1852" s="14">
        <v>9999999.9900000002</v>
      </c>
      <c r="K1852" s="14" t="s">
        <v>147</v>
      </c>
      <c r="L1852" s="14" t="s">
        <v>171</v>
      </c>
      <c r="O1852" s="14" t="s">
        <v>818</v>
      </c>
      <c r="P1852" s="14" t="s">
        <v>39</v>
      </c>
      <c r="Q1852" s="14" t="s">
        <v>39</v>
      </c>
      <c r="R1852" s="14" t="s">
        <v>146</v>
      </c>
    </row>
    <row r="1853" spans="1:18" s="14" customFormat="1" x14ac:dyDescent="0.25">
      <c r="A1853" s="14" t="str">
        <f>"19295"</f>
        <v>19295</v>
      </c>
      <c r="B1853" s="14" t="str">
        <f>"01320"</f>
        <v>01320</v>
      </c>
      <c r="C1853" s="14" t="str">
        <f>"1200"</f>
        <v>1200</v>
      </c>
      <c r="D1853" s="14" t="str">
        <f>"19295"</f>
        <v>19295</v>
      </c>
      <c r="E1853" s="14" t="s">
        <v>819</v>
      </c>
      <c r="F1853" s="14" t="s">
        <v>103</v>
      </c>
      <c r="G1853" s="14" t="str">
        <f>"GR0019295"</f>
        <v>GR0019295</v>
      </c>
      <c r="H1853" s="14" t="str">
        <f>" 00"</f>
        <v xml:space="preserve"> 00</v>
      </c>
      <c r="I1853" s="14">
        <v>0.01</v>
      </c>
      <c r="J1853" s="14">
        <v>9999999.9900000002</v>
      </c>
      <c r="K1853" s="14" t="s">
        <v>48</v>
      </c>
      <c r="L1853" s="14" t="s">
        <v>97</v>
      </c>
      <c r="M1853" s="14" t="s">
        <v>98</v>
      </c>
      <c r="O1853" s="14" t="s">
        <v>820</v>
      </c>
      <c r="P1853" s="14" t="s">
        <v>39</v>
      </c>
      <c r="Q1853" s="14" t="s">
        <v>39</v>
      </c>
      <c r="R1853" s="14" t="s">
        <v>49</v>
      </c>
    </row>
    <row r="1854" spans="1:18" s="14" customFormat="1" x14ac:dyDescent="0.25">
      <c r="A1854" s="14" t="str">
        <f>"85008"</f>
        <v>85008</v>
      </c>
      <c r="B1854" s="14" t="str">
        <f>"07030"</f>
        <v>07030</v>
      </c>
      <c r="C1854" s="14" t="str">
        <f>"8000"</f>
        <v>8000</v>
      </c>
      <c r="D1854" s="14" t="str">
        <f>"85008"</f>
        <v>85008</v>
      </c>
      <c r="E1854" s="14" t="s">
        <v>1775</v>
      </c>
      <c r="F1854" s="14" t="s">
        <v>1776</v>
      </c>
      <c r="G1854" s="14" t="str">
        <f>""</f>
        <v/>
      </c>
      <c r="H1854" s="14" t="str">
        <f>" 10"</f>
        <v xml:space="preserve"> 10</v>
      </c>
      <c r="I1854" s="14">
        <v>0.01</v>
      </c>
      <c r="J1854" s="14">
        <v>500</v>
      </c>
      <c r="K1854" s="14" t="s">
        <v>410</v>
      </c>
      <c r="L1854" s="14" t="s">
        <v>411</v>
      </c>
      <c r="M1854" s="14" t="s">
        <v>412</v>
      </c>
      <c r="N1854" s="14" t="s">
        <v>413</v>
      </c>
      <c r="P1854" s="14" t="s">
        <v>39</v>
      </c>
      <c r="Q1854" s="14" t="s">
        <v>39</v>
      </c>
      <c r="R1854" s="14" t="s">
        <v>410</v>
      </c>
    </row>
    <row r="1855" spans="1:18" s="14" customFormat="1" x14ac:dyDescent="0.25">
      <c r="A1855" s="14" t="str">
        <f>"85008"</f>
        <v>85008</v>
      </c>
      <c r="B1855" s="14" t="str">
        <f>"07030"</f>
        <v>07030</v>
      </c>
      <c r="C1855" s="14" t="str">
        <f>"8000"</f>
        <v>8000</v>
      </c>
      <c r="D1855" s="14" t="str">
        <f>"85008"</f>
        <v>85008</v>
      </c>
      <c r="E1855" s="14" t="s">
        <v>1775</v>
      </c>
      <c r="F1855" s="14" t="s">
        <v>1776</v>
      </c>
      <c r="G1855" s="14" t="str">
        <f>""</f>
        <v/>
      </c>
      <c r="H1855" s="14" t="str">
        <f>" 20"</f>
        <v xml:space="preserve"> 20</v>
      </c>
      <c r="I1855" s="14">
        <v>500.01</v>
      </c>
      <c r="J1855" s="14">
        <v>9999999.9900000002</v>
      </c>
      <c r="K1855" s="14" t="s">
        <v>414</v>
      </c>
      <c r="L1855" s="14" t="s">
        <v>411</v>
      </c>
      <c r="M1855" s="14" t="s">
        <v>412</v>
      </c>
      <c r="P1855" s="14" t="s">
        <v>39</v>
      </c>
      <c r="Q1855" s="14" t="s">
        <v>39</v>
      </c>
      <c r="R1855" s="14" t="s">
        <v>410</v>
      </c>
    </row>
    <row r="1856" spans="1:18" s="14" customFormat="1" x14ac:dyDescent="0.25">
      <c r="A1856" s="14" t="str">
        <f>"85026"</f>
        <v>85026</v>
      </c>
      <c r="B1856" s="14" t="str">
        <f>"07030"</f>
        <v>07030</v>
      </c>
      <c r="C1856" s="14" t="str">
        <f>"8000"</f>
        <v>8000</v>
      </c>
      <c r="D1856" s="14" t="str">
        <f>"85026"</f>
        <v>85026</v>
      </c>
      <c r="E1856" s="14" t="s">
        <v>1780</v>
      </c>
      <c r="F1856" s="14" t="s">
        <v>1776</v>
      </c>
      <c r="G1856" s="14" t="str">
        <f>""</f>
        <v/>
      </c>
      <c r="H1856" s="14" t="str">
        <f>" 10"</f>
        <v xml:space="preserve"> 10</v>
      </c>
      <c r="I1856" s="14">
        <v>0.01</v>
      </c>
      <c r="J1856" s="14">
        <v>500</v>
      </c>
      <c r="K1856" s="14" t="s">
        <v>146</v>
      </c>
      <c r="L1856" s="14" t="s">
        <v>162</v>
      </c>
      <c r="P1856" s="14" t="s">
        <v>39</v>
      </c>
      <c r="Q1856" s="14" t="s">
        <v>39</v>
      </c>
      <c r="R1856" s="14" t="s">
        <v>146</v>
      </c>
    </row>
    <row r="1857" spans="1:18" s="14" customFormat="1" x14ac:dyDescent="0.25">
      <c r="A1857" s="14" t="str">
        <f>"85026"</f>
        <v>85026</v>
      </c>
      <c r="B1857" s="14" t="str">
        <f>"07030"</f>
        <v>07030</v>
      </c>
      <c r="C1857" s="14" t="str">
        <f>"8000"</f>
        <v>8000</v>
      </c>
      <c r="D1857" s="14" t="str">
        <f>"85026"</f>
        <v>85026</v>
      </c>
      <c r="E1857" s="14" t="s">
        <v>1780</v>
      </c>
      <c r="F1857" s="14" t="s">
        <v>1776</v>
      </c>
      <c r="G1857" s="14" t="str">
        <f>""</f>
        <v/>
      </c>
      <c r="H1857" s="14" t="str">
        <f>" 20"</f>
        <v xml:space="preserve"> 20</v>
      </c>
      <c r="I1857" s="14">
        <v>500.01</v>
      </c>
      <c r="J1857" s="14">
        <v>9999999.9900000002</v>
      </c>
      <c r="K1857" s="14" t="s">
        <v>162</v>
      </c>
      <c r="L1857" s="14" t="s">
        <v>147</v>
      </c>
      <c r="M1857" s="14" t="s">
        <v>156</v>
      </c>
      <c r="P1857" s="14" t="s">
        <v>39</v>
      </c>
      <c r="Q1857" s="14" t="s">
        <v>39</v>
      </c>
      <c r="R1857" s="14" t="s">
        <v>146</v>
      </c>
    </row>
    <row r="1858" spans="1:18" s="14" customFormat="1" x14ac:dyDescent="0.25">
      <c r="A1858" s="14" t="str">
        <f>"85038"</f>
        <v>85038</v>
      </c>
      <c r="B1858" s="14" t="str">
        <f>"07030"</f>
        <v>07030</v>
      </c>
      <c r="C1858" s="14" t="str">
        <f>"8000"</f>
        <v>8000</v>
      </c>
      <c r="D1858" s="14" t="str">
        <f>"85038"</f>
        <v>85038</v>
      </c>
      <c r="E1858" s="14" t="s">
        <v>1782</v>
      </c>
      <c r="F1858" s="14" t="s">
        <v>1776</v>
      </c>
      <c r="G1858" s="14" t="str">
        <f>""</f>
        <v/>
      </c>
      <c r="H1858" s="14" t="str">
        <f>" 00"</f>
        <v xml:space="preserve"> 00</v>
      </c>
      <c r="I1858" s="14">
        <v>0.01</v>
      </c>
      <c r="J1858" s="14">
        <v>9999999.9900000002</v>
      </c>
      <c r="K1858" s="14" t="s">
        <v>898</v>
      </c>
      <c r="L1858" s="14" t="s">
        <v>72</v>
      </c>
      <c r="P1858" s="14" t="s">
        <v>39</v>
      </c>
      <c r="Q1858" s="14" t="s">
        <v>39</v>
      </c>
      <c r="R1858" s="14" t="s">
        <v>72</v>
      </c>
    </row>
    <row r="1859" spans="1:18" s="14" customFormat="1" x14ac:dyDescent="0.25">
      <c r="A1859" s="14" t="str">
        <f>"85055"</f>
        <v>85055</v>
      </c>
      <c r="B1859" s="14" t="str">
        <f>"07030"</f>
        <v>07030</v>
      </c>
      <c r="C1859" s="14" t="str">
        <f>"8000"</f>
        <v>8000</v>
      </c>
      <c r="D1859" s="14" t="str">
        <f>"85055"</f>
        <v>85055</v>
      </c>
      <c r="E1859" s="14" t="s">
        <v>1783</v>
      </c>
      <c r="F1859" s="14" t="s">
        <v>1776</v>
      </c>
      <c r="G1859" s="14" t="str">
        <f>""</f>
        <v/>
      </c>
      <c r="H1859" s="14" t="str">
        <f>" 10"</f>
        <v xml:space="preserve"> 10</v>
      </c>
      <c r="I1859" s="14">
        <v>0.01</v>
      </c>
      <c r="J1859" s="14">
        <v>500</v>
      </c>
      <c r="K1859" s="14" t="s">
        <v>146</v>
      </c>
      <c r="L1859" s="14" t="s">
        <v>147</v>
      </c>
      <c r="P1859" s="14" t="s">
        <v>39</v>
      </c>
      <c r="Q1859" s="14" t="s">
        <v>39</v>
      </c>
      <c r="R1859" s="14" t="s">
        <v>146</v>
      </c>
    </row>
    <row r="1860" spans="1:18" s="14" customFormat="1" x14ac:dyDescent="0.25">
      <c r="A1860" s="14" t="str">
        <f>"85055"</f>
        <v>85055</v>
      </c>
      <c r="B1860" s="14" t="str">
        <f>"07030"</f>
        <v>07030</v>
      </c>
      <c r="C1860" s="14" t="str">
        <f>"8000"</f>
        <v>8000</v>
      </c>
      <c r="D1860" s="14" t="str">
        <f>"85055"</f>
        <v>85055</v>
      </c>
      <c r="E1860" s="14" t="s">
        <v>1783</v>
      </c>
      <c r="F1860" s="14" t="s">
        <v>1776</v>
      </c>
      <c r="G1860" s="14" t="str">
        <f>""</f>
        <v/>
      </c>
      <c r="H1860" s="14" t="str">
        <f>" 20"</f>
        <v xml:space="preserve"> 20</v>
      </c>
      <c r="I1860" s="14">
        <v>500.01</v>
      </c>
      <c r="J1860" s="14">
        <v>9999999.9900000002</v>
      </c>
      <c r="K1860" s="14" t="s">
        <v>147</v>
      </c>
      <c r="L1860" s="14" t="s">
        <v>146</v>
      </c>
      <c r="P1860" s="14" t="s">
        <v>39</v>
      </c>
      <c r="Q1860" s="14" t="s">
        <v>39</v>
      </c>
      <c r="R1860" s="14" t="s">
        <v>146</v>
      </c>
    </row>
    <row r="1861" spans="1:18" s="14" customFormat="1" x14ac:dyDescent="0.25">
      <c r="A1861" s="14" t="str">
        <f>"85121"</f>
        <v>85121</v>
      </c>
      <c r="B1861" s="14" t="str">
        <f>"07030"</f>
        <v>07030</v>
      </c>
      <c r="C1861" s="14" t="str">
        <f>"8000"</f>
        <v>8000</v>
      </c>
      <c r="D1861" s="14" t="str">
        <f>"85121"</f>
        <v>85121</v>
      </c>
      <c r="E1861" s="14" t="s">
        <v>1790</v>
      </c>
      <c r="F1861" s="14" t="s">
        <v>1776</v>
      </c>
      <c r="G1861" s="14" t="str">
        <f>""</f>
        <v/>
      </c>
      <c r="H1861" s="14" t="str">
        <f>" 00"</f>
        <v xml:space="preserve"> 00</v>
      </c>
      <c r="I1861" s="14">
        <v>0.01</v>
      </c>
      <c r="J1861" s="14">
        <v>9999999.9900000002</v>
      </c>
      <c r="K1861" s="14" t="s">
        <v>48</v>
      </c>
      <c r="L1861" s="14" t="s">
        <v>97</v>
      </c>
      <c r="M1861" s="14" t="s">
        <v>98</v>
      </c>
      <c r="P1861" s="14" t="s">
        <v>39</v>
      </c>
      <c r="Q1861" s="14" t="s">
        <v>39</v>
      </c>
      <c r="R1861" s="14" t="s">
        <v>98</v>
      </c>
    </row>
    <row r="1862" spans="1:18" s="14" customFormat="1" x14ac:dyDescent="0.25">
      <c r="A1862" s="14" t="str">
        <f>"85124"</f>
        <v>85124</v>
      </c>
      <c r="B1862" s="14" t="str">
        <f>"07030"</f>
        <v>07030</v>
      </c>
      <c r="C1862" s="14" t="str">
        <f>"8000"</f>
        <v>8000</v>
      </c>
      <c r="D1862" s="14" t="str">
        <f>"85124"</f>
        <v>85124</v>
      </c>
      <c r="E1862" s="14" t="s">
        <v>1791</v>
      </c>
      <c r="F1862" s="14" t="s">
        <v>1776</v>
      </c>
      <c r="G1862" s="14" t="str">
        <f>""</f>
        <v/>
      </c>
      <c r="H1862" s="14" t="str">
        <f>" 00"</f>
        <v xml:space="preserve"> 00</v>
      </c>
      <c r="I1862" s="14">
        <v>0.01</v>
      </c>
      <c r="J1862" s="14">
        <v>9999999.9900000002</v>
      </c>
      <c r="K1862" s="14" t="s">
        <v>404</v>
      </c>
      <c r="L1862" s="14" t="s">
        <v>405</v>
      </c>
      <c r="P1862" s="14" t="s">
        <v>39</v>
      </c>
      <c r="Q1862" s="14" t="s">
        <v>39</v>
      </c>
      <c r="R1862" s="14" t="s">
        <v>403</v>
      </c>
    </row>
    <row r="1863" spans="1:18" s="14" customFormat="1" x14ac:dyDescent="0.25"/>
    <row r="1864" spans="1:18" s="14" customFormat="1" x14ac:dyDescent="0.25"/>
    <row r="1865" spans="1:18" s="14" customFormat="1" x14ac:dyDescent="0.25"/>
    <row r="1866" spans="1:18" s="14" customFormat="1" x14ac:dyDescent="0.25"/>
    <row r="1867" spans="1:18" s="14" customFormat="1" x14ac:dyDescent="0.25"/>
    <row r="1868" spans="1:18" s="14" customFormat="1" x14ac:dyDescent="0.25"/>
    <row r="1869" spans="1:18" s="14" customFormat="1" x14ac:dyDescent="0.25"/>
    <row r="1870" spans="1:18" s="14" customFormat="1" x14ac:dyDescent="0.25"/>
    <row r="1871" spans="1:18" s="14" customFormat="1" x14ac:dyDescent="0.25"/>
    <row r="1872" spans="1:18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62">
    <sortCondition ref="Q3:Q186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037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6.5" customHeight="1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"18501"</f>
        <v>18501</v>
      </c>
      <c r="B3" s="14" t="str">
        <f>"01400"</f>
        <v>01400</v>
      </c>
      <c r="C3" s="14" t="str">
        <f>"1300"</f>
        <v>1300</v>
      </c>
      <c r="D3" s="14" t="str">
        <f>""</f>
        <v/>
      </c>
      <c r="E3" s="14" t="s">
        <v>700</v>
      </c>
      <c r="F3" s="14" t="s">
        <v>117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69</v>
      </c>
      <c r="L3" s="14" t="s">
        <v>70</v>
      </c>
      <c r="M3" s="14" t="s">
        <v>70</v>
      </c>
      <c r="N3" s="14" t="s">
        <v>71</v>
      </c>
      <c r="P3" s="14" t="s">
        <v>701</v>
      </c>
      <c r="Q3" s="14" t="s">
        <v>25</v>
      </c>
      <c r="R3" s="14" t="s">
        <v>72</v>
      </c>
    </row>
    <row r="4" spans="1:19" s="14" customFormat="1" x14ac:dyDescent="0.25">
      <c r="A4" s="14" t="str">
        <f>"18502"</f>
        <v>18502</v>
      </c>
      <c r="B4" s="14" t="str">
        <f>"01780"</f>
        <v>01780</v>
      </c>
      <c r="C4" s="14" t="str">
        <f>"1300"</f>
        <v>1300</v>
      </c>
      <c r="D4" s="14" t="str">
        <f>""</f>
        <v/>
      </c>
      <c r="E4" s="14" t="s">
        <v>702</v>
      </c>
      <c r="F4" s="14" t="s">
        <v>175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112</v>
      </c>
      <c r="L4" s="14" t="s">
        <v>113</v>
      </c>
      <c r="M4" s="14" t="s">
        <v>114</v>
      </c>
      <c r="P4" s="14" t="s">
        <v>701</v>
      </c>
      <c r="Q4" s="14" t="s">
        <v>25</v>
      </c>
      <c r="R4" s="14" t="s">
        <v>115</v>
      </c>
    </row>
    <row r="5" spans="1:19" s="14" customFormat="1" x14ac:dyDescent="0.25">
      <c r="A5" s="14" t="str">
        <f>"18503"</f>
        <v>18503</v>
      </c>
      <c r="B5" s="14" t="str">
        <f>"01660"</f>
        <v>01660</v>
      </c>
      <c r="C5" s="14" t="str">
        <f>"1300"</f>
        <v>1300</v>
      </c>
      <c r="D5" s="14" t="str">
        <f>""</f>
        <v/>
      </c>
      <c r="E5" s="14" t="s">
        <v>703</v>
      </c>
      <c r="F5" s="14" t="s">
        <v>145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147</v>
      </c>
      <c r="L5" s="14" t="s">
        <v>148</v>
      </c>
      <c r="P5" s="14" t="s">
        <v>701</v>
      </c>
      <c r="Q5" s="14" t="s">
        <v>25</v>
      </c>
      <c r="R5" s="14" t="s">
        <v>146</v>
      </c>
    </row>
    <row r="6" spans="1:19" s="14" customFormat="1" x14ac:dyDescent="0.25">
      <c r="A6" s="14" t="str">
        <f>"18504"</f>
        <v>18504</v>
      </c>
      <c r="B6" s="14" t="str">
        <f>"01300"</f>
        <v>01300</v>
      </c>
      <c r="C6" s="14" t="str">
        <f>"1300"</f>
        <v>1300</v>
      </c>
      <c r="D6" s="14" t="str">
        <f>""</f>
        <v/>
      </c>
      <c r="E6" s="14" t="s">
        <v>704</v>
      </c>
      <c r="F6" s="14" t="s">
        <v>96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48</v>
      </c>
      <c r="L6" s="14" t="s">
        <v>97</v>
      </c>
      <c r="M6" s="14" t="s">
        <v>98</v>
      </c>
      <c r="P6" s="14" t="s">
        <v>701</v>
      </c>
      <c r="Q6" s="14" t="s">
        <v>25</v>
      </c>
      <c r="R6" s="14" t="s">
        <v>49</v>
      </c>
    </row>
    <row r="7" spans="1:19" s="14" customFormat="1" x14ac:dyDescent="0.25">
      <c r="A7" s="14" t="str">
        <f>"18506"</f>
        <v>18506</v>
      </c>
      <c r="B7" s="14" t="str">
        <f>"01370"</f>
        <v>01370</v>
      </c>
      <c r="C7" s="14" t="str">
        <f>"1300"</f>
        <v>1300</v>
      </c>
      <c r="D7" s="14" t="str">
        <f>""</f>
        <v/>
      </c>
      <c r="E7" s="14" t="s">
        <v>705</v>
      </c>
      <c r="F7" s="14" t="s">
        <v>108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69</v>
      </c>
      <c r="L7" s="14" t="s">
        <v>109</v>
      </c>
      <c r="M7" s="14" t="s">
        <v>70</v>
      </c>
      <c r="N7" s="14" t="s">
        <v>71</v>
      </c>
      <c r="P7" s="14" t="s">
        <v>701</v>
      </c>
      <c r="Q7" s="14" t="s">
        <v>25</v>
      </c>
      <c r="R7" s="14" t="s">
        <v>109</v>
      </c>
    </row>
    <row r="8" spans="1:19" s="14" customFormat="1" x14ac:dyDescent="0.25">
      <c r="A8" s="14" t="str">
        <f>"18507"</f>
        <v>18507</v>
      </c>
      <c r="B8" s="14" t="str">
        <f>"01670"</f>
        <v>01670</v>
      </c>
      <c r="C8" s="14" t="str">
        <f>"1300"</f>
        <v>1300</v>
      </c>
      <c r="D8" s="14" t="str">
        <f>""</f>
        <v/>
      </c>
      <c r="E8" s="14" t="s">
        <v>706</v>
      </c>
      <c r="F8" s="14" t="s">
        <v>151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147</v>
      </c>
      <c r="L8" s="14" t="s">
        <v>148</v>
      </c>
      <c r="P8" s="14" t="s">
        <v>701</v>
      </c>
      <c r="Q8" s="14" t="s">
        <v>25</v>
      </c>
      <c r="R8" s="14" t="s">
        <v>146</v>
      </c>
    </row>
    <row r="9" spans="1:19" s="14" customFormat="1" x14ac:dyDescent="0.25">
      <c r="A9" s="14" t="str">
        <f>"18508"</f>
        <v>18508</v>
      </c>
      <c r="B9" s="14" t="str">
        <f>"01230"</f>
        <v>01230</v>
      </c>
      <c r="C9" s="14" t="str">
        <f>"1300"</f>
        <v>1300</v>
      </c>
      <c r="D9" s="14" t="str">
        <f>""</f>
        <v/>
      </c>
      <c r="E9" s="14" t="s">
        <v>707</v>
      </c>
      <c r="F9" s="14" t="s">
        <v>75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76</v>
      </c>
      <c r="L9" s="14" t="s">
        <v>78</v>
      </c>
      <c r="P9" s="14" t="s">
        <v>701</v>
      </c>
      <c r="Q9" s="14" t="s">
        <v>25</v>
      </c>
      <c r="R9" s="14" t="s">
        <v>79</v>
      </c>
    </row>
    <row r="10" spans="1:19" s="14" customFormat="1" x14ac:dyDescent="0.25">
      <c r="A10" s="14" t="str">
        <f>"18509"</f>
        <v>18509</v>
      </c>
      <c r="B10" s="14" t="str">
        <f>"01241"</f>
        <v>01241</v>
      </c>
      <c r="C10" s="14" t="str">
        <f>"1300"</f>
        <v>1300</v>
      </c>
      <c r="D10" s="14" t="str">
        <f>""</f>
        <v/>
      </c>
      <c r="E10" s="14" t="s">
        <v>708</v>
      </c>
      <c r="F10" s="14" t="s">
        <v>82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83</v>
      </c>
      <c r="L10" s="14" t="s">
        <v>37</v>
      </c>
      <c r="M10" s="14" t="s">
        <v>84</v>
      </c>
      <c r="P10" s="14" t="s">
        <v>701</v>
      </c>
      <c r="Q10" s="14" t="s">
        <v>25</v>
      </c>
      <c r="R10" s="14" t="s">
        <v>38</v>
      </c>
    </row>
    <row r="11" spans="1:19" s="14" customFormat="1" x14ac:dyDescent="0.25">
      <c r="A11" s="14" t="str">
        <f>"18510"</f>
        <v>18510</v>
      </c>
      <c r="B11" s="14" t="str">
        <f>"01030"</f>
        <v>01030</v>
      </c>
      <c r="C11" s="14" t="str">
        <f>"1600"</f>
        <v>1600</v>
      </c>
      <c r="D11" s="14" t="str">
        <f>""</f>
        <v/>
      </c>
      <c r="E11" s="14" t="s">
        <v>709</v>
      </c>
      <c r="F11" s="14" t="s">
        <v>52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53</v>
      </c>
      <c r="L11" s="14" t="s">
        <v>54</v>
      </c>
      <c r="M11" s="14" t="s">
        <v>55</v>
      </c>
      <c r="P11" s="14" t="s">
        <v>701</v>
      </c>
      <c r="Q11" s="14" t="s">
        <v>25</v>
      </c>
      <c r="R11" s="14" t="s">
        <v>54</v>
      </c>
    </row>
    <row r="12" spans="1:19" s="14" customFormat="1" x14ac:dyDescent="0.25">
      <c r="A12" s="14" t="str">
        <f>"18512"</f>
        <v>18512</v>
      </c>
      <c r="B12" s="14" t="str">
        <f>"01695"</f>
        <v>01695</v>
      </c>
      <c r="C12" s="14" t="str">
        <f>"1300"</f>
        <v>1300</v>
      </c>
      <c r="D12" s="14" t="str">
        <f>""</f>
        <v/>
      </c>
      <c r="E12" s="14" t="s">
        <v>710</v>
      </c>
      <c r="F12" s="14" t="s">
        <v>155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156</v>
      </c>
      <c r="L12" s="14" t="s">
        <v>147</v>
      </c>
      <c r="P12" s="14" t="s">
        <v>701</v>
      </c>
      <c r="Q12" s="14" t="s">
        <v>25</v>
      </c>
      <c r="R12" s="14" t="s">
        <v>146</v>
      </c>
    </row>
    <row r="13" spans="1:19" s="14" customFormat="1" x14ac:dyDescent="0.25">
      <c r="A13" s="14" t="str">
        <f>"18513"</f>
        <v>18513</v>
      </c>
      <c r="B13" s="14" t="str">
        <f>"01035"</f>
        <v>01035</v>
      </c>
      <c r="C13" s="14" t="str">
        <f>"1600"</f>
        <v>1600</v>
      </c>
      <c r="D13" s="14" t="str">
        <f>""</f>
        <v/>
      </c>
      <c r="E13" s="14" t="s">
        <v>711</v>
      </c>
      <c r="F13" s="14" t="s">
        <v>56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53</v>
      </c>
      <c r="L13" s="14" t="s">
        <v>54</v>
      </c>
      <c r="M13" s="14" t="s">
        <v>55</v>
      </c>
      <c r="P13" s="14" t="s">
        <v>701</v>
      </c>
      <c r="Q13" s="14" t="s">
        <v>25</v>
      </c>
      <c r="R13" s="14" t="s">
        <v>54</v>
      </c>
    </row>
    <row r="14" spans="1:19" s="14" customFormat="1" x14ac:dyDescent="0.25">
      <c r="A14" s="14" t="str">
        <f>"18514"</f>
        <v>18514</v>
      </c>
      <c r="B14" s="14" t="str">
        <f>"01790"</f>
        <v>01790</v>
      </c>
      <c r="C14" s="14" t="str">
        <f>"1300"</f>
        <v>1300</v>
      </c>
      <c r="D14" s="14" t="str">
        <f>""</f>
        <v/>
      </c>
      <c r="E14" s="14" t="s">
        <v>712</v>
      </c>
      <c r="F14" s="14" t="s">
        <v>178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179</v>
      </c>
      <c r="L14" s="14" t="s">
        <v>112</v>
      </c>
      <c r="M14" s="14" t="s">
        <v>113</v>
      </c>
      <c r="N14" s="14" t="s">
        <v>114</v>
      </c>
      <c r="P14" s="14" t="s">
        <v>701</v>
      </c>
      <c r="Q14" s="14" t="s">
        <v>25</v>
      </c>
      <c r="R14" s="14" t="s">
        <v>115</v>
      </c>
    </row>
    <row r="15" spans="1:19" s="14" customFormat="1" x14ac:dyDescent="0.25">
      <c r="A15" s="14" t="str">
        <f>"18516"</f>
        <v>18516</v>
      </c>
      <c r="B15" s="14" t="str">
        <f>"05150"</f>
        <v>05150</v>
      </c>
      <c r="C15" s="14" t="str">
        <f>"1700"</f>
        <v>1700</v>
      </c>
      <c r="D15" s="14" t="str">
        <f>""</f>
        <v/>
      </c>
      <c r="E15" s="14" t="s">
        <v>713</v>
      </c>
      <c r="F15" s="14" t="s">
        <v>402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404</v>
      </c>
      <c r="L15" s="14" t="s">
        <v>405</v>
      </c>
      <c r="P15" s="14" t="s">
        <v>701</v>
      </c>
      <c r="Q15" s="14" t="s">
        <v>25</v>
      </c>
      <c r="R15" s="14" t="s">
        <v>403</v>
      </c>
    </row>
    <row r="16" spans="1:19" s="14" customFormat="1" x14ac:dyDescent="0.25">
      <c r="A16" s="14" t="str">
        <f>"18517"</f>
        <v>18517</v>
      </c>
      <c r="B16" s="14" t="str">
        <f>"05010"</f>
        <v>05010</v>
      </c>
      <c r="C16" s="14" t="str">
        <f>"1700"</f>
        <v>1700</v>
      </c>
      <c r="D16" s="14" t="str">
        <f>""</f>
        <v/>
      </c>
      <c r="E16" s="14" t="s">
        <v>714</v>
      </c>
      <c r="F16" s="14" t="s">
        <v>371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372</v>
      </c>
      <c r="L16" s="14" t="s">
        <v>373</v>
      </c>
      <c r="P16" s="14" t="s">
        <v>701</v>
      </c>
      <c r="Q16" s="14" t="s">
        <v>25</v>
      </c>
      <c r="R16" s="14" t="s">
        <v>372</v>
      </c>
    </row>
    <row r="17" spans="1:18" s="14" customFormat="1" x14ac:dyDescent="0.25">
      <c r="A17" s="14" t="str">
        <f>"18518"</f>
        <v>18518</v>
      </c>
      <c r="B17" s="14" t="str">
        <f>"01810"</f>
        <v>01810</v>
      </c>
      <c r="C17" s="14" t="str">
        <f>"1100"</f>
        <v>1100</v>
      </c>
      <c r="D17" s="14" t="str">
        <f>""</f>
        <v/>
      </c>
      <c r="E17" s="14" t="s">
        <v>715</v>
      </c>
      <c r="F17" s="14" t="s">
        <v>183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184</v>
      </c>
      <c r="L17" s="14" t="s">
        <v>112</v>
      </c>
      <c r="M17" s="14" t="s">
        <v>113</v>
      </c>
      <c r="N17" s="14" t="s">
        <v>114</v>
      </c>
      <c r="P17" s="14" t="s">
        <v>701</v>
      </c>
      <c r="Q17" s="14" t="s">
        <v>25</v>
      </c>
      <c r="R17" s="14" t="s">
        <v>115</v>
      </c>
    </row>
    <row r="18" spans="1:18" s="14" customFormat="1" x14ac:dyDescent="0.25">
      <c r="A18" s="14" t="str">
        <f>"18519"</f>
        <v>18519</v>
      </c>
      <c r="B18" s="14" t="str">
        <f>"01390"</f>
        <v>01390</v>
      </c>
      <c r="C18" s="14" t="str">
        <f>"1100"</f>
        <v>1100</v>
      </c>
      <c r="D18" s="14" t="str">
        <f>""</f>
        <v/>
      </c>
      <c r="E18" s="14" t="s">
        <v>716</v>
      </c>
      <c r="F18" s="14" t="s">
        <v>116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112</v>
      </c>
      <c r="L18" s="14" t="s">
        <v>113</v>
      </c>
      <c r="M18" s="14" t="s">
        <v>114</v>
      </c>
      <c r="P18" s="14" t="s">
        <v>701</v>
      </c>
      <c r="Q18" s="14" t="s">
        <v>25</v>
      </c>
      <c r="R18" s="14" t="s">
        <v>115</v>
      </c>
    </row>
    <row r="19" spans="1:18" s="14" customFormat="1" x14ac:dyDescent="0.25">
      <c r="A19" s="14" t="str">
        <f>"18520"</f>
        <v>18520</v>
      </c>
      <c r="B19" s="14" t="str">
        <f>"01260"</f>
        <v>01260</v>
      </c>
      <c r="C19" s="14" t="str">
        <f>"1300"</f>
        <v>1300</v>
      </c>
      <c r="D19" s="14" t="str">
        <f>""</f>
        <v/>
      </c>
      <c r="E19" s="14" t="s">
        <v>717</v>
      </c>
      <c r="F19" s="14" t="s">
        <v>87</v>
      </c>
      <c r="G19" s="14" t="str">
        <f>""</f>
        <v/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37</v>
      </c>
      <c r="L19" s="14" t="s">
        <v>38</v>
      </c>
      <c r="P19" s="14" t="s">
        <v>701</v>
      </c>
      <c r="Q19" s="14" t="s">
        <v>25</v>
      </c>
      <c r="R19" s="14" t="s">
        <v>38</v>
      </c>
    </row>
    <row r="20" spans="1:18" s="14" customFormat="1" x14ac:dyDescent="0.25">
      <c r="A20" s="14" t="str">
        <f>"18521"</f>
        <v>18521</v>
      </c>
      <c r="B20" s="14" t="str">
        <f>"01640"</f>
        <v>01640</v>
      </c>
      <c r="C20" s="14" t="str">
        <f>"1100"</f>
        <v>1100</v>
      </c>
      <c r="D20" s="14" t="str">
        <f>""</f>
        <v/>
      </c>
      <c r="E20" s="14" t="s">
        <v>718</v>
      </c>
      <c r="F20" s="14" t="s">
        <v>143</v>
      </c>
      <c r="G20" s="14" t="str">
        <f>""</f>
        <v/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69</v>
      </c>
      <c r="L20" s="14" t="s">
        <v>70</v>
      </c>
      <c r="M20" s="14" t="s">
        <v>70</v>
      </c>
      <c r="N20" s="14" t="s">
        <v>71</v>
      </c>
      <c r="P20" s="14" t="s">
        <v>701</v>
      </c>
      <c r="Q20" s="14" t="s">
        <v>25</v>
      </c>
      <c r="R20" s="14" t="s">
        <v>72</v>
      </c>
    </row>
    <row r="21" spans="1:18" s="14" customFormat="1" x14ac:dyDescent="0.25">
      <c r="A21" s="14" t="str">
        <f>"18522"</f>
        <v>18522</v>
      </c>
      <c r="B21" s="14" t="str">
        <f>"01830"</f>
        <v>01830</v>
      </c>
      <c r="C21" s="14" t="str">
        <f>"1300"</f>
        <v>1300</v>
      </c>
      <c r="D21" s="14" t="str">
        <f>""</f>
        <v/>
      </c>
      <c r="E21" s="14" t="s">
        <v>719</v>
      </c>
      <c r="F21" s="14" t="s">
        <v>187</v>
      </c>
      <c r="G21" s="14" t="str">
        <f>""</f>
        <v/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112</v>
      </c>
      <c r="L21" s="14" t="s">
        <v>113</v>
      </c>
      <c r="M21" s="14" t="s">
        <v>114</v>
      </c>
      <c r="P21" s="14" t="s">
        <v>701</v>
      </c>
      <c r="Q21" s="14" t="s">
        <v>25</v>
      </c>
      <c r="R21" s="14" t="s">
        <v>115</v>
      </c>
    </row>
    <row r="22" spans="1:18" s="14" customFormat="1" x14ac:dyDescent="0.25">
      <c r="A22" s="14" t="str">
        <f>"18523"</f>
        <v>18523</v>
      </c>
      <c r="B22" s="14" t="str">
        <f>"01560"</f>
        <v>01560</v>
      </c>
      <c r="C22" s="14" t="str">
        <f>"1300"</f>
        <v>1300</v>
      </c>
      <c r="D22" s="14" t="str">
        <f>""</f>
        <v/>
      </c>
      <c r="E22" s="14" t="s">
        <v>720</v>
      </c>
      <c r="F22" s="14" t="s">
        <v>135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69</v>
      </c>
      <c r="L22" s="14" t="s">
        <v>70</v>
      </c>
      <c r="M22" s="14" t="s">
        <v>70</v>
      </c>
      <c r="N22" s="14" t="s">
        <v>71</v>
      </c>
      <c r="P22" s="14" t="s">
        <v>701</v>
      </c>
      <c r="Q22" s="14" t="s">
        <v>25</v>
      </c>
      <c r="R22" s="14" t="s">
        <v>72</v>
      </c>
    </row>
    <row r="23" spans="1:18" s="14" customFormat="1" x14ac:dyDescent="0.25">
      <c r="A23" s="14" t="str">
        <f>"18524"</f>
        <v>18524</v>
      </c>
      <c r="B23" s="14" t="str">
        <f>"01705"</f>
        <v>01705</v>
      </c>
      <c r="C23" s="14" t="str">
        <f>"1300"</f>
        <v>1300</v>
      </c>
      <c r="D23" s="14" t="str">
        <f>""</f>
        <v/>
      </c>
      <c r="E23" s="14" t="s">
        <v>721</v>
      </c>
      <c r="F23" s="14" t="s">
        <v>159</v>
      </c>
      <c r="G23" s="14" t="str">
        <f>""</f>
        <v/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147</v>
      </c>
      <c r="P23" s="14" t="s">
        <v>701</v>
      </c>
      <c r="Q23" s="14" t="s">
        <v>25</v>
      </c>
      <c r="R23" s="14" t="s">
        <v>146</v>
      </c>
    </row>
    <row r="24" spans="1:18" s="14" customFormat="1" x14ac:dyDescent="0.25">
      <c r="A24" s="14" t="str">
        <f>"18525"</f>
        <v>18525</v>
      </c>
      <c r="B24" s="14" t="str">
        <f>"01800"</f>
        <v>01800</v>
      </c>
      <c r="C24" s="14" t="str">
        <f>"1300"</f>
        <v>1300</v>
      </c>
      <c r="D24" s="14" t="str">
        <f>""</f>
        <v/>
      </c>
      <c r="E24" s="14" t="s">
        <v>722</v>
      </c>
      <c r="F24" s="14" t="s">
        <v>180</v>
      </c>
      <c r="G24" s="14" t="str">
        <f>""</f>
        <v/>
      </c>
      <c r="H24" s="14" t="str">
        <f>" 00"</f>
        <v xml:space="preserve"> 00</v>
      </c>
      <c r="I24" s="14">
        <v>0.01</v>
      </c>
      <c r="J24" s="14">
        <v>9999999.9900000002</v>
      </c>
      <c r="K24" s="14" t="s">
        <v>112</v>
      </c>
      <c r="L24" s="14" t="s">
        <v>113</v>
      </c>
      <c r="M24" s="14" t="s">
        <v>114</v>
      </c>
      <c r="P24" s="14" t="s">
        <v>701</v>
      </c>
      <c r="Q24" s="14" t="s">
        <v>25</v>
      </c>
      <c r="R24" s="14" t="s">
        <v>115</v>
      </c>
    </row>
    <row r="25" spans="1:18" s="14" customFormat="1" x14ac:dyDescent="0.25">
      <c r="A25" s="14" t="str">
        <f>"18526"</f>
        <v>18526</v>
      </c>
      <c r="B25" s="14" t="str">
        <f>"01550"</f>
        <v>01550</v>
      </c>
      <c r="C25" s="14" t="str">
        <f>"1300"</f>
        <v>1300</v>
      </c>
      <c r="D25" s="14" t="str">
        <f>""</f>
        <v/>
      </c>
      <c r="E25" s="14" t="s">
        <v>723</v>
      </c>
      <c r="F25" s="14" t="s">
        <v>134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69</v>
      </c>
      <c r="L25" s="14" t="s">
        <v>70</v>
      </c>
      <c r="M25" s="14" t="s">
        <v>70</v>
      </c>
      <c r="N25" s="14" t="s">
        <v>71</v>
      </c>
      <c r="P25" s="14" t="s">
        <v>701</v>
      </c>
      <c r="Q25" s="14" t="s">
        <v>25</v>
      </c>
      <c r="R25" s="14" t="s">
        <v>72</v>
      </c>
    </row>
    <row r="26" spans="1:18" s="14" customFormat="1" x14ac:dyDescent="0.25">
      <c r="A26" s="14" t="str">
        <f>"18527"</f>
        <v>18527</v>
      </c>
      <c r="B26" s="14" t="str">
        <f>"01100"</f>
        <v>01100</v>
      </c>
      <c r="C26" s="14" t="str">
        <f>"1930"</f>
        <v>1930</v>
      </c>
      <c r="D26" s="14" t="str">
        <f>""</f>
        <v/>
      </c>
      <c r="E26" s="14" t="s">
        <v>724</v>
      </c>
      <c r="F26" s="14" t="s">
        <v>725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55</v>
      </c>
      <c r="L26" s="14" t="s">
        <v>53</v>
      </c>
      <c r="M26" s="14" t="s">
        <v>726</v>
      </c>
      <c r="P26" s="14" t="s">
        <v>701</v>
      </c>
      <c r="Q26" s="14" t="s">
        <v>25</v>
      </c>
      <c r="R26" s="14" t="s">
        <v>727</v>
      </c>
    </row>
    <row r="27" spans="1:18" s="14" customFormat="1" x14ac:dyDescent="0.25">
      <c r="A27" s="14" t="str">
        <f>"18528"</f>
        <v>18528</v>
      </c>
      <c r="B27" s="14" t="str">
        <f>"01700"</f>
        <v>01700</v>
      </c>
      <c r="C27" s="14" t="str">
        <f>"1300"</f>
        <v>1300</v>
      </c>
      <c r="D27" s="14" t="str">
        <f>""</f>
        <v/>
      </c>
      <c r="E27" s="14" t="s">
        <v>728</v>
      </c>
      <c r="F27" s="14" t="s">
        <v>157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158</v>
      </c>
      <c r="L27" s="14" t="s">
        <v>147</v>
      </c>
      <c r="P27" s="14" t="s">
        <v>701</v>
      </c>
      <c r="Q27" s="14" t="s">
        <v>25</v>
      </c>
      <c r="R27" s="14" t="s">
        <v>146</v>
      </c>
    </row>
    <row r="28" spans="1:18" s="14" customFormat="1" x14ac:dyDescent="0.25">
      <c r="A28" s="14" t="str">
        <f>"18529"</f>
        <v>18529</v>
      </c>
      <c r="B28" s="14" t="str">
        <f>"01320"</f>
        <v>01320</v>
      </c>
      <c r="C28" s="14" t="str">
        <f>"1300"</f>
        <v>1300</v>
      </c>
      <c r="D28" s="14" t="str">
        <f>""</f>
        <v/>
      </c>
      <c r="E28" s="14" t="s">
        <v>729</v>
      </c>
      <c r="F28" s="14" t="s">
        <v>103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48</v>
      </c>
      <c r="L28" s="14" t="s">
        <v>97</v>
      </c>
      <c r="M28" s="14" t="s">
        <v>98</v>
      </c>
      <c r="P28" s="14" t="s">
        <v>701</v>
      </c>
      <c r="Q28" s="14" t="s">
        <v>25</v>
      </c>
      <c r="R28" s="14" t="s">
        <v>49</v>
      </c>
    </row>
    <row r="29" spans="1:18" s="14" customFormat="1" x14ac:dyDescent="0.25">
      <c r="A29" s="14" t="str">
        <f>"18530"</f>
        <v>18530</v>
      </c>
      <c r="B29" s="14" t="str">
        <f>"01290"</f>
        <v>01290</v>
      </c>
      <c r="C29" s="14" t="str">
        <f>"1300"</f>
        <v>1300</v>
      </c>
      <c r="D29" s="14" t="str">
        <f>""</f>
        <v/>
      </c>
      <c r="E29" s="14" t="s">
        <v>730</v>
      </c>
      <c r="F29" s="14" t="s">
        <v>95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83</v>
      </c>
      <c r="L29" s="14" t="s">
        <v>37</v>
      </c>
      <c r="M29" s="14" t="s">
        <v>38</v>
      </c>
      <c r="P29" s="14" t="s">
        <v>701</v>
      </c>
      <c r="Q29" s="14" t="s">
        <v>25</v>
      </c>
      <c r="R29" s="14" t="s">
        <v>38</v>
      </c>
    </row>
    <row r="30" spans="1:18" s="14" customFormat="1" x14ac:dyDescent="0.25">
      <c r="A30" s="14" t="str">
        <f>"18531"</f>
        <v>18531</v>
      </c>
      <c r="B30" s="14" t="str">
        <f>"01630"</f>
        <v>01630</v>
      </c>
      <c r="C30" s="14" t="str">
        <f>"1300"</f>
        <v>1300</v>
      </c>
      <c r="D30" s="14" t="str">
        <f>""</f>
        <v/>
      </c>
      <c r="E30" s="14" t="s">
        <v>731</v>
      </c>
      <c r="F30" s="14" t="s">
        <v>142</v>
      </c>
      <c r="G30" s="14" t="str">
        <f>""</f>
        <v/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69</v>
      </c>
      <c r="L30" s="14" t="s">
        <v>70</v>
      </c>
      <c r="M30" s="14" t="s">
        <v>70</v>
      </c>
      <c r="N30" s="14" t="s">
        <v>71</v>
      </c>
      <c r="P30" s="14" t="s">
        <v>701</v>
      </c>
      <c r="Q30" s="14" t="s">
        <v>25</v>
      </c>
      <c r="R30" s="14" t="s">
        <v>72</v>
      </c>
    </row>
    <row r="31" spans="1:18" s="14" customFormat="1" x14ac:dyDescent="0.25">
      <c r="A31" s="14" t="str">
        <f>"18532"</f>
        <v>18532</v>
      </c>
      <c r="B31" s="14" t="str">
        <f>"01000"</f>
        <v>01000</v>
      </c>
      <c r="C31" s="14" t="str">
        <f>"1400"</f>
        <v>1400</v>
      </c>
      <c r="D31" s="14" t="str">
        <f>""</f>
        <v/>
      </c>
      <c r="E31" s="14" t="s">
        <v>732</v>
      </c>
      <c r="F31" s="14" t="s">
        <v>44</v>
      </c>
      <c r="G31" s="14" t="str">
        <f>""</f>
        <v/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37</v>
      </c>
      <c r="L31" s="14" t="s">
        <v>34</v>
      </c>
      <c r="P31" s="14" t="s">
        <v>701</v>
      </c>
      <c r="Q31" s="14" t="s">
        <v>25</v>
      </c>
      <c r="R31" s="14" t="s">
        <v>38</v>
      </c>
    </row>
    <row r="32" spans="1:18" s="14" customFormat="1" x14ac:dyDescent="0.25">
      <c r="A32" s="14" t="str">
        <f>"18533"</f>
        <v>18533</v>
      </c>
      <c r="B32" s="14" t="str">
        <f>"01080"</f>
        <v>01080</v>
      </c>
      <c r="C32" s="14" t="str">
        <f>"1700"</f>
        <v>1700</v>
      </c>
      <c r="D32" s="14" t="str">
        <f>""</f>
        <v/>
      </c>
      <c r="E32" s="14" t="s">
        <v>733</v>
      </c>
      <c r="F32" s="14" t="s">
        <v>61</v>
      </c>
      <c r="G32" s="14" t="str">
        <f>""</f>
        <v/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37</v>
      </c>
      <c r="L32" s="14" t="s">
        <v>50</v>
      </c>
      <c r="P32" s="14" t="s">
        <v>701</v>
      </c>
      <c r="Q32" s="14" t="s">
        <v>25</v>
      </c>
      <c r="R32" s="14" t="s">
        <v>38</v>
      </c>
    </row>
    <row r="33" spans="1:18" s="14" customFormat="1" x14ac:dyDescent="0.25">
      <c r="A33" s="14" t="str">
        <f>"18534"</f>
        <v>18534</v>
      </c>
      <c r="B33" s="14" t="str">
        <f>"01620"</f>
        <v>01620</v>
      </c>
      <c r="C33" s="14" t="str">
        <f>"1300"</f>
        <v>1300</v>
      </c>
      <c r="D33" s="14" t="str">
        <f>""</f>
        <v/>
      </c>
      <c r="E33" s="14" t="s">
        <v>734</v>
      </c>
      <c r="F33" s="14" t="s">
        <v>140</v>
      </c>
      <c r="G33" s="14" t="str">
        <f>""</f>
        <v/>
      </c>
      <c r="H33" s="14" t="str">
        <f>" 00"</f>
        <v xml:space="preserve"> 00</v>
      </c>
      <c r="I33" s="14">
        <v>0.01</v>
      </c>
      <c r="J33" s="14">
        <v>9999999.9900000002</v>
      </c>
      <c r="K33" s="14" t="s">
        <v>69</v>
      </c>
      <c r="L33" s="14" t="s">
        <v>70</v>
      </c>
      <c r="M33" s="14" t="s">
        <v>71</v>
      </c>
      <c r="P33" s="14" t="s">
        <v>701</v>
      </c>
      <c r="Q33" s="14" t="s">
        <v>25</v>
      </c>
      <c r="R33" s="14" t="s">
        <v>141</v>
      </c>
    </row>
    <row r="34" spans="1:18" s="14" customFormat="1" x14ac:dyDescent="0.25">
      <c r="A34" s="14" t="str">
        <f>"21165"</f>
        <v>21165</v>
      </c>
      <c r="B34" s="14" t="str">
        <f>"01695"</f>
        <v>01695</v>
      </c>
      <c r="C34" s="14" t="str">
        <f>"1600"</f>
        <v>1600</v>
      </c>
      <c r="D34" s="14" t="str">
        <f>"21165"</f>
        <v>21165</v>
      </c>
      <c r="E34" s="14" t="s">
        <v>847</v>
      </c>
      <c r="F34" s="14" t="s">
        <v>155</v>
      </c>
      <c r="G34" s="14" t="str">
        <f>"GR0021161"</f>
        <v>GR0021161</v>
      </c>
      <c r="H34" s="14" t="str">
        <f>" 10"</f>
        <v xml:space="preserve"> 10</v>
      </c>
      <c r="I34" s="14">
        <v>0.01</v>
      </c>
      <c r="J34" s="14">
        <v>500</v>
      </c>
      <c r="K34" s="14" t="s">
        <v>146</v>
      </c>
      <c r="L34" s="14" t="s">
        <v>147</v>
      </c>
      <c r="M34" s="14" t="s">
        <v>156</v>
      </c>
      <c r="O34" s="14" t="s">
        <v>156</v>
      </c>
      <c r="P34" s="14" t="s">
        <v>701</v>
      </c>
      <c r="Q34" s="14" t="s">
        <v>701</v>
      </c>
      <c r="R34" s="14" t="s">
        <v>146</v>
      </c>
    </row>
    <row r="35" spans="1:18" s="14" customFormat="1" x14ac:dyDescent="0.25">
      <c r="A35" s="14" t="str">
        <f>"21165"</f>
        <v>21165</v>
      </c>
      <c r="B35" s="14" t="str">
        <f>"01695"</f>
        <v>01695</v>
      </c>
      <c r="C35" s="14" t="str">
        <f>"1600"</f>
        <v>1600</v>
      </c>
      <c r="D35" s="14" t="str">
        <f>"21165"</f>
        <v>21165</v>
      </c>
      <c r="E35" s="14" t="s">
        <v>847</v>
      </c>
      <c r="F35" s="14" t="s">
        <v>155</v>
      </c>
      <c r="G35" s="14" t="str">
        <f>"GR0021161"</f>
        <v>GR0021161</v>
      </c>
      <c r="H35" s="14" t="str">
        <f>" 20"</f>
        <v xml:space="preserve"> 20</v>
      </c>
      <c r="I35" s="14">
        <v>500.01</v>
      </c>
      <c r="J35" s="14">
        <v>9999999.9900000002</v>
      </c>
      <c r="K35" s="14" t="s">
        <v>147</v>
      </c>
      <c r="L35" s="14" t="s">
        <v>156</v>
      </c>
      <c r="O35" s="14" t="s">
        <v>156</v>
      </c>
      <c r="P35" s="14" t="s">
        <v>701</v>
      </c>
      <c r="Q35" s="14" t="s">
        <v>701</v>
      </c>
      <c r="R35" s="14" t="s">
        <v>146</v>
      </c>
    </row>
    <row r="36" spans="1:18" s="14" customFormat="1" x14ac:dyDescent="0.25">
      <c r="A36" s="14" t="str">
        <f>"21174"</f>
        <v>21174</v>
      </c>
      <c r="B36" s="14" t="str">
        <f>"01260"</f>
        <v>01260</v>
      </c>
      <c r="C36" s="14" t="str">
        <f>"1300"</f>
        <v>1300</v>
      </c>
      <c r="D36" s="14" t="str">
        <f>"21174"</f>
        <v>21174</v>
      </c>
      <c r="E36" s="14" t="s">
        <v>848</v>
      </c>
      <c r="F36" s="14" t="s">
        <v>87</v>
      </c>
      <c r="G36" s="14" t="str">
        <f>"GR0021174"</f>
        <v>GR0021174</v>
      </c>
      <c r="H36" s="14" t="str">
        <f>" 00"</f>
        <v xml:space="preserve"> 00</v>
      </c>
      <c r="I36" s="14">
        <v>0.01</v>
      </c>
      <c r="J36" s="14">
        <v>9999999.9900000002</v>
      </c>
      <c r="K36" s="14" t="s">
        <v>849</v>
      </c>
      <c r="L36" s="14" t="s">
        <v>90</v>
      </c>
      <c r="O36" s="14" t="s">
        <v>849</v>
      </c>
      <c r="P36" s="14" t="s">
        <v>701</v>
      </c>
      <c r="Q36" s="14" t="s">
        <v>701</v>
      </c>
      <c r="R36" s="14" t="s">
        <v>89</v>
      </c>
    </row>
    <row r="37" spans="1:18" s="14" customFormat="1" x14ac:dyDescent="0.25">
      <c r="A37" s="14" t="str">
        <f>"21175"</f>
        <v>21175</v>
      </c>
      <c r="B37" s="14" t="str">
        <f>"01260"</f>
        <v>01260</v>
      </c>
      <c r="C37" s="14" t="str">
        <f>"1300"</f>
        <v>1300</v>
      </c>
      <c r="D37" s="14" t="str">
        <f>"21175"</f>
        <v>21175</v>
      </c>
      <c r="E37" s="14" t="s">
        <v>850</v>
      </c>
      <c r="F37" s="14" t="s">
        <v>87</v>
      </c>
      <c r="G37" s="14" t="str">
        <f>"GR0021174"</f>
        <v>GR0021174</v>
      </c>
      <c r="H37" s="14" t="str">
        <f>" 00"</f>
        <v xml:space="preserve"> 00</v>
      </c>
      <c r="I37" s="14">
        <v>0.01</v>
      </c>
      <c r="J37" s="14">
        <v>9999999.9900000002</v>
      </c>
      <c r="K37" s="14" t="s">
        <v>849</v>
      </c>
      <c r="L37" s="14" t="s">
        <v>90</v>
      </c>
      <c r="O37" s="14" t="s">
        <v>849</v>
      </c>
      <c r="P37" s="14" t="s">
        <v>701</v>
      </c>
      <c r="Q37" s="14" t="s">
        <v>701</v>
      </c>
      <c r="R37" s="14" t="s">
        <v>89</v>
      </c>
    </row>
    <row r="38" spans="1:18" s="14" customFormat="1" x14ac:dyDescent="0.25">
      <c r="A38" s="14" t="str">
        <f>"21183"</f>
        <v>21183</v>
      </c>
      <c r="B38" s="14" t="str">
        <f>"01695"</f>
        <v>01695</v>
      </c>
      <c r="C38" s="14" t="str">
        <f>"1600"</f>
        <v>1600</v>
      </c>
      <c r="D38" s="14" t="str">
        <f>"21183"</f>
        <v>21183</v>
      </c>
      <c r="E38" s="14" t="s">
        <v>851</v>
      </c>
      <c r="F38" s="14" t="s">
        <v>155</v>
      </c>
      <c r="G38" s="14" t="str">
        <f>"GR0021161"</f>
        <v>GR0021161</v>
      </c>
      <c r="H38" s="14" t="str">
        <f>" 10"</f>
        <v xml:space="preserve"> 10</v>
      </c>
      <c r="I38" s="14">
        <v>0.01</v>
      </c>
      <c r="J38" s="14">
        <v>500</v>
      </c>
      <c r="K38" s="14" t="s">
        <v>146</v>
      </c>
      <c r="L38" s="14" t="s">
        <v>147</v>
      </c>
      <c r="M38" s="14" t="s">
        <v>156</v>
      </c>
      <c r="O38" s="14" t="s">
        <v>156</v>
      </c>
      <c r="P38" s="14" t="s">
        <v>701</v>
      </c>
      <c r="Q38" s="14" t="s">
        <v>701</v>
      </c>
      <c r="R38" s="14" t="s">
        <v>146</v>
      </c>
    </row>
    <row r="39" spans="1:18" s="14" customFormat="1" x14ac:dyDescent="0.25">
      <c r="A39" s="14" t="str">
        <f>"21183"</f>
        <v>21183</v>
      </c>
      <c r="B39" s="14" t="str">
        <f>"01695"</f>
        <v>01695</v>
      </c>
      <c r="C39" s="14" t="str">
        <f>"1600"</f>
        <v>1600</v>
      </c>
      <c r="D39" s="14" t="str">
        <f>"21183"</f>
        <v>21183</v>
      </c>
      <c r="E39" s="14" t="s">
        <v>851</v>
      </c>
      <c r="F39" s="14" t="s">
        <v>155</v>
      </c>
      <c r="G39" s="14" t="str">
        <f>"GR0021161"</f>
        <v>GR0021161</v>
      </c>
      <c r="H39" s="14" t="str">
        <f>" 20"</f>
        <v xml:space="preserve"> 20</v>
      </c>
      <c r="I39" s="14">
        <v>500.01</v>
      </c>
      <c r="J39" s="14">
        <v>9999999.9900000002</v>
      </c>
      <c r="K39" s="14" t="s">
        <v>147</v>
      </c>
      <c r="L39" s="14" t="s">
        <v>156</v>
      </c>
      <c r="O39" s="14" t="s">
        <v>156</v>
      </c>
      <c r="P39" s="14" t="s">
        <v>701</v>
      </c>
      <c r="Q39" s="14" t="s">
        <v>701</v>
      </c>
      <c r="R39" s="14" t="s">
        <v>146</v>
      </c>
    </row>
    <row r="40" spans="1:18" s="14" customFormat="1" x14ac:dyDescent="0.25">
      <c r="A40" s="14" t="str">
        <f>"21186"</f>
        <v>21186</v>
      </c>
      <c r="B40" s="14" t="str">
        <f>"01830"</f>
        <v>01830</v>
      </c>
      <c r="C40" s="14" t="str">
        <f>"1200"</f>
        <v>1200</v>
      </c>
      <c r="D40" s="14" t="str">
        <f>"21186"</f>
        <v>21186</v>
      </c>
      <c r="E40" s="14" t="s">
        <v>852</v>
      </c>
      <c r="F40" s="14" t="s">
        <v>187</v>
      </c>
      <c r="G40" s="14" t="str">
        <f>"GR0021186"</f>
        <v>GR0021186</v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112</v>
      </c>
      <c r="L40" s="14" t="s">
        <v>113</v>
      </c>
      <c r="O40" s="14" t="s">
        <v>853</v>
      </c>
      <c r="P40" s="14" t="s">
        <v>701</v>
      </c>
      <c r="Q40" s="14" t="s">
        <v>701</v>
      </c>
      <c r="R40" s="14" t="s">
        <v>115</v>
      </c>
    </row>
    <row r="41" spans="1:18" s="14" customFormat="1" x14ac:dyDescent="0.25">
      <c r="A41" s="14" t="str">
        <f>"21187"</f>
        <v>21187</v>
      </c>
      <c r="B41" s="14" t="str">
        <f>"01830"</f>
        <v>01830</v>
      </c>
      <c r="C41" s="14" t="str">
        <f>"1200"</f>
        <v>1200</v>
      </c>
      <c r="D41" s="14" t="str">
        <f>"21187"</f>
        <v>21187</v>
      </c>
      <c r="E41" s="14" t="s">
        <v>854</v>
      </c>
      <c r="F41" s="14" t="s">
        <v>187</v>
      </c>
      <c r="G41" s="14" t="str">
        <f>"GR0021186"</f>
        <v>GR0021186</v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112</v>
      </c>
      <c r="L41" s="14" t="s">
        <v>113</v>
      </c>
      <c r="O41" s="14" t="s">
        <v>853</v>
      </c>
      <c r="P41" s="14" t="s">
        <v>701</v>
      </c>
      <c r="Q41" s="14" t="s">
        <v>701</v>
      </c>
      <c r="R41" s="14" t="s">
        <v>115</v>
      </c>
    </row>
    <row r="42" spans="1:18" s="14" customFormat="1" x14ac:dyDescent="0.25">
      <c r="A42" s="14" t="str">
        <f>"21189"</f>
        <v>21189</v>
      </c>
      <c r="B42" s="14" t="str">
        <f>"01670"</f>
        <v>01670</v>
      </c>
      <c r="C42" s="14" t="str">
        <f>"1600"</f>
        <v>1600</v>
      </c>
      <c r="D42" s="14" t="str">
        <f>"21189"</f>
        <v>21189</v>
      </c>
      <c r="E42" s="14" t="s">
        <v>855</v>
      </c>
      <c r="F42" s="14" t="s">
        <v>151</v>
      </c>
      <c r="G42" s="14" t="str">
        <f>"GR0021157"</f>
        <v>GR0021157</v>
      </c>
      <c r="H42" s="14" t="str">
        <f>" 10"</f>
        <v xml:space="preserve"> 10</v>
      </c>
      <c r="I42" s="14">
        <v>0.01</v>
      </c>
      <c r="J42" s="14">
        <v>500</v>
      </c>
      <c r="K42" s="14" t="s">
        <v>146</v>
      </c>
      <c r="L42" s="14" t="s">
        <v>147</v>
      </c>
      <c r="O42" s="14" t="s">
        <v>856</v>
      </c>
      <c r="P42" s="14" t="s">
        <v>701</v>
      </c>
      <c r="Q42" s="14" t="s">
        <v>701</v>
      </c>
      <c r="R42" s="14" t="s">
        <v>146</v>
      </c>
    </row>
    <row r="43" spans="1:18" s="14" customFormat="1" x14ac:dyDescent="0.25">
      <c r="A43" s="14" t="str">
        <f>"21189"</f>
        <v>21189</v>
      </c>
      <c r="B43" s="14" t="str">
        <f>"01670"</f>
        <v>01670</v>
      </c>
      <c r="C43" s="14" t="str">
        <f>"1600"</f>
        <v>1600</v>
      </c>
      <c r="D43" s="14" t="str">
        <f>"21189"</f>
        <v>21189</v>
      </c>
      <c r="E43" s="14" t="s">
        <v>855</v>
      </c>
      <c r="F43" s="14" t="s">
        <v>151</v>
      </c>
      <c r="G43" s="14" t="str">
        <f>"GR0021157"</f>
        <v>GR0021157</v>
      </c>
      <c r="H43" s="14" t="str">
        <f>" 20"</f>
        <v xml:space="preserve"> 20</v>
      </c>
      <c r="I43" s="14">
        <v>500.01</v>
      </c>
      <c r="J43" s="14">
        <v>9999999.9900000002</v>
      </c>
      <c r="K43" s="14" t="s">
        <v>147</v>
      </c>
      <c r="L43" s="14" t="s">
        <v>856</v>
      </c>
      <c r="M43" s="14" t="s">
        <v>661</v>
      </c>
      <c r="O43" s="14" t="s">
        <v>856</v>
      </c>
      <c r="P43" s="14" t="s">
        <v>701</v>
      </c>
      <c r="Q43" s="14" t="s">
        <v>701</v>
      </c>
      <c r="R43" s="14" t="s">
        <v>146</v>
      </c>
    </row>
    <row r="44" spans="1:18" s="14" customFormat="1" x14ac:dyDescent="0.25">
      <c r="A44" s="14" t="str">
        <f>"21190"</f>
        <v>21190</v>
      </c>
      <c r="B44" s="14" t="str">
        <f>"01670"</f>
        <v>01670</v>
      </c>
      <c r="C44" s="14" t="str">
        <f>"1600"</f>
        <v>1600</v>
      </c>
      <c r="D44" s="14" t="str">
        <f>"21190"</f>
        <v>21190</v>
      </c>
      <c r="E44" s="14" t="s">
        <v>857</v>
      </c>
      <c r="F44" s="14" t="s">
        <v>151</v>
      </c>
      <c r="G44" s="14" t="str">
        <f>"GR0021157"</f>
        <v>GR0021157</v>
      </c>
      <c r="H44" s="14" t="str">
        <f>" 10"</f>
        <v xml:space="preserve"> 10</v>
      </c>
      <c r="I44" s="14">
        <v>0.01</v>
      </c>
      <c r="J44" s="14">
        <v>500</v>
      </c>
      <c r="K44" s="14" t="s">
        <v>146</v>
      </c>
      <c r="L44" s="14" t="s">
        <v>147</v>
      </c>
      <c r="O44" s="14" t="s">
        <v>856</v>
      </c>
      <c r="P44" s="14" t="s">
        <v>701</v>
      </c>
      <c r="Q44" s="14" t="s">
        <v>701</v>
      </c>
      <c r="R44" s="14" t="s">
        <v>146</v>
      </c>
    </row>
    <row r="45" spans="1:18" s="14" customFormat="1" x14ac:dyDescent="0.25">
      <c r="A45" s="14" t="str">
        <f>"21190"</f>
        <v>21190</v>
      </c>
      <c r="B45" s="14" t="str">
        <f>"01670"</f>
        <v>01670</v>
      </c>
      <c r="C45" s="14" t="str">
        <f>"1600"</f>
        <v>1600</v>
      </c>
      <c r="D45" s="14" t="str">
        <f>"21190"</f>
        <v>21190</v>
      </c>
      <c r="E45" s="14" t="s">
        <v>857</v>
      </c>
      <c r="F45" s="14" t="s">
        <v>151</v>
      </c>
      <c r="G45" s="14" t="str">
        <f>"GR0021157"</f>
        <v>GR0021157</v>
      </c>
      <c r="H45" s="14" t="str">
        <f>" 20"</f>
        <v xml:space="preserve"> 20</v>
      </c>
      <c r="I45" s="14">
        <v>500.01</v>
      </c>
      <c r="J45" s="14">
        <v>9999999.9900000002</v>
      </c>
      <c r="K45" s="14" t="s">
        <v>147</v>
      </c>
      <c r="L45" s="14" t="s">
        <v>856</v>
      </c>
      <c r="M45" s="14" t="s">
        <v>661</v>
      </c>
      <c r="O45" s="14" t="s">
        <v>856</v>
      </c>
      <c r="P45" s="14" t="s">
        <v>701</v>
      </c>
      <c r="Q45" s="14" t="s">
        <v>701</v>
      </c>
      <c r="R45" s="14" t="s">
        <v>146</v>
      </c>
    </row>
    <row r="46" spans="1:18" s="14" customFormat="1" x14ac:dyDescent="0.25">
      <c r="A46" s="14" t="str">
        <f>"21191"</f>
        <v>21191</v>
      </c>
      <c r="B46" s="14" t="str">
        <f>"01695"</f>
        <v>01695</v>
      </c>
      <c r="C46" s="14" t="str">
        <f>"1600"</f>
        <v>1600</v>
      </c>
      <c r="D46" s="14" t="str">
        <f>"21191"</f>
        <v>21191</v>
      </c>
      <c r="E46" s="14" t="s">
        <v>858</v>
      </c>
      <c r="F46" s="14" t="s">
        <v>155</v>
      </c>
      <c r="G46" s="14" t="str">
        <f>"GR0021161"</f>
        <v>GR0021161</v>
      </c>
      <c r="H46" s="14" t="str">
        <f>" 10"</f>
        <v xml:space="preserve"> 10</v>
      </c>
      <c r="I46" s="14">
        <v>0.01</v>
      </c>
      <c r="J46" s="14">
        <v>500</v>
      </c>
      <c r="K46" s="14" t="s">
        <v>146</v>
      </c>
      <c r="L46" s="14" t="s">
        <v>147</v>
      </c>
      <c r="M46" s="14" t="s">
        <v>156</v>
      </c>
      <c r="O46" s="14" t="s">
        <v>156</v>
      </c>
      <c r="P46" s="14" t="s">
        <v>701</v>
      </c>
      <c r="Q46" s="14" t="s">
        <v>701</v>
      </c>
      <c r="R46" s="14" t="s">
        <v>146</v>
      </c>
    </row>
    <row r="47" spans="1:18" s="14" customFormat="1" x14ac:dyDescent="0.25">
      <c r="A47" s="14" t="str">
        <f>"21191"</f>
        <v>21191</v>
      </c>
      <c r="B47" s="14" t="str">
        <f>"01695"</f>
        <v>01695</v>
      </c>
      <c r="C47" s="14" t="str">
        <f>"1600"</f>
        <v>1600</v>
      </c>
      <c r="D47" s="14" t="str">
        <f>"21191"</f>
        <v>21191</v>
      </c>
      <c r="E47" s="14" t="s">
        <v>858</v>
      </c>
      <c r="F47" s="14" t="s">
        <v>155</v>
      </c>
      <c r="G47" s="14" t="str">
        <f>"GR0021161"</f>
        <v>GR0021161</v>
      </c>
      <c r="H47" s="14" t="str">
        <f>" 20"</f>
        <v xml:space="preserve"> 20</v>
      </c>
      <c r="I47" s="14">
        <v>500.01</v>
      </c>
      <c r="J47" s="14">
        <v>9999999.9900000002</v>
      </c>
      <c r="K47" s="14" t="s">
        <v>147</v>
      </c>
      <c r="L47" s="14" t="s">
        <v>156</v>
      </c>
      <c r="O47" s="14" t="s">
        <v>156</v>
      </c>
      <c r="P47" s="14" t="s">
        <v>701</v>
      </c>
      <c r="Q47" s="14" t="s">
        <v>701</v>
      </c>
      <c r="R47" s="14" t="s">
        <v>146</v>
      </c>
    </row>
    <row r="48" spans="1:18" s="14" customFormat="1" x14ac:dyDescent="0.25">
      <c r="A48" s="14" t="str">
        <f>"21211"</f>
        <v>21211</v>
      </c>
      <c r="B48" s="14" t="str">
        <f>"01290"</f>
        <v>01290</v>
      </c>
      <c r="C48" s="14" t="str">
        <f>"1300"</f>
        <v>1300</v>
      </c>
      <c r="D48" s="14" t="str">
        <f>"21211"</f>
        <v>21211</v>
      </c>
      <c r="E48" s="14" t="s">
        <v>859</v>
      </c>
      <c r="F48" s="14" t="s">
        <v>95</v>
      </c>
      <c r="G48" s="14" t="str">
        <f>"GR0021211"</f>
        <v>GR0021211</v>
      </c>
      <c r="H48" s="14" t="str">
        <f>" 00"</f>
        <v xml:space="preserve"> 00</v>
      </c>
      <c r="I48" s="14">
        <v>0.01</v>
      </c>
      <c r="J48" s="14">
        <v>9999999.9900000002</v>
      </c>
      <c r="K48" s="14" t="s">
        <v>83</v>
      </c>
      <c r="L48" s="14" t="s">
        <v>37</v>
      </c>
      <c r="M48" s="14" t="s">
        <v>38</v>
      </c>
      <c r="O48" s="14" t="s">
        <v>83</v>
      </c>
      <c r="P48" s="14" t="s">
        <v>701</v>
      </c>
      <c r="Q48" s="14" t="s">
        <v>701</v>
      </c>
      <c r="R48" s="14" t="s">
        <v>38</v>
      </c>
    </row>
    <row r="49" spans="1:18" s="14" customFormat="1" x14ac:dyDescent="0.25">
      <c r="A49" s="14" t="str">
        <f>"21212"</f>
        <v>21212</v>
      </c>
      <c r="B49" s="14" t="str">
        <f>"01290"</f>
        <v>01290</v>
      </c>
      <c r="C49" s="14" t="str">
        <f>"1300"</f>
        <v>1300</v>
      </c>
      <c r="D49" s="14" t="str">
        <f>"21212"</f>
        <v>21212</v>
      </c>
      <c r="E49" s="14" t="s">
        <v>860</v>
      </c>
      <c r="F49" s="14" t="s">
        <v>95</v>
      </c>
      <c r="G49" s="14" t="str">
        <f>"GR0021212"</f>
        <v>GR0021212</v>
      </c>
      <c r="H49" s="14" t="str">
        <f>" 00"</f>
        <v xml:space="preserve"> 00</v>
      </c>
      <c r="I49" s="14">
        <v>0.01</v>
      </c>
      <c r="J49" s="14">
        <v>9999999.9900000002</v>
      </c>
      <c r="K49" s="14" t="s">
        <v>83</v>
      </c>
      <c r="L49" s="14" t="s">
        <v>37</v>
      </c>
      <c r="M49" s="14" t="s">
        <v>38</v>
      </c>
      <c r="O49" s="14" t="s">
        <v>83</v>
      </c>
      <c r="P49" s="14" t="s">
        <v>701</v>
      </c>
      <c r="Q49" s="14" t="s">
        <v>701</v>
      </c>
      <c r="R49" s="14" t="s">
        <v>38</v>
      </c>
    </row>
    <row r="50" spans="1:18" s="14" customFormat="1" x14ac:dyDescent="0.25">
      <c r="A50" s="14" t="str">
        <f>"21214"</f>
        <v>21214</v>
      </c>
      <c r="B50" s="14" t="str">
        <f>"01620"</f>
        <v>01620</v>
      </c>
      <c r="C50" s="14" t="str">
        <f>"1200"</f>
        <v>1200</v>
      </c>
      <c r="D50" s="14" t="str">
        <f>"21214"</f>
        <v>21214</v>
      </c>
      <c r="E50" s="14" t="s">
        <v>861</v>
      </c>
      <c r="F50" s="14" t="s">
        <v>140</v>
      </c>
      <c r="G50" s="14" t="str">
        <f>"GR0021214"</f>
        <v>GR0021214</v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69</v>
      </c>
      <c r="L50" s="14" t="s">
        <v>70</v>
      </c>
      <c r="M50" s="14" t="s">
        <v>71</v>
      </c>
      <c r="O50" s="14" t="s">
        <v>862</v>
      </c>
      <c r="P50" s="14" t="s">
        <v>701</v>
      </c>
      <c r="Q50" s="14" t="s">
        <v>701</v>
      </c>
      <c r="R50" s="14" t="s">
        <v>141</v>
      </c>
    </row>
    <row r="51" spans="1:18" s="14" customFormat="1" x14ac:dyDescent="0.25">
      <c r="A51" s="14" t="str">
        <f>"21215"</f>
        <v>21215</v>
      </c>
      <c r="B51" s="14" t="str">
        <f>"01810"</f>
        <v>01810</v>
      </c>
      <c r="C51" s="14" t="str">
        <f>"1200"</f>
        <v>1200</v>
      </c>
      <c r="D51" s="14" t="str">
        <f>"21215"</f>
        <v>21215</v>
      </c>
      <c r="E51" s="14" t="s">
        <v>863</v>
      </c>
      <c r="F51" s="14" t="s">
        <v>183</v>
      </c>
      <c r="G51" s="14" t="str">
        <f>"GR0021215"</f>
        <v>GR0021215</v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184</v>
      </c>
      <c r="L51" s="14" t="s">
        <v>112</v>
      </c>
      <c r="M51" s="14" t="s">
        <v>113</v>
      </c>
      <c r="N51" s="14" t="s">
        <v>114</v>
      </c>
      <c r="O51" s="14" t="s">
        <v>184</v>
      </c>
      <c r="P51" s="14" t="s">
        <v>701</v>
      </c>
      <c r="Q51" s="14" t="s">
        <v>701</v>
      </c>
      <c r="R51" s="14" t="s">
        <v>115</v>
      </c>
    </row>
    <row r="52" spans="1:18" s="14" customFormat="1" x14ac:dyDescent="0.25">
      <c r="A52" s="14" t="str">
        <f>"21216"</f>
        <v>21216</v>
      </c>
      <c r="B52" s="14" t="str">
        <f>"01810"</f>
        <v>01810</v>
      </c>
      <c r="C52" s="14" t="str">
        <f>"1200"</f>
        <v>1200</v>
      </c>
      <c r="D52" s="14" t="str">
        <f>"21216"</f>
        <v>21216</v>
      </c>
      <c r="E52" s="14" t="s">
        <v>864</v>
      </c>
      <c r="F52" s="14" t="s">
        <v>183</v>
      </c>
      <c r="G52" s="14" t="str">
        <f>"GR0021215"</f>
        <v>GR0021215</v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184</v>
      </c>
      <c r="L52" s="14" t="s">
        <v>112</v>
      </c>
      <c r="M52" s="14" t="s">
        <v>113</v>
      </c>
      <c r="N52" s="14" t="s">
        <v>114</v>
      </c>
      <c r="O52" s="14" t="s">
        <v>184</v>
      </c>
      <c r="P52" s="14" t="s">
        <v>701</v>
      </c>
      <c r="Q52" s="14" t="s">
        <v>701</v>
      </c>
      <c r="R52" s="14" t="s">
        <v>115</v>
      </c>
    </row>
    <row r="53" spans="1:18" s="14" customFormat="1" x14ac:dyDescent="0.25">
      <c r="A53" s="14" t="str">
        <f>"21217"</f>
        <v>21217</v>
      </c>
      <c r="B53" s="14" t="str">
        <f>"01810"</f>
        <v>01810</v>
      </c>
      <c r="C53" s="14" t="str">
        <f>"1200"</f>
        <v>1200</v>
      </c>
      <c r="D53" s="14" t="str">
        <f>"21217"</f>
        <v>21217</v>
      </c>
      <c r="E53" s="14" t="s">
        <v>865</v>
      </c>
      <c r="F53" s="14" t="s">
        <v>183</v>
      </c>
      <c r="G53" s="14" t="str">
        <f>"GR0021215"</f>
        <v>GR0021215</v>
      </c>
      <c r="H53" s="14" t="str">
        <f>" 00"</f>
        <v xml:space="preserve"> 00</v>
      </c>
      <c r="I53" s="14">
        <v>0.01</v>
      </c>
      <c r="J53" s="14">
        <v>9999999.9900000002</v>
      </c>
      <c r="K53" s="14" t="s">
        <v>184</v>
      </c>
      <c r="L53" s="14" t="s">
        <v>112</v>
      </c>
      <c r="M53" s="14" t="s">
        <v>113</v>
      </c>
      <c r="N53" s="14" t="s">
        <v>114</v>
      </c>
      <c r="O53" s="14" t="s">
        <v>184</v>
      </c>
      <c r="P53" s="14" t="s">
        <v>701</v>
      </c>
      <c r="Q53" s="14" t="s">
        <v>701</v>
      </c>
      <c r="R53" s="14" t="s">
        <v>115</v>
      </c>
    </row>
    <row r="54" spans="1:18" s="14" customFormat="1" x14ac:dyDescent="0.25">
      <c r="A54" s="14" t="str">
        <f>"21218"</f>
        <v>21218</v>
      </c>
      <c r="B54" s="14" t="str">
        <f>"01810"</f>
        <v>01810</v>
      </c>
      <c r="C54" s="14" t="str">
        <f>"1200"</f>
        <v>1200</v>
      </c>
      <c r="D54" s="14" t="str">
        <f>"21218"</f>
        <v>21218</v>
      </c>
      <c r="E54" s="14" t="s">
        <v>866</v>
      </c>
      <c r="F54" s="14" t="s">
        <v>183</v>
      </c>
      <c r="G54" s="14" t="str">
        <f>"GR0021215"</f>
        <v>GR0021215</v>
      </c>
      <c r="H54" s="14" t="str">
        <f>" 00"</f>
        <v xml:space="preserve"> 00</v>
      </c>
      <c r="I54" s="14">
        <v>0.01</v>
      </c>
      <c r="J54" s="14">
        <v>9999999.9900000002</v>
      </c>
      <c r="K54" s="14" t="s">
        <v>184</v>
      </c>
      <c r="L54" s="14" t="s">
        <v>112</v>
      </c>
      <c r="M54" s="14" t="s">
        <v>113</v>
      </c>
      <c r="N54" s="14" t="s">
        <v>114</v>
      </c>
      <c r="O54" s="14" t="s">
        <v>184</v>
      </c>
      <c r="P54" s="14" t="s">
        <v>701</v>
      </c>
      <c r="Q54" s="14" t="s">
        <v>701</v>
      </c>
      <c r="R54" s="14" t="s">
        <v>115</v>
      </c>
    </row>
    <row r="55" spans="1:18" s="14" customFormat="1" x14ac:dyDescent="0.25">
      <c r="A55" s="14" t="str">
        <f>"22271"</f>
        <v>22271</v>
      </c>
      <c r="B55" s="14" t="str">
        <f>"01660"</f>
        <v>01660</v>
      </c>
      <c r="C55" s="14" t="str">
        <f>"1600"</f>
        <v>1600</v>
      </c>
      <c r="D55" s="14" t="str">
        <f>"22271"</f>
        <v>22271</v>
      </c>
      <c r="E55" s="14" t="s">
        <v>867</v>
      </c>
      <c r="F55" s="14" t="s">
        <v>145</v>
      </c>
      <c r="G55" s="14" t="str">
        <f>"GR0022271"</f>
        <v>GR0022271</v>
      </c>
      <c r="H55" s="14" t="str">
        <f>" 10"</f>
        <v xml:space="preserve"> 10</v>
      </c>
      <c r="I55" s="14">
        <v>0.01</v>
      </c>
      <c r="J55" s="14">
        <v>500</v>
      </c>
      <c r="K55" s="14" t="s">
        <v>146</v>
      </c>
      <c r="L55" s="14" t="s">
        <v>147</v>
      </c>
      <c r="O55" s="14" t="s">
        <v>661</v>
      </c>
      <c r="P55" s="14" t="s">
        <v>701</v>
      </c>
      <c r="Q55" s="14" t="s">
        <v>701</v>
      </c>
      <c r="R55" s="14" t="s">
        <v>146</v>
      </c>
    </row>
    <row r="56" spans="1:18" s="14" customFormat="1" x14ac:dyDescent="0.25">
      <c r="A56" s="14" t="str">
        <f>"22271"</f>
        <v>22271</v>
      </c>
      <c r="B56" s="14" t="str">
        <f>"01660"</f>
        <v>01660</v>
      </c>
      <c r="C56" s="14" t="str">
        <f>"1600"</f>
        <v>1600</v>
      </c>
      <c r="D56" s="14" t="str">
        <f>"22271"</f>
        <v>22271</v>
      </c>
      <c r="E56" s="14" t="s">
        <v>867</v>
      </c>
      <c r="F56" s="14" t="s">
        <v>145</v>
      </c>
      <c r="G56" s="14" t="str">
        <f>"GR0022271"</f>
        <v>GR0022271</v>
      </c>
      <c r="H56" s="14" t="str">
        <f>" 20"</f>
        <v xml:space="preserve"> 20</v>
      </c>
      <c r="I56" s="14">
        <v>500.01</v>
      </c>
      <c r="J56" s="14">
        <v>9999999.9900000002</v>
      </c>
      <c r="K56" s="14" t="s">
        <v>147</v>
      </c>
      <c r="L56" s="14" t="s">
        <v>661</v>
      </c>
      <c r="O56" s="14" t="s">
        <v>661</v>
      </c>
      <c r="P56" s="14" t="s">
        <v>701</v>
      </c>
      <c r="Q56" s="14" t="s">
        <v>701</v>
      </c>
      <c r="R56" s="14" t="s">
        <v>146</v>
      </c>
    </row>
    <row r="57" spans="1:18" s="14" customFormat="1" x14ac:dyDescent="0.25">
      <c r="A57" s="14" t="str">
        <f>"22275"</f>
        <v>22275</v>
      </c>
      <c r="B57" s="14" t="str">
        <f>"01660"</f>
        <v>01660</v>
      </c>
      <c r="C57" s="14" t="str">
        <f>"1700"</f>
        <v>1700</v>
      </c>
      <c r="D57" s="14" t="str">
        <f>"22275"</f>
        <v>22275</v>
      </c>
      <c r="E57" s="14" t="s">
        <v>868</v>
      </c>
      <c r="F57" s="14" t="s">
        <v>145</v>
      </c>
      <c r="G57" s="14" t="str">
        <f>"GR0022268"</f>
        <v>GR0022268</v>
      </c>
      <c r="H57" s="14" t="str">
        <f>" 10"</f>
        <v xml:space="preserve"> 10</v>
      </c>
      <c r="I57" s="14">
        <v>0.01</v>
      </c>
      <c r="J57" s="14">
        <v>500</v>
      </c>
      <c r="K57" s="14" t="s">
        <v>146</v>
      </c>
      <c r="L57" s="14" t="s">
        <v>147</v>
      </c>
      <c r="O57" s="14" t="s">
        <v>147</v>
      </c>
      <c r="P57" s="14" t="s">
        <v>701</v>
      </c>
      <c r="Q57" s="14" t="s">
        <v>701</v>
      </c>
      <c r="R57" s="14" t="s">
        <v>146</v>
      </c>
    </row>
    <row r="58" spans="1:18" s="14" customFormat="1" x14ac:dyDescent="0.25">
      <c r="A58" s="14" t="str">
        <f>"22275"</f>
        <v>22275</v>
      </c>
      <c r="B58" s="14" t="str">
        <f>"01660"</f>
        <v>01660</v>
      </c>
      <c r="C58" s="14" t="str">
        <f>"1700"</f>
        <v>1700</v>
      </c>
      <c r="D58" s="14" t="str">
        <f>"22275"</f>
        <v>22275</v>
      </c>
      <c r="E58" s="14" t="s">
        <v>868</v>
      </c>
      <c r="F58" s="14" t="s">
        <v>145</v>
      </c>
      <c r="G58" s="14" t="str">
        <f>"GR0022268"</f>
        <v>GR0022268</v>
      </c>
      <c r="H58" s="14" t="str">
        <f>" 20"</f>
        <v xml:space="preserve"> 20</v>
      </c>
      <c r="I58" s="14">
        <v>500.01</v>
      </c>
      <c r="J58" s="14">
        <v>9999999.9900000002</v>
      </c>
      <c r="K58" s="14" t="s">
        <v>147</v>
      </c>
      <c r="L58" s="14" t="s">
        <v>148</v>
      </c>
      <c r="O58" s="14" t="s">
        <v>147</v>
      </c>
      <c r="P58" s="14" t="s">
        <v>701</v>
      </c>
      <c r="Q58" s="14" t="s">
        <v>701</v>
      </c>
      <c r="R58" s="14" t="s">
        <v>146</v>
      </c>
    </row>
    <row r="59" spans="1:18" s="14" customFormat="1" x14ac:dyDescent="0.25">
      <c r="A59" s="14" t="str">
        <f>"22276"</f>
        <v>22276</v>
      </c>
      <c r="B59" s="14" t="str">
        <f>"01660"</f>
        <v>01660</v>
      </c>
      <c r="C59" s="14" t="str">
        <f>"1800"</f>
        <v>1800</v>
      </c>
      <c r="D59" s="14" t="str">
        <f>"22276"</f>
        <v>22276</v>
      </c>
      <c r="E59" s="14" t="s">
        <v>869</v>
      </c>
      <c r="F59" s="14" t="s">
        <v>145</v>
      </c>
      <c r="G59" s="14" t="str">
        <f>"GR0022268"</f>
        <v>GR0022268</v>
      </c>
      <c r="H59" s="14" t="str">
        <f>" 10"</f>
        <v xml:space="preserve"> 10</v>
      </c>
      <c r="I59" s="14">
        <v>0.01</v>
      </c>
      <c r="J59" s="14">
        <v>500</v>
      </c>
      <c r="K59" s="14" t="s">
        <v>146</v>
      </c>
      <c r="L59" s="14" t="s">
        <v>147</v>
      </c>
      <c r="O59" s="14" t="s">
        <v>147</v>
      </c>
      <c r="P59" s="14" t="s">
        <v>701</v>
      </c>
      <c r="Q59" s="14" t="s">
        <v>701</v>
      </c>
      <c r="R59" s="14" t="s">
        <v>146</v>
      </c>
    </row>
    <row r="60" spans="1:18" s="14" customFormat="1" x14ac:dyDescent="0.25">
      <c r="A60" s="14" t="str">
        <f>"22276"</f>
        <v>22276</v>
      </c>
      <c r="B60" s="14" t="str">
        <f>"01660"</f>
        <v>01660</v>
      </c>
      <c r="C60" s="14" t="str">
        <f>"1800"</f>
        <v>1800</v>
      </c>
      <c r="D60" s="14" t="str">
        <f>"22276"</f>
        <v>22276</v>
      </c>
      <c r="E60" s="14" t="s">
        <v>869</v>
      </c>
      <c r="F60" s="14" t="s">
        <v>145</v>
      </c>
      <c r="G60" s="14" t="str">
        <f>"GR0022268"</f>
        <v>GR0022268</v>
      </c>
      <c r="H60" s="14" t="str">
        <f>" 20"</f>
        <v xml:space="preserve"> 20</v>
      </c>
      <c r="I60" s="14">
        <v>500.01</v>
      </c>
      <c r="J60" s="14">
        <v>9999999.9900000002</v>
      </c>
      <c r="K60" s="14" t="s">
        <v>147</v>
      </c>
      <c r="L60" s="14" t="s">
        <v>148</v>
      </c>
      <c r="O60" s="14" t="s">
        <v>147</v>
      </c>
      <c r="P60" s="14" t="s">
        <v>701</v>
      </c>
      <c r="Q60" s="14" t="s">
        <v>701</v>
      </c>
      <c r="R60" s="14" t="s">
        <v>146</v>
      </c>
    </row>
    <row r="61" spans="1:18" s="14" customFormat="1" x14ac:dyDescent="0.25">
      <c r="A61" s="14" t="str">
        <f>"22277"</f>
        <v>22277</v>
      </c>
      <c r="B61" s="14" t="str">
        <f>"01660"</f>
        <v>01660</v>
      </c>
      <c r="C61" s="14" t="str">
        <f>"1600"</f>
        <v>1600</v>
      </c>
      <c r="D61" s="14" t="str">
        <f>"22277"</f>
        <v>22277</v>
      </c>
      <c r="E61" s="14" t="s">
        <v>870</v>
      </c>
      <c r="F61" s="14" t="s">
        <v>145</v>
      </c>
      <c r="G61" s="14" t="str">
        <f>"GR0022274"</f>
        <v>GR0022274</v>
      </c>
      <c r="H61" s="14" t="str">
        <f>" 10"</f>
        <v xml:space="preserve"> 10</v>
      </c>
      <c r="I61" s="14">
        <v>0.01</v>
      </c>
      <c r="J61" s="14">
        <v>500</v>
      </c>
      <c r="K61" s="14" t="s">
        <v>146</v>
      </c>
      <c r="L61" s="14" t="s">
        <v>147</v>
      </c>
      <c r="O61" s="14" t="s">
        <v>661</v>
      </c>
      <c r="P61" s="14" t="s">
        <v>701</v>
      </c>
      <c r="Q61" s="14" t="s">
        <v>701</v>
      </c>
      <c r="R61" s="14" t="s">
        <v>146</v>
      </c>
    </row>
    <row r="62" spans="1:18" s="14" customFormat="1" x14ac:dyDescent="0.25">
      <c r="A62" s="14" t="str">
        <f>"22277"</f>
        <v>22277</v>
      </c>
      <c r="B62" s="14" t="str">
        <f>"01660"</f>
        <v>01660</v>
      </c>
      <c r="C62" s="14" t="str">
        <f>"1600"</f>
        <v>1600</v>
      </c>
      <c r="D62" s="14" t="str">
        <f>"22277"</f>
        <v>22277</v>
      </c>
      <c r="E62" s="14" t="s">
        <v>870</v>
      </c>
      <c r="F62" s="14" t="s">
        <v>145</v>
      </c>
      <c r="G62" s="14" t="str">
        <f>"GR0022274"</f>
        <v>GR0022274</v>
      </c>
      <c r="H62" s="14" t="str">
        <f>" 20"</f>
        <v xml:space="preserve"> 20</v>
      </c>
      <c r="I62" s="14">
        <v>500.01</v>
      </c>
      <c r="J62" s="14">
        <v>9999999.9900000002</v>
      </c>
      <c r="K62" s="14" t="s">
        <v>147</v>
      </c>
      <c r="L62" s="14" t="s">
        <v>661</v>
      </c>
      <c r="O62" s="14" t="s">
        <v>661</v>
      </c>
      <c r="P62" s="14" t="s">
        <v>701</v>
      </c>
      <c r="Q62" s="14" t="s">
        <v>701</v>
      </c>
      <c r="R62" s="14" t="s">
        <v>146</v>
      </c>
    </row>
    <row r="63" spans="1:18" s="14" customFormat="1" x14ac:dyDescent="0.25">
      <c r="A63" s="14" t="str">
        <f>"22650"</f>
        <v>22650</v>
      </c>
      <c r="B63" s="14" t="str">
        <f>"01660"</f>
        <v>01660</v>
      </c>
      <c r="C63" s="14" t="str">
        <f>"1100"</f>
        <v>1100</v>
      </c>
      <c r="D63" s="14" t="str">
        <f>"22650"</f>
        <v>22650</v>
      </c>
      <c r="E63" s="14" t="s">
        <v>871</v>
      </c>
      <c r="F63" s="14" t="s">
        <v>145</v>
      </c>
      <c r="G63" s="14" t="str">
        <f>"GR0022650"</f>
        <v>GR0022650</v>
      </c>
      <c r="H63" s="14" t="str">
        <f>" 10"</f>
        <v xml:space="preserve"> 10</v>
      </c>
      <c r="I63" s="14">
        <v>0.01</v>
      </c>
      <c r="J63" s="14">
        <v>500</v>
      </c>
      <c r="K63" s="14" t="s">
        <v>146</v>
      </c>
      <c r="L63" s="14" t="s">
        <v>147</v>
      </c>
      <c r="O63" s="14" t="s">
        <v>147</v>
      </c>
      <c r="P63" s="14" t="s">
        <v>701</v>
      </c>
      <c r="Q63" s="14" t="s">
        <v>701</v>
      </c>
      <c r="R63" s="14" t="s">
        <v>146</v>
      </c>
    </row>
    <row r="64" spans="1:18" s="14" customFormat="1" x14ac:dyDescent="0.25">
      <c r="A64" s="14" t="str">
        <f>"22650"</f>
        <v>22650</v>
      </c>
      <c r="B64" s="14" t="str">
        <f>"01660"</f>
        <v>01660</v>
      </c>
      <c r="C64" s="14" t="str">
        <f>"1100"</f>
        <v>1100</v>
      </c>
      <c r="D64" s="14" t="str">
        <f>"22650"</f>
        <v>22650</v>
      </c>
      <c r="E64" s="14" t="s">
        <v>871</v>
      </c>
      <c r="F64" s="14" t="s">
        <v>145</v>
      </c>
      <c r="G64" s="14" t="str">
        <f>"GR0022650"</f>
        <v>GR0022650</v>
      </c>
      <c r="H64" s="14" t="str">
        <f>" 20"</f>
        <v xml:space="preserve"> 20</v>
      </c>
      <c r="I64" s="14">
        <v>500.01</v>
      </c>
      <c r="J64" s="14">
        <v>9999999.9900000002</v>
      </c>
      <c r="K64" s="14" t="s">
        <v>147</v>
      </c>
      <c r="L64" s="14" t="s">
        <v>148</v>
      </c>
      <c r="O64" s="14" t="s">
        <v>147</v>
      </c>
      <c r="P64" s="14" t="s">
        <v>701</v>
      </c>
      <c r="Q64" s="14" t="s">
        <v>701</v>
      </c>
      <c r="R64" s="14" t="s">
        <v>146</v>
      </c>
    </row>
    <row r="65" spans="1:18" s="14" customFormat="1" x14ac:dyDescent="0.25">
      <c r="A65" s="14" t="str">
        <f>"22651"</f>
        <v>22651</v>
      </c>
      <c r="B65" s="14" t="str">
        <f>"01800"</f>
        <v>01800</v>
      </c>
      <c r="C65" s="14" t="str">
        <f>"1200"</f>
        <v>1200</v>
      </c>
      <c r="D65" s="14" t="str">
        <f>"22651"</f>
        <v>22651</v>
      </c>
      <c r="E65" s="14" t="s">
        <v>872</v>
      </c>
      <c r="F65" s="14" t="s">
        <v>180</v>
      </c>
      <c r="G65" s="14" t="str">
        <f>"GR0022651"</f>
        <v>GR0022651</v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114</v>
      </c>
      <c r="L65" s="14" t="s">
        <v>113</v>
      </c>
      <c r="M65" s="14" t="s">
        <v>112</v>
      </c>
      <c r="N65" s="14" t="s">
        <v>181</v>
      </c>
      <c r="O65" s="14" t="s">
        <v>873</v>
      </c>
      <c r="P65" s="14" t="s">
        <v>701</v>
      </c>
      <c r="Q65" s="14" t="s">
        <v>701</v>
      </c>
      <c r="R65" s="14" t="s">
        <v>115</v>
      </c>
    </row>
    <row r="66" spans="1:18" s="14" customFormat="1" x14ac:dyDescent="0.25">
      <c r="A66" s="14" t="str">
        <f>"22654"</f>
        <v>22654</v>
      </c>
      <c r="B66" s="14" t="str">
        <f>"05080"</f>
        <v>05080</v>
      </c>
      <c r="C66" s="14" t="str">
        <f>"1600"</f>
        <v>1600</v>
      </c>
      <c r="D66" s="14" t="str">
        <f>"22654"</f>
        <v>22654</v>
      </c>
      <c r="E66" s="14" t="s">
        <v>874</v>
      </c>
      <c r="F66" s="14" t="s">
        <v>385</v>
      </c>
      <c r="G66" s="14" t="str">
        <f>"GR0022654"</f>
        <v>GR0022654</v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386</v>
      </c>
      <c r="L66" s="14" t="s">
        <v>875</v>
      </c>
      <c r="M66" s="14" t="s">
        <v>53</v>
      </c>
      <c r="O66" s="14" t="s">
        <v>386</v>
      </c>
      <c r="P66" s="14" t="s">
        <v>701</v>
      </c>
      <c r="Q66" s="14" t="s">
        <v>701</v>
      </c>
      <c r="R66" s="14" t="s">
        <v>875</v>
      </c>
    </row>
    <row r="67" spans="1:18" s="14" customFormat="1" x14ac:dyDescent="0.25">
      <c r="A67" s="14" t="str">
        <f>"22655"</f>
        <v>22655</v>
      </c>
      <c r="B67" s="14" t="str">
        <f>"01660"</f>
        <v>01660</v>
      </c>
      <c r="C67" s="14" t="str">
        <f>"1600"</f>
        <v>1600</v>
      </c>
      <c r="D67" s="14" t="str">
        <f>"22655"</f>
        <v>22655</v>
      </c>
      <c r="E67" s="14" t="s">
        <v>876</v>
      </c>
      <c r="F67" s="14" t="s">
        <v>145</v>
      </c>
      <c r="G67" s="14" t="str">
        <f>"GR0022655"</f>
        <v>GR0022655</v>
      </c>
      <c r="H67" s="14" t="str">
        <f>" 10"</f>
        <v xml:space="preserve"> 10</v>
      </c>
      <c r="I67" s="14">
        <v>0.01</v>
      </c>
      <c r="J67" s="14">
        <v>500</v>
      </c>
      <c r="K67" s="14" t="s">
        <v>146</v>
      </c>
      <c r="L67" s="14" t="s">
        <v>147</v>
      </c>
      <c r="O67" s="14" t="s">
        <v>661</v>
      </c>
      <c r="P67" s="14" t="s">
        <v>701</v>
      </c>
      <c r="Q67" s="14" t="s">
        <v>701</v>
      </c>
      <c r="R67" s="14" t="s">
        <v>146</v>
      </c>
    </row>
    <row r="68" spans="1:18" s="14" customFormat="1" x14ac:dyDescent="0.25">
      <c r="A68" s="14" t="str">
        <f>"22655"</f>
        <v>22655</v>
      </c>
      <c r="B68" s="14" t="str">
        <f>"01660"</f>
        <v>01660</v>
      </c>
      <c r="C68" s="14" t="str">
        <f>"1600"</f>
        <v>1600</v>
      </c>
      <c r="D68" s="14" t="str">
        <f>"22655"</f>
        <v>22655</v>
      </c>
      <c r="E68" s="14" t="s">
        <v>876</v>
      </c>
      <c r="F68" s="14" t="s">
        <v>145</v>
      </c>
      <c r="G68" s="14" t="str">
        <f>"GR0022655"</f>
        <v>GR0022655</v>
      </c>
      <c r="H68" s="14" t="str">
        <f>" 20"</f>
        <v xml:space="preserve"> 20</v>
      </c>
      <c r="I68" s="14">
        <v>500.01</v>
      </c>
      <c r="J68" s="14">
        <v>9999999.9900000002</v>
      </c>
      <c r="K68" s="14" t="s">
        <v>147</v>
      </c>
      <c r="L68" s="14" t="s">
        <v>661</v>
      </c>
      <c r="O68" s="14" t="s">
        <v>661</v>
      </c>
      <c r="P68" s="14" t="s">
        <v>701</v>
      </c>
      <c r="Q68" s="14" t="s">
        <v>701</v>
      </c>
      <c r="R68" s="14" t="s">
        <v>146</v>
      </c>
    </row>
    <row r="69" spans="1:18" s="14" customFormat="1" x14ac:dyDescent="0.25">
      <c r="A69" s="14" t="str">
        <f>"22656"</f>
        <v>22656</v>
      </c>
      <c r="B69" s="14" t="str">
        <f>"01800"</f>
        <v>01800</v>
      </c>
      <c r="C69" s="14" t="str">
        <f>"1200"</f>
        <v>1200</v>
      </c>
      <c r="D69" s="14" t="str">
        <f>"22656"</f>
        <v>22656</v>
      </c>
      <c r="E69" s="14" t="s">
        <v>877</v>
      </c>
      <c r="F69" s="14" t="s">
        <v>180</v>
      </c>
      <c r="G69" s="14" t="str">
        <f>"GR0022656"</f>
        <v>GR0022656</v>
      </c>
      <c r="H69" s="14" t="str">
        <f>" 00"</f>
        <v xml:space="preserve"> 00</v>
      </c>
      <c r="I69" s="14">
        <v>0.01</v>
      </c>
      <c r="J69" s="14">
        <v>9999999.9900000002</v>
      </c>
      <c r="K69" s="14" t="s">
        <v>113</v>
      </c>
      <c r="L69" s="14" t="s">
        <v>112</v>
      </c>
      <c r="M69" s="14" t="s">
        <v>181</v>
      </c>
      <c r="N69" s="14" t="s">
        <v>114</v>
      </c>
      <c r="O69" s="14" t="s">
        <v>873</v>
      </c>
      <c r="P69" s="14" t="s">
        <v>701</v>
      </c>
      <c r="Q69" s="14" t="s">
        <v>701</v>
      </c>
      <c r="R69" s="14" t="s">
        <v>115</v>
      </c>
    </row>
    <row r="70" spans="1:18" s="14" customFormat="1" x14ac:dyDescent="0.25">
      <c r="A70" s="14" t="str">
        <f>"22657"</f>
        <v>22657</v>
      </c>
      <c r="B70" s="14" t="str">
        <f>"01830"</f>
        <v>01830</v>
      </c>
      <c r="C70" s="14" t="str">
        <f>"1200"</f>
        <v>1200</v>
      </c>
      <c r="D70" s="14" t="str">
        <f>"22657"</f>
        <v>22657</v>
      </c>
      <c r="E70" s="14" t="s">
        <v>1927</v>
      </c>
      <c r="F70" s="14" t="s">
        <v>187</v>
      </c>
      <c r="G70" s="14" t="str">
        <f>"GR0022657"</f>
        <v>GR0022657</v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113</v>
      </c>
      <c r="L70" s="14" t="s">
        <v>112</v>
      </c>
      <c r="O70" s="14" t="s">
        <v>853</v>
      </c>
      <c r="P70" s="14" t="s">
        <v>701</v>
      </c>
      <c r="Q70" s="14" t="s">
        <v>701</v>
      </c>
      <c r="R70" s="14" t="s">
        <v>115</v>
      </c>
    </row>
    <row r="71" spans="1:18" s="14" customFormat="1" x14ac:dyDescent="0.25">
      <c r="A71" s="14" t="str">
        <f>"22658"</f>
        <v>22658</v>
      </c>
      <c r="B71" s="14" t="str">
        <f>"01100"</f>
        <v>01100</v>
      </c>
      <c r="C71" s="14" t="str">
        <f>"1930"</f>
        <v>1930</v>
      </c>
      <c r="D71" s="14" t="str">
        <f>"22658"</f>
        <v>22658</v>
      </c>
      <c r="E71" s="14" t="s">
        <v>1932</v>
      </c>
      <c r="F71" s="14" t="s">
        <v>725</v>
      </c>
      <c r="G71" s="14" t="str">
        <f>"GR0022658"</f>
        <v>GR0022658</v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55</v>
      </c>
      <c r="L71" s="14" t="s">
        <v>726</v>
      </c>
      <c r="M71" s="14" t="s">
        <v>53</v>
      </c>
      <c r="O71" s="14" t="s">
        <v>64</v>
      </c>
      <c r="P71" s="14" t="s">
        <v>701</v>
      </c>
      <c r="Q71" s="14" t="s">
        <v>701</v>
      </c>
      <c r="R71" s="14" t="s">
        <v>727</v>
      </c>
    </row>
    <row r="72" spans="1:18" s="14" customFormat="1" x14ac:dyDescent="0.25">
      <c r="A72" s="14" t="str">
        <f>"22659"</f>
        <v>22659</v>
      </c>
      <c r="B72" s="14" t="str">
        <f>"01100"</f>
        <v>01100</v>
      </c>
      <c r="C72" s="14" t="str">
        <f>"1930"</f>
        <v>1930</v>
      </c>
      <c r="D72" s="14" t="str">
        <f>"22658"</f>
        <v>22658</v>
      </c>
      <c r="E72" s="14" t="s">
        <v>1931</v>
      </c>
      <c r="F72" s="14" t="s">
        <v>725</v>
      </c>
      <c r="G72" s="14" t="str">
        <f>"GR0022658"</f>
        <v>GR0022658</v>
      </c>
      <c r="H72" s="14" t="str">
        <f>" 00"</f>
        <v xml:space="preserve"> 00</v>
      </c>
      <c r="I72" s="14">
        <v>0.01</v>
      </c>
      <c r="J72" s="14">
        <v>9999999.9900000002</v>
      </c>
      <c r="K72" s="14" t="s">
        <v>55</v>
      </c>
      <c r="L72" s="14" t="s">
        <v>726</v>
      </c>
      <c r="M72" s="14" t="s">
        <v>53</v>
      </c>
      <c r="O72" s="14" t="s">
        <v>64</v>
      </c>
      <c r="P72" s="14" t="s">
        <v>701</v>
      </c>
      <c r="Q72" s="14" t="s">
        <v>701</v>
      </c>
      <c r="R72" s="14" t="s">
        <v>727</v>
      </c>
    </row>
    <row r="73" spans="1:18" s="14" customFormat="1" x14ac:dyDescent="0.25">
      <c r="A73" s="14" t="str">
        <f>"24269"</f>
        <v>24269</v>
      </c>
      <c r="B73" s="14" t="str">
        <f>"01370"</f>
        <v>01370</v>
      </c>
      <c r="C73" s="14" t="str">
        <f>"1600"</f>
        <v>1600</v>
      </c>
      <c r="D73" s="14" t="str">
        <f>""</f>
        <v/>
      </c>
      <c r="E73" s="14" t="s">
        <v>889</v>
      </c>
      <c r="F73" s="14" t="s">
        <v>108</v>
      </c>
      <c r="G73" s="14" t="str">
        <f>"GR0024269"</f>
        <v>GR0024269</v>
      </c>
      <c r="H73" s="14" t="str">
        <f>" 00"</f>
        <v xml:space="preserve"> 00</v>
      </c>
      <c r="I73" s="14">
        <v>0.01</v>
      </c>
      <c r="J73" s="14">
        <v>9999999.9900000002</v>
      </c>
      <c r="K73" s="14" t="s">
        <v>69</v>
      </c>
      <c r="L73" s="14" t="s">
        <v>109</v>
      </c>
      <c r="M73" s="14" t="s">
        <v>70</v>
      </c>
      <c r="N73" s="14" t="s">
        <v>890</v>
      </c>
      <c r="O73" s="14" t="s">
        <v>890</v>
      </c>
      <c r="P73" s="14" t="s">
        <v>701</v>
      </c>
      <c r="Q73" s="14" t="s">
        <v>701</v>
      </c>
      <c r="R73" s="14" t="s">
        <v>109</v>
      </c>
    </row>
    <row r="74" spans="1:18" s="14" customFormat="1" x14ac:dyDescent="0.25">
      <c r="A74" s="14" t="str">
        <f>"24270"</f>
        <v>24270</v>
      </c>
      <c r="B74" s="14" t="str">
        <f>"01370"</f>
        <v>01370</v>
      </c>
      <c r="C74" s="14" t="str">
        <f>"1600"</f>
        <v>1600</v>
      </c>
      <c r="D74" s="14" t="str">
        <f>""</f>
        <v/>
      </c>
      <c r="E74" s="14" t="s">
        <v>891</v>
      </c>
      <c r="F74" s="14" t="s">
        <v>108</v>
      </c>
      <c r="G74" s="14" t="str">
        <f>"GR0024270"</f>
        <v>GR0024270</v>
      </c>
      <c r="H74" s="14" t="str">
        <f>" 00"</f>
        <v xml:space="preserve"> 00</v>
      </c>
      <c r="I74" s="14">
        <v>0.01</v>
      </c>
      <c r="J74" s="14">
        <v>9999999.9900000002</v>
      </c>
      <c r="K74" s="14" t="s">
        <v>69</v>
      </c>
      <c r="L74" s="14" t="s">
        <v>109</v>
      </c>
      <c r="M74" s="14" t="s">
        <v>70</v>
      </c>
      <c r="N74" s="14" t="s">
        <v>890</v>
      </c>
      <c r="O74" s="14" t="s">
        <v>890</v>
      </c>
      <c r="P74" s="14" t="s">
        <v>701</v>
      </c>
      <c r="Q74" s="14" t="s">
        <v>701</v>
      </c>
      <c r="R74" s="14" t="s">
        <v>109</v>
      </c>
    </row>
    <row r="75" spans="1:18" s="14" customFormat="1" x14ac:dyDescent="0.25">
      <c r="A75" s="14" t="str">
        <f>"24271"</f>
        <v>24271</v>
      </c>
      <c r="B75" s="14" t="str">
        <f>"01810"</f>
        <v>01810</v>
      </c>
      <c r="C75" s="14" t="str">
        <f>"1700"</f>
        <v>1700</v>
      </c>
      <c r="D75" s="14" t="str">
        <f>"24271"</f>
        <v>24271</v>
      </c>
      <c r="E75" s="14" t="s">
        <v>892</v>
      </c>
      <c r="F75" s="14" t="s">
        <v>183</v>
      </c>
      <c r="G75" s="14" t="str">
        <f>"GR0024271"</f>
        <v>GR0024271</v>
      </c>
      <c r="H75" s="14" t="str">
        <f>" 00"</f>
        <v xml:space="preserve"> 00</v>
      </c>
      <c r="I75" s="14">
        <v>0.01</v>
      </c>
      <c r="J75" s="14">
        <v>9999999.9900000002</v>
      </c>
      <c r="K75" s="14" t="s">
        <v>184</v>
      </c>
      <c r="L75" s="14" t="s">
        <v>112</v>
      </c>
      <c r="M75" s="14" t="s">
        <v>113</v>
      </c>
      <c r="N75" s="14" t="s">
        <v>114</v>
      </c>
      <c r="O75" s="14" t="s">
        <v>184</v>
      </c>
      <c r="P75" s="14" t="s">
        <v>701</v>
      </c>
      <c r="Q75" s="14" t="s">
        <v>701</v>
      </c>
      <c r="R75" s="14" t="s">
        <v>115</v>
      </c>
    </row>
    <row r="76" spans="1:18" s="14" customFormat="1" x14ac:dyDescent="0.25">
      <c r="A76" s="14" t="str">
        <f>"24272"</f>
        <v>24272</v>
      </c>
      <c r="B76" s="14" t="str">
        <f>"01810"</f>
        <v>01810</v>
      </c>
      <c r="C76" s="14" t="str">
        <f>"1800"</f>
        <v>1800</v>
      </c>
      <c r="D76" s="14" t="str">
        <f>""</f>
        <v/>
      </c>
      <c r="E76" s="14" t="s">
        <v>893</v>
      </c>
      <c r="F76" s="14" t="s">
        <v>183</v>
      </c>
      <c r="G76" s="14" t="str">
        <f>"GR0024271"</f>
        <v>GR0024271</v>
      </c>
      <c r="H76" s="14" t="str">
        <f>" 00"</f>
        <v xml:space="preserve"> 00</v>
      </c>
      <c r="I76" s="14">
        <v>0.01</v>
      </c>
      <c r="J76" s="14">
        <v>9999999.9900000002</v>
      </c>
      <c r="K76" s="14" t="s">
        <v>184</v>
      </c>
      <c r="L76" s="14" t="s">
        <v>112</v>
      </c>
      <c r="M76" s="14" t="s">
        <v>113</v>
      </c>
      <c r="N76" s="14" t="s">
        <v>114</v>
      </c>
      <c r="O76" s="14" t="s">
        <v>184</v>
      </c>
      <c r="P76" s="14" t="s">
        <v>701</v>
      </c>
      <c r="Q76" s="14" t="s">
        <v>701</v>
      </c>
      <c r="R76" s="14" t="s">
        <v>115</v>
      </c>
    </row>
    <row r="77" spans="1:18" s="14" customFormat="1" x14ac:dyDescent="0.25">
      <c r="A77" s="14" t="str">
        <f>"24273"</f>
        <v>24273</v>
      </c>
      <c r="B77" s="14" t="str">
        <f>"01390"</f>
        <v>01390</v>
      </c>
      <c r="C77" s="14" t="str">
        <f>"1700"</f>
        <v>1700</v>
      </c>
      <c r="D77" s="14" t="str">
        <f>"24273"</f>
        <v>24273</v>
      </c>
      <c r="E77" s="14" t="s">
        <v>894</v>
      </c>
      <c r="F77" s="14" t="s">
        <v>116</v>
      </c>
      <c r="G77" s="14" t="str">
        <f>"GR0024273"</f>
        <v>GR0024273</v>
      </c>
      <c r="H77" s="14" t="str">
        <f>" 00"</f>
        <v xml:space="preserve"> 00</v>
      </c>
      <c r="I77" s="14">
        <v>0.01</v>
      </c>
      <c r="J77" s="14">
        <v>9999999.9900000002</v>
      </c>
      <c r="K77" s="14" t="s">
        <v>113</v>
      </c>
      <c r="L77" s="14" t="s">
        <v>112</v>
      </c>
      <c r="M77" s="14" t="s">
        <v>114</v>
      </c>
      <c r="O77" s="14" t="s">
        <v>895</v>
      </c>
      <c r="P77" s="14" t="s">
        <v>701</v>
      </c>
      <c r="Q77" s="14" t="s">
        <v>701</v>
      </c>
      <c r="R77" s="14" t="s">
        <v>115</v>
      </c>
    </row>
    <row r="78" spans="1:18" s="14" customFormat="1" x14ac:dyDescent="0.25">
      <c r="A78" s="14" t="str">
        <f>"24276"</f>
        <v>24276</v>
      </c>
      <c r="B78" s="14" t="str">
        <f>"01370"</f>
        <v>01370</v>
      </c>
      <c r="C78" s="14" t="str">
        <f>"1100"</f>
        <v>1100</v>
      </c>
      <c r="D78" s="14" t="str">
        <f>"24276"</f>
        <v>24276</v>
      </c>
      <c r="E78" s="14" t="s">
        <v>896</v>
      </c>
      <c r="F78" s="14" t="s">
        <v>108</v>
      </c>
      <c r="G78" s="14" t="str">
        <f>"GR0024268"</f>
        <v>GR0024268</v>
      </c>
      <c r="H78" s="14" t="str">
        <f>" 00"</f>
        <v xml:space="preserve"> 00</v>
      </c>
      <c r="I78" s="14">
        <v>0.01</v>
      </c>
      <c r="J78" s="14">
        <v>9999999.9900000002</v>
      </c>
      <c r="K78" s="14" t="s">
        <v>69</v>
      </c>
      <c r="L78" s="14" t="s">
        <v>70</v>
      </c>
      <c r="M78" s="14" t="s">
        <v>71</v>
      </c>
      <c r="O78" s="14" t="s">
        <v>897</v>
      </c>
      <c r="P78" s="14" t="s">
        <v>701</v>
      </c>
      <c r="Q78" s="14" t="s">
        <v>701</v>
      </c>
      <c r="R78" s="14" t="s">
        <v>898</v>
      </c>
    </row>
    <row r="79" spans="1:18" s="14" customFormat="1" x14ac:dyDescent="0.25">
      <c r="A79" s="14" t="str">
        <f>"24277"</f>
        <v>24277</v>
      </c>
      <c r="B79" s="14" t="str">
        <f>"01810"</f>
        <v>01810</v>
      </c>
      <c r="C79" s="14" t="str">
        <f>"1700"</f>
        <v>1700</v>
      </c>
      <c r="D79" s="14" t="str">
        <f>"24277"</f>
        <v>24277</v>
      </c>
      <c r="E79" s="14" t="s">
        <v>899</v>
      </c>
      <c r="F79" s="14" t="s">
        <v>183</v>
      </c>
      <c r="G79" s="14" t="str">
        <f>"GR0024277"</f>
        <v>GR0024277</v>
      </c>
      <c r="H79" s="14" t="str">
        <f>" 00"</f>
        <v xml:space="preserve"> 00</v>
      </c>
      <c r="I79" s="14">
        <v>0.01</v>
      </c>
      <c r="J79" s="14">
        <v>9999999.9900000002</v>
      </c>
      <c r="K79" s="14" t="s">
        <v>184</v>
      </c>
      <c r="L79" s="14" t="s">
        <v>112</v>
      </c>
      <c r="M79" s="14" t="s">
        <v>113</v>
      </c>
      <c r="N79" s="14" t="s">
        <v>114</v>
      </c>
      <c r="O79" s="14" t="s">
        <v>184</v>
      </c>
      <c r="P79" s="14" t="s">
        <v>701</v>
      </c>
      <c r="Q79" s="14" t="s">
        <v>701</v>
      </c>
      <c r="R79" s="14" t="s">
        <v>115</v>
      </c>
    </row>
    <row r="80" spans="1:18" s="14" customFormat="1" x14ac:dyDescent="0.25">
      <c r="A80" s="14" t="str">
        <f>"24278"</f>
        <v>24278</v>
      </c>
      <c r="B80" s="14" t="str">
        <f>"01810"</f>
        <v>01810</v>
      </c>
      <c r="C80" s="14" t="str">
        <f>"1800"</f>
        <v>1800</v>
      </c>
      <c r="D80" s="14" t="str">
        <f>""</f>
        <v/>
      </c>
      <c r="E80" s="14" t="s">
        <v>900</v>
      </c>
      <c r="F80" s="14" t="s">
        <v>183</v>
      </c>
      <c r="G80" s="14" t="str">
        <f>"GR0024277"</f>
        <v>GR0024277</v>
      </c>
      <c r="H80" s="14" t="str">
        <f>" 00"</f>
        <v xml:space="preserve"> 00</v>
      </c>
      <c r="I80" s="14">
        <v>0.01</v>
      </c>
      <c r="J80" s="14">
        <v>9999999.9900000002</v>
      </c>
      <c r="K80" s="14" t="s">
        <v>184</v>
      </c>
      <c r="L80" s="14" t="s">
        <v>112</v>
      </c>
      <c r="M80" s="14" t="s">
        <v>113</v>
      </c>
      <c r="N80" s="14" t="s">
        <v>114</v>
      </c>
      <c r="O80" s="14" t="s">
        <v>184</v>
      </c>
      <c r="P80" s="14" t="s">
        <v>701</v>
      </c>
      <c r="Q80" s="14" t="s">
        <v>701</v>
      </c>
      <c r="R80" s="14" t="s">
        <v>115</v>
      </c>
    </row>
    <row r="81" spans="1:18" s="14" customFormat="1" x14ac:dyDescent="0.25">
      <c r="A81" s="14" t="str">
        <f>"24279"</f>
        <v>24279</v>
      </c>
      <c r="B81" s="14" t="str">
        <f>"01390"</f>
        <v>01390</v>
      </c>
      <c r="C81" s="14" t="str">
        <f>"1700"</f>
        <v>1700</v>
      </c>
      <c r="D81" s="14" t="str">
        <f>"24279"</f>
        <v>24279</v>
      </c>
      <c r="E81" s="14" t="s">
        <v>901</v>
      </c>
      <c r="F81" s="14" t="s">
        <v>116</v>
      </c>
      <c r="G81" s="14" t="str">
        <f>"GR0024279"</f>
        <v>GR0024279</v>
      </c>
      <c r="H81" s="14" t="str">
        <f>" 00"</f>
        <v xml:space="preserve"> 00</v>
      </c>
      <c r="I81" s="14">
        <v>0.01</v>
      </c>
      <c r="J81" s="14">
        <v>9999999.9900000002</v>
      </c>
      <c r="K81" s="14" t="s">
        <v>113</v>
      </c>
      <c r="L81" s="14" t="s">
        <v>112</v>
      </c>
      <c r="M81" s="14" t="s">
        <v>114</v>
      </c>
      <c r="O81" s="14" t="s">
        <v>895</v>
      </c>
      <c r="P81" s="14" t="s">
        <v>701</v>
      </c>
      <c r="Q81" s="14" t="s">
        <v>701</v>
      </c>
      <c r="R81" s="14" t="s">
        <v>115</v>
      </c>
    </row>
    <row r="82" spans="1:18" s="14" customFormat="1" x14ac:dyDescent="0.25">
      <c r="A82" s="14" t="str">
        <f>"24280"</f>
        <v>24280</v>
      </c>
      <c r="B82" s="14" t="str">
        <f>"01390"</f>
        <v>01390</v>
      </c>
      <c r="C82" s="14" t="str">
        <f>"1800"</f>
        <v>1800</v>
      </c>
      <c r="D82" s="14" t="str">
        <f>""</f>
        <v/>
      </c>
      <c r="E82" s="14" t="s">
        <v>902</v>
      </c>
      <c r="F82" s="14" t="s">
        <v>116</v>
      </c>
      <c r="G82" s="14" t="str">
        <f>"GR0024279"</f>
        <v>GR0024279</v>
      </c>
      <c r="H82" s="14" t="str">
        <f>" 00"</f>
        <v xml:space="preserve"> 00</v>
      </c>
      <c r="I82" s="14">
        <v>0.01</v>
      </c>
      <c r="J82" s="14">
        <v>9999999.9900000002</v>
      </c>
      <c r="K82" s="14" t="s">
        <v>113</v>
      </c>
      <c r="L82" s="14" t="s">
        <v>112</v>
      </c>
      <c r="M82" s="14" t="s">
        <v>114</v>
      </c>
      <c r="O82" s="14" t="s">
        <v>895</v>
      </c>
      <c r="P82" s="14" t="s">
        <v>701</v>
      </c>
      <c r="Q82" s="14" t="s">
        <v>701</v>
      </c>
      <c r="R82" s="14" t="s">
        <v>115</v>
      </c>
    </row>
    <row r="83" spans="1:18" s="14" customFormat="1" x14ac:dyDescent="0.25">
      <c r="A83" s="14" t="str">
        <f>"24281"</f>
        <v>24281</v>
      </c>
      <c r="B83" s="14" t="str">
        <f>"05000"</f>
        <v>05000</v>
      </c>
      <c r="C83" s="14" t="str">
        <f>"1700"</f>
        <v>1700</v>
      </c>
      <c r="D83" s="14" t="str">
        <f>"24281"</f>
        <v>24281</v>
      </c>
      <c r="E83" s="14" t="s">
        <v>903</v>
      </c>
      <c r="F83" s="14" t="s">
        <v>366</v>
      </c>
      <c r="G83" s="14" t="str">
        <f>"GR0024281"</f>
        <v>GR0024281</v>
      </c>
      <c r="H83" s="14" t="str">
        <f>" 00"</f>
        <v xml:space="preserve"> 00</v>
      </c>
      <c r="I83" s="14">
        <v>0.01</v>
      </c>
      <c r="J83" s="14">
        <v>9999999.9900000002</v>
      </c>
      <c r="K83" s="14" t="s">
        <v>47</v>
      </c>
      <c r="L83" s="14" t="s">
        <v>37</v>
      </c>
      <c r="M83" s="14" t="s">
        <v>370</v>
      </c>
      <c r="O83" s="14" t="s">
        <v>47</v>
      </c>
      <c r="P83" s="14" t="s">
        <v>701</v>
      </c>
      <c r="Q83" s="14" t="s">
        <v>701</v>
      </c>
      <c r="R83" s="14" t="s">
        <v>367</v>
      </c>
    </row>
    <row r="84" spans="1:18" s="14" customFormat="1" x14ac:dyDescent="0.25">
      <c r="A84" s="14" t="str">
        <f>"24282"</f>
        <v>24282</v>
      </c>
      <c r="B84" s="14" t="str">
        <f>"01390"</f>
        <v>01390</v>
      </c>
      <c r="C84" s="14" t="str">
        <f>"1100"</f>
        <v>1100</v>
      </c>
      <c r="D84" s="14" t="str">
        <f>"24282"</f>
        <v>24282</v>
      </c>
      <c r="E84" s="14" t="s">
        <v>1928</v>
      </c>
      <c r="F84" s="14" t="s">
        <v>116</v>
      </c>
      <c r="G84" s="14" t="str">
        <f>"GR0024282"</f>
        <v>GR0024282</v>
      </c>
      <c r="H84" s="14" t="str">
        <f>" 00"</f>
        <v xml:space="preserve"> 00</v>
      </c>
      <c r="I84" s="14">
        <v>0.01</v>
      </c>
      <c r="J84" s="14">
        <v>9999999.9900000002</v>
      </c>
      <c r="K84" s="14" t="s">
        <v>112</v>
      </c>
      <c r="L84" s="14" t="s">
        <v>113</v>
      </c>
      <c r="M84" s="14" t="s">
        <v>114</v>
      </c>
      <c r="O84" s="14" t="s">
        <v>1929</v>
      </c>
      <c r="P84" s="14" t="s">
        <v>701</v>
      </c>
      <c r="Q84" s="14" t="s">
        <v>701</v>
      </c>
      <c r="R84" s="14" t="s">
        <v>115</v>
      </c>
    </row>
    <row r="85" spans="1:18" s="14" customFormat="1" x14ac:dyDescent="0.25">
      <c r="A85" s="14" t="str">
        <f>"24435"</f>
        <v>24435</v>
      </c>
      <c r="B85" s="14" t="str">
        <f>"01110"</f>
        <v>01110</v>
      </c>
      <c r="C85" s="14" t="str">
        <f>"1930"</f>
        <v>1930</v>
      </c>
      <c r="D85" s="14" t="str">
        <f>"24435"</f>
        <v>24435</v>
      </c>
      <c r="E85" s="14" t="s">
        <v>904</v>
      </c>
      <c r="F85" s="14" t="s">
        <v>905</v>
      </c>
      <c r="G85" s="14" t="str">
        <f>"GR0024435"</f>
        <v>GR0024435</v>
      </c>
      <c r="H85" s="14" t="str">
        <f>" 10"</f>
        <v xml:space="preserve"> 10</v>
      </c>
      <c r="I85" s="14">
        <v>0.01</v>
      </c>
      <c r="J85" s="14">
        <v>500</v>
      </c>
      <c r="K85" s="14" t="s">
        <v>727</v>
      </c>
      <c r="L85" s="14" t="s">
        <v>906</v>
      </c>
      <c r="M85" s="14" t="s">
        <v>55</v>
      </c>
      <c r="N85" s="14" t="s">
        <v>907</v>
      </c>
      <c r="O85" s="14" t="s">
        <v>55</v>
      </c>
      <c r="P85" s="14" t="s">
        <v>701</v>
      </c>
      <c r="Q85" s="14" t="s">
        <v>701</v>
      </c>
      <c r="R85" s="14" t="s">
        <v>727</v>
      </c>
    </row>
    <row r="86" spans="1:18" s="14" customFormat="1" x14ac:dyDescent="0.25">
      <c r="A86" s="14" t="str">
        <f>"24435"</f>
        <v>24435</v>
      </c>
      <c r="B86" s="14" t="str">
        <f>"01110"</f>
        <v>01110</v>
      </c>
      <c r="C86" s="14" t="str">
        <f>"1930"</f>
        <v>1930</v>
      </c>
      <c r="D86" s="14" t="str">
        <f>"24435"</f>
        <v>24435</v>
      </c>
      <c r="E86" s="14" t="s">
        <v>904</v>
      </c>
      <c r="F86" s="14" t="s">
        <v>905</v>
      </c>
      <c r="G86" s="14" t="str">
        <f>"GR0024435"</f>
        <v>GR0024435</v>
      </c>
      <c r="H86" s="14" t="str">
        <f>" 20"</f>
        <v xml:space="preserve"> 20</v>
      </c>
      <c r="I86" s="14">
        <v>500.01</v>
      </c>
      <c r="J86" s="14">
        <v>9999999.9900000002</v>
      </c>
      <c r="K86" s="14" t="s">
        <v>906</v>
      </c>
      <c r="L86" s="14" t="s">
        <v>55</v>
      </c>
      <c r="M86" s="14" t="s">
        <v>53</v>
      </c>
      <c r="N86" s="14" t="s">
        <v>907</v>
      </c>
      <c r="O86" s="14" t="s">
        <v>55</v>
      </c>
      <c r="P86" s="14" t="s">
        <v>701</v>
      </c>
      <c r="Q86" s="14" t="s">
        <v>701</v>
      </c>
      <c r="R86" s="14" t="s">
        <v>727</v>
      </c>
    </row>
    <row r="87" spans="1:18" s="14" customFormat="1" x14ac:dyDescent="0.25">
      <c r="A87" s="14" t="str">
        <f>"24538"</f>
        <v>24538</v>
      </c>
      <c r="B87" s="14" t="str">
        <f>"01660"</f>
        <v>01660</v>
      </c>
      <c r="C87" s="14" t="str">
        <f>"1600"</f>
        <v>1600</v>
      </c>
      <c r="D87" s="14" t="str">
        <f>"24538"</f>
        <v>24538</v>
      </c>
      <c r="E87" s="14" t="s">
        <v>908</v>
      </c>
      <c r="F87" s="14" t="s">
        <v>145</v>
      </c>
      <c r="G87" s="14" t="str">
        <f>"GR0024538"</f>
        <v>GR0024538</v>
      </c>
      <c r="H87" s="14" t="str">
        <f>" 10"</f>
        <v xml:space="preserve"> 10</v>
      </c>
      <c r="I87" s="14">
        <v>0.01</v>
      </c>
      <c r="J87" s="14">
        <v>500</v>
      </c>
      <c r="K87" s="14" t="s">
        <v>146</v>
      </c>
      <c r="L87" s="14" t="s">
        <v>147</v>
      </c>
      <c r="O87" s="14" t="s">
        <v>661</v>
      </c>
      <c r="P87" s="14" t="s">
        <v>701</v>
      </c>
      <c r="Q87" s="14" t="s">
        <v>701</v>
      </c>
      <c r="R87" s="14" t="s">
        <v>146</v>
      </c>
    </row>
    <row r="88" spans="1:18" s="14" customFormat="1" x14ac:dyDescent="0.25">
      <c r="A88" s="14" t="str">
        <f>"24538"</f>
        <v>24538</v>
      </c>
      <c r="B88" s="14" t="str">
        <f>"01660"</f>
        <v>01660</v>
      </c>
      <c r="C88" s="14" t="str">
        <f>"1600"</f>
        <v>1600</v>
      </c>
      <c r="D88" s="14" t="str">
        <f>"24538"</f>
        <v>24538</v>
      </c>
      <c r="E88" s="14" t="s">
        <v>908</v>
      </c>
      <c r="F88" s="14" t="s">
        <v>145</v>
      </c>
      <c r="G88" s="14" t="str">
        <f>"GR0024538"</f>
        <v>GR0024538</v>
      </c>
      <c r="H88" s="14" t="str">
        <f>" 20"</f>
        <v xml:space="preserve"> 20</v>
      </c>
      <c r="I88" s="14">
        <v>500.01</v>
      </c>
      <c r="J88" s="14">
        <v>9999999.9900000002</v>
      </c>
      <c r="K88" s="14" t="s">
        <v>147</v>
      </c>
      <c r="L88" s="14" t="s">
        <v>661</v>
      </c>
      <c r="O88" s="14" t="s">
        <v>661</v>
      </c>
      <c r="P88" s="14" t="s">
        <v>701</v>
      </c>
      <c r="Q88" s="14" t="s">
        <v>701</v>
      </c>
      <c r="R88" s="14" t="s">
        <v>146</v>
      </c>
    </row>
    <row r="89" spans="1:18" s="14" customFormat="1" x14ac:dyDescent="0.25">
      <c r="A89" s="14" t="str">
        <f>"24539"</f>
        <v>24539</v>
      </c>
      <c r="B89" s="14" t="str">
        <f>"01660"</f>
        <v>01660</v>
      </c>
      <c r="C89" s="14" t="str">
        <f>"1600"</f>
        <v>1600</v>
      </c>
      <c r="D89" s="14" t="str">
        <f>"24539"</f>
        <v>24539</v>
      </c>
      <c r="E89" s="14" t="s">
        <v>909</v>
      </c>
      <c r="F89" s="14" t="s">
        <v>145</v>
      </c>
      <c r="G89" s="14" t="str">
        <f>"GR0024538"</f>
        <v>GR0024538</v>
      </c>
      <c r="H89" s="14" t="str">
        <f>" 10"</f>
        <v xml:space="preserve"> 10</v>
      </c>
      <c r="I89" s="14">
        <v>0.01</v>
      </c>
      <c r="J89" s="14">
        <v>500</v>
      </c>
      <c r="K89" s="14" t="s">
        <v>146</v>
      </c>
      <c r="L89" s="14" t="s">
        <v>147</v>
      </c>
      <c r="O89" s="14" t="s">
        <v>661</v>
      </c>
      <c r="P89" s="14" t="s">
        <v>701</v>
      </c>
      <c r="Q89" s="14" t="s">
        <v>701</v>
      </c>
      <c r="R89" s="14" t="s">
        <v>146</v>
      </c>
    </row>
    <row r="90" spans="1:18" s="14" customFormat="1" x14ac:dyDescent="0.25">
      <c r="A90" s="14" t="str">
        <f>"24539"</f>
        <v>24539</v>
      </c>
      <c r="B90" s="14" t="str">
        <f>"01660"</f>
        <v>01660</v>
      </c>
      <c r="C90" s="14" t="str">
        <f>"1600"</f>
        <v>1600</v>
      </c>
      <c r="D90" s="14" t="str">
        <f>"24539"</f>
        <v>24539</v>
      </c>
      <c r="E90" s="14" t="s">
        <v>909</v>
      </c>
      <c r="F90" s="14" t="s">
        <v>145</v>
      </c>
      <c r="G90" s="14" t="str">
        <f>"GR0024538"</f>
        <v>GR0024538</v>
      </c>
      <c r="H90" s="14" t="str">
        <f>" 20"</f>
        <v xml:space="preserve"> 20</v>
      </c>
      <c r="I90" s="14">
        <v>500.01</v>
      </c>
      <c r="J90" s="14">
        <v>9999999.9900000002</v>
      </c>
      <c r="K90" s="14" t="s">
        <v>147</v>
      </c>
      <c r="L90" s="14" t="s">
        <v>661</v>
      </c>
      <c r="O90" s="14" t="s">
        <v>661</v>
      </c>
      <c r="P90" s="14" t="s">
        <v>701</v>
      </c>
      <c r="Q90" s="14" t="s">
        <v>701</v>
      </c>
      <c r="R90" s="14" t="s">
        <v>146</v>
      </c>
    </row>
    <row r="91" spans="1:18" s="14" customFormat="1" x14ac:dyDescent="0.25">
      <c r="A91" s="14" t="str">
        <f>"24660"</f>
        <v>24660</v>
      </c>
      <c r="B91" s="14" t="str">
        <f>"01390"</f>
        <v>01390</v>
      </c>
      <c r="C91" s="14" t="str">
        <f>"1600"</f>
        <v>1600</v>
      </c>
      <c r="D91" s="14" t="str">
        <f>"24660"</f>
        <v>24660</v>
      </c>
      <c r="E91" s="14" t="s">
        <v>910</v>
      </c>
      <c r="F91" s="14" t="s">
        <v>116</v>
      </c>
      <c r="G91" s="14" t="str">
        <f>"GR0024660"</f>
        <v>GR0024660</v>
      </c>
      <c r="H91" s="14" t="str">
        <f>" 00"</f>
        <v xml:space="preserve"> 00</v>
      </c>
      <c r="I91" s="14">
        <v>0.01</v>
      </c>
      <c r="J91" s="14">
        <v>9999999.9900000002</v>
      </c>
      <c r="K91" s="14" t="s">
        <v>112</v>
      </c>
      <c r="L91" s="14" t="s">
        <v>113</v>
      </c>
      <c r="M91" s="14" t="s">
        <v>114</v>
      </c>
      <c r="O91" s="14" t="s">
        <v>911</v>
      </c>
      <c r="P91" s="14" t="s">
        <v>701</v>
      </c>
      <c r="Q91" s="14" t="s">
        <v>701</v>
      </c>
      <c r="R91" s="14" t="s">
        <v>115</v>
      </c>
    </row>
    <row r="92" spans="1:18" s="14" customFormat="1" x14ac:dyDescent="0.25">
      <c r="A92" s="14" t="str">
        <f>"24661"</f>
        <v>24661</v>
      </c>
      <c r="B92" s="14" t="str">
        <f>"01390"</f>
        <v>01390</v>
      </c>
      <c r="C92" s="14" t="str">
        <f>"1600"</f>
        <v>1600</v>
      </c>
      <c r="D92" s="14" t="str">
        <f>"24661"</f>
        <v>24661</v>
      </c>
      <c r="E92" s="14" t="s">
        <v>912</v>
      </c>
      <c r="F92" s="14" t="s">
        <v>116</v>
      </c>
      <c r="G92" s="14" t="str">
        <f>"GR0024660"</f>
        <v>GR0024660</v>
      </c>
      <c r="H92" s="14" t="str">
        <f>" 00"</f>
        <v xml:space="preserve"> 00</v>
      </c>
      <c r="I92" s="14">
        <v>0.01</v>
      </c>
      <c r="J92" s="14">
        <v>9999999.9900000002</v>
      </c>
      <c r="K92" s="14" t="s">
        <v>112</v>
      </c>
      <c r="L92" s="14" t="s">
        <v>113</v>
      </c>
      <c r="M92" s="14" t="s">
        <v>114</v>
      </c>
      <c r="O92" s="14" t="s">
        <v>911</v>
      </c>
      <c r="P92" s="14" t="s">
        <v>701</v>
      </c>
      <c r="Q92" s="14" t="s">
        <v>701</v>
      </c>
      <c r="R92" s="14" t="s">
        <v>115</v>
      </c>
    </row>
    <row r="93" spans="1:18" s="14" customFormat="1" x14ac:dyDescent="0.25">
      <c r="A93" s="14" t="str">
        <f>"25004"</f>
        <v>25004</v>
      </c>
      <c r="B93" s="14" t="str">
        <f>"01400"</f>
        <v>01400</v>
      </c>
      <c r="C93" s="14" t="str">
        <f>"1200"</f>
        <v>1200</v>
      </c>
      <c r="D93" s="14" t="str">
        <f>"25004"</f>
        <v>25004</v>
      </c>
      <c r="E93" s="14" t="s">
        <v>913</v>
      </c>
      <c r="F93" s="14" t="s">
        <v>117</v>
      </c>
      <c r="G93" s="14" t="str">
        <f>"GR0025004"</f>
        <v>GR0025004</v>
      </c>
      <c r="H93" s="14" t="str">
        <f>" 00"</f>
        <v xml:space="preserve"> 00</v>
      </c>
      <c r="I93" s="14">
        <v>0.01</v>
      </c>
      <c r="J93" s="14">
        <v>9999999.9900000002</v>
      </c>
      <c r="K93" s="14" t="s">
        <v>69</v>
      </c>
      <c r="L93" s="14" t="s">
        <v>70</v>
      </c>
      <c r="M93" s="14" t="s">
        <v>71</v>
      </c>
      <c r="O93" s="14" t="s">
        <v>914</v>
      </c>
      <c r="P93" s="14" t="s">
        <v>701</v>
      </c>
      <c r="Q93" s="14" t="s">
        <v>701</v>
      </c>
      <c r="R93" s="14" t="s">
        <v>72</v>
      </c>
    </row>
    <row r="94" spans="1:18" s="14" customFormat="1" x14ac:dyDescent="0.25">
      <c r="A94" s="14" t="str">
        <f>"25097"</f>
        <v>25097</v>
      </c>
      <c r="B94" s="14" t="str">
        <f>"01500"</f>
        <v>01500</v>
      </c>
      <c r="C94" s="14" t="str">
        <f>"1600"</f>
        <v>1600</v>
      </c>
      <c r="D94" s="14" t="str">
        <f>"25097"</f>
        <v>25097</v>
      </c>
      <c r="E94" s="14" t="s">
        <v>915</v>
      </c>
      <c r="F94" s="14" t="s">
        <v>130</v>
      </c>
      <c r="G94" s="14" t="str">
        <f>"GR0025097"</f>
        <v>GR0025097</v>
      </c>
      <c r="H94" s="14" t="str">
        <f>" 00"</f>
        <v xml:space="preserve"> 00</v>
      </c>
      <c r="I94" s="14">
        <v>0.01</v>
      </c>
      <c r="J94" s="14">
        <v>9999999.9900000002</v>
      </c>
      <c r="K94" s="14" t="s">
        <v>69</v>
      </c>
      <c r="L94" s="14" t="s">
        <v>70</v>
      </c>
      <c r="M94" s="14" t="s">
        <v>71</v>
      </c>
      <c r="O94" s="14" t="s">
        <v>916</v>
      </c>
      <c r="P94" s="14" t="s">
        <v>701</v>
      </c>
      <c r="Q94" s="14" t="s">
        <v>701</v>
      </c>
      <c r="R94" s="14" t="s">
        <v>72</v>
      </c>
    </row>
    <row r="95" spans="1:18" s="14" customFormat="1" x14ac:dyDescent="0.25">
      <c r="A95" s="14" t="str">
        <f>"25116"</f>
        <v>25116</v>
      </c>
      <c r="B95" s="14" t="str">
        <f>"01705"</f>
        <v>01705</v>
      </c>
      <c r="C95" s="14" t="str">
        <f>"1600"</f>
        <v>1600</v>
      </c>
      <c r="D95" s="14" t="str">
        <f>"25116"</f>
        <v>25116</v>
      </c>
      <c r="E95" s="14" t="s">
        <v>917</v>
      </c>
      <c r="F95" s="14" t="s">
        <v>159</v>
      </c>
      <c r="G95" s="14" t="str">
        <f>"GR0025116"</f>
        <v>GR0025116</v>
      </c>
      <c r="H95" s="14" t="str">
        <f>" 10"</f>
        <v xml:space="preserve"> 10</v>
      </c>
      <c r="I95" s="14">
        <v>0.01</v>
      </c>
      <c r="J95" s="14">
        <v>500</v>
      </c>
      <c r="K95" s="14" t="s">
        <v>146</v>
      </c>
      <c r="L95" s="14" t="s">
        <v>147</v>
      </c>
      <c r="O95" s="14" t="s">
        <v>147</v>
      </c>
      <c r="P95" s="14" t="s">
        <v>701</v>
      </c>
      <c r="Q95" s="14" t="s">
        <v>701</v>
      </c>
      <c r="R95" s="14" t="s">
        <v>146</v>
      </c>
    </row>
    <row r="96" spans="1:18" s="14" customFormat="1" x14ac:dyDescent="0.25">
      <c r="A96" s="14" t="str">
        <f>"25116"</f>
        <v>25116</v>
      </c>
      <c r="B96" s="14" t="str">
        <f>"01705"</f>
        <v>01705</v>
      </c>
      <c r="C96" s="14" t="str">
        <f>"1600"</f>
        <v>1600</v>
      </c>
      <c r="D96" s="14" t="str">
        <f>"25116"</f>
        <v>25116</v>
      </c>
      <c r="E96" s="14" t="s">
        <v>917</v>
      </c>
      <c r="F96" s="14" t="s">
        <v>159</v>
      </c>
      <c r="G96" s="14" t="str">
        <f>"GR0025116"</f>
        <v>GR0025116</v>
      </c>
      <c r="H96" s="14" t="str">
        <f>" 20"</f>
        <v xml:space="preserve"> 20</v>
      </c>
      <c r="I96" s="14">
        <v>500.01</v>
      </c>
      <c r="J96" s="14">
        <v>9999999.9900000002</v>
      </c>
      <c r="K96" s="14" t="s">
        <v>147</v>
      </c>
      <c r="L96" s="14" t="s">
        <v>147</v>
      </c>
      <c r="O96" s="14" t="s">
        <v>147</v>
      </c>
      <c r="P96" s="14" t="s">
        <v>701</v>
      </c>
      <c r="Q96" s="14" t="s">
        <v>701</v>
      </c>
      <c r="R96" s="14" t="s">
        <v>146</v>
      </c>
    </row>
    <row r="97" spans="1:18" s="14" customFormat="1" x14ac:dyDescent="0.25">
      <c r="A97" s="14" t="str">
        <f>"25122"</f>
        <v>25122</v>
      </c>
      <c r="B97" s="14" t="str">
        <f>"01630"</f>
        <v>01630</v>
      </c>
      <c r="C97" s="14" t="str">
        <f>"1300"</f>
        <v>1300</v>
      </c>
      <c r="D97" s="14" t="str">
        <f>"25122"</f>
        <v>25122</v>
      </c>
      <c r="E97" s="14" t="s">
        <v>918</v>
      </c>
      <c r="F97" s="14" t="s">
        <v>142</v>
      </c>
      <c r="G97" s="14" t="str">
        <f>"GR0025122"</f>
        <v>GR0025122</v>
      </c>
      <c r="H97" s="14" t="str">
        <f>" 00"</f>
        <v xml:space="preserve"> 00</v>
      </c>
      <c r="I97" s="14">
        <v>0.01</v>
      </c>
      <c r="J97" s="14">
        <v>9999999.9900000002</v>
      </c>
      <c r="K97" s="14" t="s">
        <v>69</v>
      </c>
      <c r="L97" s="14" t="s">
        <v>70</v>
      </c>
      <c r="M97" s="14" t="s">
        <v>71</v>
      </c>
      <c r="O97" s="14" t="s">
        <v>919</v>
      </c>
      <c r="P97" s="14" t="s">
        <v>701</v>
      </c>
      <c r="Q97" s="14" t="s">
        <v>701</v>
      </c>
      <c r="R97" s="14" t="s">
        <v>72</v>
      </c>
    </row>
    <row r="98" spans="1:18" s="14" customFormat="1" x14ac:dyDescent="0.25">
      <c r="A98" s="14" t="str">
        <f>"25133"</f>
        <v>25133</v>
      </c>
      <c r="B98" s="14" t="str">
        <f>"01080"</f>
        <v>01080</v>
      </c>
      <c r="C98" s="14" t="str">
        <f>"1700"</f>
        <v>1700</v>
      </c>
      <c r="D98" s="14" t="str">
        <f>"25133"</f>
        <v>25133</v>
      </c>
      <c r="E98" s="14" t="s">
        <v>920</v>
      </c>
      <c r="F98" s="14" t="s">
        <v>61</v>
      </c>
      <c r="G98" s="14" t="str">
        <f>"GR0025133"</f>
        <v>GR0025133</v>
      </c>
      <c r="H98" s="14" t="str">
        <f>" 00"</f>
        <v xml:space="preserve"> 00</v>
      </c>
      <c r="I98" s="14">
        <v>0.01</v>
      </c>
      <c r="J98" s="14">
        <v>9999999.9900000002</v>
      </c>
      <c r="K98" s="14" t="s">
        <v>37</v>
      </c>
      <c r="L98" s="14" t="s">
        <v>50</v>
      </c>
      <c r="O98" s="14" t="s">
        <v>37</v>
      </c>
      <c r="P98" s="14" t="s">
        <v>701</v>
      </c>
      <c r="Q98" s="14" t="s">
        <v>701</v>
      </c>
      <c r="R98" s="14" t="s">
        <v>38</v>
      </c>
    </row>
    <row r="99" spans="1:18" s="14" customFormat="1" x14ac:dyDescent="0.25">
      <c r="A99" s="14" t="str">
        <f>"25136"</f>
        <v>25136</v>
      </c>
      <c r="B99" s="14" t="str">
        <f>"01240"</f>
        <v>01240</v>
      </c>
      <c r="C99" s="14" t="str">
        <f>"1400"</f>
        <v>1400</v>
      </c>
      <c r="D99" s="14" t="str">
        <f>"25136"</f>
        <v>25136</v>
      </c>
      <c r="E99" s="14" t="s">
        <v>921</v>
      </c>
      <c r="F99" s="14" t="s">
        <v>80</v>
      </c>
      <c r="G99" s="14" t="str">
        <f>"GR0025136"</f>
        <v>GR0025136</v>
      </c>
      <c r="H99" s="14" t="str">
        <f>" 00"</f>
        <v xml:space="preserve"> 00</v>
      </c>
      <c r="I99" s="14">
        <v>0.01</v>
      </c>
      <c r="J99" s="14">
        <v>9999999.9900000002</v>
      </c>
      <c r="K99" s="14" t="s">
        <v>37</v>
      </c>
      <c r="L99" s="14" t="s">
        <v>81</v>
      </c>
      <c r="O99" s="14" t="s">
        <v>81</v>
      </c>
      <c r="P99" s="14" t="s">
        <v>701</v>
      </c>
      <c r="Q99" s="14" t="s">
        <v>701</v>
      </c>
      <c r="R99" s="14" t="s">
        <v>81</v>
      </c>
    </row>
    <row r="100" spans="1:18" s="14" customFormat="1" x14ac:dyDescent="0.25">
      <c r="A100" s="14" t="str">
        <f>"25139"</f>
        <v>25139</v>
      </c>
      <c r="B100" s="14" t="str">
        <f>"01695"</f>
        <v>01695</v>
      </c>
      <c r="C100" s="14" t="str">
        <f>"1200"</f>
        <v>1200</v>
      </c>
      <c r="D100" s="14" t="str">
        <f>"25139"</f>
        <v>25139</v>
      </c>
      <c r="E100" s="14" t="s">
        <v>922</v>
      </c>
      <c r="F100" s="14" t="s">
        <v>155</v>
      </c>
      <c r="G100" s="14" t="str">
        <f>"GR0025139"</f>
        <v>GR0025139</v>
      </c>
      <c r="H100" s="14" t="str">
        <f>" 10"</f>
        <v xml:space="preserve"> 10</v>
      </c>
      <c r="I100" s="14">
        <v>0.01</v>
      </c>
      <c r="J100" s="14">
        <v>500</v>
      </c>
      <c r="K100" s="14" t="s">
        <v>146</v>
      </c>
      <c r="L100" s="14" t="s">
        <v>147</v>
      </c>
      <c r="O100" s="14" t="s">
        <v>156</v>
      </c>
      <c r="P100" s="14" t="s">
        <v>701</v>
      </c>
      <c r="Q100" s="14" t="s">
        <v>701</v>
      </c>
      <c r="R100" s="14" t="s">
        <v>146</v>
      </c>
    </row>
    <row r="101" spans="1:18" s="14" customFormat="1" x14ac:dyDescent="0.25">
      <c r="A101" s="14" t="str">
        <f>"25139"</f>
        <v>25139</v>
      </c>
      <c r="B101" s="14" t="str">
        <f>"01695"</f>
        <v>01695</v>
      </c>
      <c r="C101" s="14" t="str">
        <f>"1200"</f>
        <v>1200</v>
      </c>
      <c r="D101" s="14" t="str">
        <f>"25139"</f>
        <v>25139</v>
      </c>
      <c r="E101" s="14" t="s">
        <v>922</v>
      </c>
      <c r="F101" s="14" t="s">
        <v>155</v>
      </c>
      <c r="G101" s="14" t="str">
        <f>"GR0025139"</f>
        <v>GR0025139</v>
      </c>
      <c r="H101" s="14" t="str">
        <f>" 20"</f>
        <v xml:space="preserve"> 20</v>
      </c>
      <c r="I101" s="14">
        <v>500.01</v>
      </c>
      <c r="J101" s="14">
        <v>9999999.9900000002</v>
      </c>
      <c r="K101" s="14" t="s">
        <v>156</v>
      </c>
      <c r="L101" s="14" t="s">
        <v>147</v>
      </c>
      <c r="O101" s="14" t="s">
        <v>156</v>
      </c>
      <c r="P101" s="14" t="s">
        <v>701</v>
      </c>
      <c r="Q101" s="14" t="s">
        <v>701</v>
      </c>
      <c r="R101" s="14" t="s">
        <v>146</v>
      </c>
    </row>
    <row r="102" spans="1:18" s="14" customFormat="1" x14ac:dyDescent="0.25">
      <c r="A102" s="14" t="str">
        <f>"25143"</f>
        <v>25143</v>
      </c>
      <c r="B102" s="14" t="str">
        <f>"01630"</f>
        <v>01630</v>
      </c>
      <c r="C102" s="14" t="str">
        <f>"1200"</f>
        <v>1200</v>
      </c>
      <c r="D102" s="14" t="str">
        <f>"25143"</f>
        <v>25143</v>
      </c>
      <c r="E102" s="14" t="s">
        <v>923</v>
      </c>
      <c r="F102" s="14" t="s">
        <v>142</v>
      </c>
      <c r="G102" s="14" t="str">
        <f>"GR0025143"</f>
        <v>GR0025143</v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69</v>
      </c>
      <c r="L102" s="14" t="s">
        <v>70</v>
      </c>
      <c r="M102" s="14" t="s">
        <v>71</v>
      </c>
      <c r="O102" s="14" t="s">
        <v>755</v>
      </c>
      <c r="P102" s="14" t="s">
        <v>701</v>
      </c>
      <c r="Q102" s="14" t="s">
        <v>701</v>
      </c>
      <c r="R102" s="14" t="s">
        <v>72</v>
      </c>
    </row>
    <row r="103" spans="1:18" s="14" customFormat="1" x14ac:dyDescent="0.25">
      <c r="A103" s="14" t="str">
        <f>"25146"</f>
        <v>25146</v>
      </c>
      <c r="B103" s="14" t="str">
        <f>"01390"</f>
        <v>01390</v>
      </c>
      <c r="C103" s="14" t="str">
        <f>"1300"</f>
        <v>1300</v>
      </c>
      <c r="D103" s="14" t="str">
        <f>"25146"</f>
        <v>25146</v>
      </c>
      <c r="E103" s="14" t="s">
        <v>924</v>
      </c>
      <c r="F103" s="14" t="s">
        <v>116</v>
      </c>
      <c r="G103" s="14" t="str">
        <f>"GR0025146"</f>
        <v>GR0025146</v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113</v>
      </c>
      <c r="L103" s="14" t="s">
        <v>112</v>
      </c>
      <c r="O103" s="14" t="s">
        <v>113</v>
      </c>
      <c r="P103" s="14" t="s">
        <v>701</v>
      </c>
      <c r="Q103" s="14" t="s">
        <v>701</v>
      </c>
      <c r="R103" s="14" t="s">
        <v>115</v>
      </c>
    </row>
    <row r="104" spans="1:18" s="14" customFormat="1" x14ac:dyDescent="0.25">
      <c r="A104" s="14" t="str">
        <f>"25147"</f>
        <v>25147</v>
      </c>
      <c r="B104" s="14" t="str">
        <f>"01790"</f>
        <v>01790</v>
      </c>
      <c r="C104" s="14" t="str">
        <f>"1600"</f>
        <v>1600</v>
      </c>
      <c r="D104" s="14" t="str">
        <f>"25147"</f>
        <v>25147</v>
      </c>
      <c r="E104" s="14" t="s">
        <v>925</v>
      </c>
      <c r="F104" s="14" t="s">
        <v>178</v>
      </c>
      <c r="G104" s="14" t="str">
        <f>"GR0025147"</f>
        <v>GR0025147</v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179</v>
      </c>
      <c r="L104" s="14" t="s">
        <v>112</v>
      </c>
      <c r="M104" s="14" t="s">
        <v>113</v>
      </c>
      <c r="O104" s="14" t="s">
        <v>926</v>
      </c>
      <c r="P104" s="14" t="s">
        <v>701</v>
      </c>
      <c r="Q104" s="14" t="s">
        <v>701</v>
      </c>
      <c r="R104" s="14" t="s">
        <v>115</v>
      </c>
    </row>
    <row r="105" spans="1:18" s="14" customFormat="1" x14ac:dyDescent="0.25">
      <c r="A105" s="14" t="str">
        <f>"25149"</f>
        <v>25149</v>
      </c>
      <c r="B105" s="14" t="str">
        <f>"01100"</f>
        <v>01100</v>
      </c>
      <c r="C105" s="14" t="str">
        <f>"1930"</f>
        <v>1930</v>
      </c>
      <c r="D105" s="14" t="str">
        <f>"25149"</f>
        <v>25149</v>
      </c>
      <c r="E105" s="14" t="s">
        <v>927</v>
      </c>
      <c r="F105" s="14" t="s">
        <v>725</v>
      </c>
      <c r="G105" s="14" t="str">
        <f>"GR0025149"</f>
        <v>GR0025149</v>
      </c>
      <c r="H105" s="14" t="str">
        <f>" 10"</f>
        <v xml:space="preserve"> 10</v>
      </c>
      <c r="I105" s="14">
        <v>0.01</v>
      </c>
      <c r="J105" s="14">
        <v>500</v>
      </c>
      <c r="K105" s="14" t="s">
        <v>727</v>
      </c>
      <c r="L105" s="14" t="s">
        <v>55</v>
      </c>
      <c r="O105" s="14" t="s">
        <v>55</v>
      </c>
      <c r="P105" s="14" t="s">
        <v>701</v>
      </c>
      <c r="Q105" s="14" t="s">
        <v>701</v>
      </c>
      <c r="R105" s="14" t="s">
        <v>727</v>
      </c>
    </row>
    <row r="106" spans="1:18" s="14" customFormat="1" x14ac:dyDescent="0.25">
      <c r="A106" s="14" t="str">
        <f>"25149"</f>
        <v>25149</v>
      </c>
      <c r="B106" s="14" t="str">
        <f>"01100"</f>
        <v>01100</v>
      </c>
      <c r="C106" s="14" t="str">
        <f>"1930"</f>
        <v>1930</v>
      </c>
      <c r="D106" s="14" t="str">
        <f>"25149"</f>
        <v>25149</v>
      </c>
      <c r="E106" s="14" t="s">
        <v>927</v>
      </c>
      <c r="F106" s="14" t="s">
        <v>725</v>
      </c>
      <c r="G106" s="14" t="str">
        <f>"GR0025149"</f>
        <v>GR0025149</v>
      </c>
      <c r="H106" s="14" t="str">
        <f>" 20"</f>
        <v xml:space="preserve"> 20</v>
      </c>
      <c r="I106" s="14">
        <v>500.01</v>
      </c>
      <c r="J106" s="14">
        <v>9999999.9900000002</v>
      </c>
      <c r="K106" s="14" t="s">
        <v>55</v>
      </c>
      <c r="L106" s="14" t="s">
        <v>726</v>
      </c>
      <c r="M106" s="14" t="s">
        <v>53</v>
      </c>
      <c r="O106" s="14" t="s">
        <v>55</v>
      </c>
      <c r="P106" s="14" t="s">
        <v>701</v>
      </c>
      <c r="Q106" s="14" t="s">
        <v>701</v>
      </c>
      <c r="R106" s="14" t="s">
        <v>727</v>
      </c>
    </row>
    <row r="107" spans="1:18" s="14" customFormat="1" x14ac:dyDescent="0.25">
      <c r="A107" s="14" t="str">
        <f>"25150"</f>
        <v>25150</v>
      </c>
      <c r="B107" s="14" t="str">
        <f>"01695"</f>
        <v>01695</v>
      </c>
      <c r="C107" s="14" t="str">
        <f>"1600"</f>
        <v>1600</v>
      </c>
      <c r="D107" s="14" t="str">
        <f>"25150"</f>
        <v>25150</v>
      </c>
      <c r="E107" s="14" t="s">
        <v>928</v>
      </c>
      <c r="F107" s="14" t="s">
        <v>155</v>
      </c>
      <c r="G107" s="14" t="str">
        <f>"GR0025150"</f>
        <v>GR0025150</v>
      </c>
      <c r="H107" s="14" t="str">
        <f>" 10"</f>
        <v xml:space="preserve"> 10</v>
      </c>
      <c r="I107" s="14">
        <v>0.01</v>
      </c>
      <c r="J107" s="14">
        <v>500</v>
      </c>
      <c r="K107" s="14" t="s">
        <v>146</v>
      </c>
      <c r="L107" s="14" t="s">
        <v>147</v>
      </c>
      <c r="M107" s="14" t="s">
        <v>156</v>
      </c>
      <c r="O107" s="14" t="s">
        <v>156</v>
      </c>
      <c r="P107" s="14" t="s">
        <v>701</v>
      </c>
      <c r="Q107" s="14" t="s">
        <v>701</v>
      </c>
      <c r="R107" s="14" t="s">
        <v>146</v>
      </c>
    </row>
    <row r="108" spans="1:18" s="14" customFormat="1" x14ac:dyDescent="0.25">
      <c r="A108" s="14" t="str">
        <f>"25150"</f>
        <v>25150</v>
      </c>
      <c r="B108" s="14" t="str">
        <f>"01695"</f>
        <v>01695</v>
      </c>
      <c r="C108" s="14" t="str">
        <f>"1600"</f>
        <v>1600</v>
      </c>
      <c r="D108" s="14" t="str">
        <f>"25150"</f>
        <v>25150</v>
      </c>
      <c r="E108" s="14" t="s">
        <v>928</v>
      </c>
      <c r="F108" s="14" t="s">
        <v>155</v>
      </c>
      <c r="G108" s="14" t="str">
        <f>"GR0025150"</f>
        <v>GR0025150</v>
      </c>
      <c r="H108" s="14" t="str">
        <f>" 20"</f>
        <v xml:space="preserve"> 20</v>
      </c>
      <c r="I108" s="14">
        <v>500.01</v>
      </c>
      <c r="J108" s="14">
        <v>9999999.9900000002</v>
      </c>
      <c r="K108" s="14" t="s">
        <v>147</v>
      </c>
      <c r="L108" s="14" t="s">
        <v>156</v>
      </c>
      <c r="O108" s="14" t="s">
        <v>156</v>
      </c>
      <c r="P108" s="14" t="s">
        <v>701</v>
      </c>
      <c r="Q108" s="14" t="s">
        <v>701</v>
      </c>
      <c r="R108" s="14" t="s">
        <v>146</v>
      </c>
    </row>
    <row r="109" spans="1:18" s="14" customFormat="1" x14ac:dyDescent="0.25">
      <c r="A109" s="14" t="str">
        <f>"25151"</f>
        <v>25151</v>
      </c>
      <c r="B109" s="14" t="str">
        <f>"01030"</f>
        <v>01030</v>
      </c>
      <c r="C109" s="14" t="str">
        <f>"1600"</f>
        <v>1600</v>
      </c>
      <c r="D109" s="14" t="str">
        <f>"25151"</f>
        <v>25151</v>
      </c>
      <c r="E109" s="14" t="s">
        <v>929</v>
      </c>
      <c r="F109" s="14" t="s">
        <v>52</v>
      </c>
      <c r="G109" s="14" t="str">
        <f>"GR0025151"</f>
        <v>GR0025151</v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53</v>
      </c>
      <c r="L109" s="14" t="s">
        <v>69</v>
      </c>
      <c r="M109" s="14" t="s">
        <v>48</v>
      </c>
      <c r="O109" s="14" t="s">
        <v>53</v>
      </c>
      <c r="P109" s="14" t="s">
        <v>701</v>
      </c>
      <c r="Q109" s="14" t="s">
        <v>701</v>
      </c>
      <c r="R109" s="14" t="s">
        <v>54</v>
      </c>
    </row>
    <row r="110" spans="1:18" s="14" customFormat="1" x14ac:dyDescent="0.25">
      <c r="A110" s="14" t="str">
        <f>"25152"</f>
        <v>25152</v>
      </c>
      <c r="B110" s="14" t="str">
        <f>"01100"</f>
        <v>01100</v>
      </c>
      <c r="C110" s="14" t="str">
        <f>"1930"</f>
        <v>1930</v>
      </c>
      <c r="D110" s="14" t="str">
        <f>"25152"</f>
        <v>25152</v>
      </c>
      <c r="E110" s="14" t="s">
        <v>930</v>
      </c>
      <c r="F110" s="14" t="s">
        <v>725</v>
      </c>
      <c r="G110" s="14" t="str">
        <f>"GR0025152"</f>
        <v>GR0025152</v>
      </c>
      <c r="H110" s="14" t="str">
        <f>" 10"</f>
        <v xml:space="preserve"> 10</v>
      </c>
      <c r="I110" s="14">
        <v>0.01</v>
      </c>
      <c r="J110" s="14">
        <v>500</v>
      </c>
      <c r="K110" s="14" t="s">
        <v>727</v>
      </c>
      <c r="L110" s="14" t="s">
        <v>55</v>
      </c>
      <c r="O110" s="14" t="s">
        <v>55</v>
      </c>
      <c r="P110" s="14" t="s">
        <v>701</v>
      </c>
      <c r="Q110" s="14" t="s">
        <v>701</v>
      </c>
      <c r="R110" s="14" t="s">
        <v>727</v>
      </c>
    </row>
    <row r="111" spans="1:18" s="14" customFormat="1" x14ac:dyDescent="0.25">
      <c r="A111" s="14" t="str">
        <f>"25152"</f>
        <v>25152</v>
      </c>
      <c r="B111" s="14" t="str">
        <f>"01100"</f>
        <v>01100</v>
      </c>
      <c r="C111" s="14" t="str">
        <f>"1930"</f>
        <v>1930</v>
      </c>
      <c r="D111" s="14" t="str">
        <f>"25152"</f>
        <v>25152</v>
      </c>
      <c r="E111" s="14" t="s">
        <v>930</v>
      </c>
      <c r="F111" s="14" t="s">
        <v>725</v>
      </c>
      <c r="G111" s="14" t="str">
        <f>"GR0025152"</f>
        <v>GR0025152</v>
      </c>
      <c r="H111" s="14" t="str">
        <f>" 20"</f>
        <v xml:space="preserve"> 20</v>
      </c>
      <c r="I111" s="14">
        <v>500.01</v>
      </c>
      <c r="J111" s="14">
        <v>9999999.9900000002</v>
      </c>
      <c r="K111" s="14" t="s">
        <v>55</v>
      </c>
      <c r="L111" s="14" t="s">
        <v>726</v>
      </c>
      <c r="M111" s="14" t="s">
        <v>53</v>
      </c>
      <c r="O111" s="14" t="s">
        <v>55</v>
      </c>
      <c r="P111" s="14" t="s">
        <v>701</v>
      </c>
      <c r="Q111" s="14" t="s">
        <v>701</v>
      </c>
      <c r="R111" s="14" t="s">
        <v>727</v>
      </c>
    </row>
    <row r="112" spans="1:18" s="14" customFormat="1" x14ac:dyDescent="0.25">
      <c r="A112" s="14" t="str">
        <f>"25153"</f>
        <v>25153</v>
      </c>
      <c r="B112" s="14" t="str">
        <f>"01160"</f>
        <v>01160</v>
      </c>
      <c r="C112" s="14" t="str">
        <f>"1700"</f>
        <v>1700</v>
      </c>
      <c r="D112" s="14" t="str">
        <f>"25153"</f>
        <v>25153</v>
      </c>
      <c r="E112" s="14" t="s">
        <v>931</v>
      </c>
      <c r="F112" s="14" t="s">
        <v>63</v>
      </c>
      <c r="G112" s="14" t="str">
        <f>"GR0025153"</f>
        <v>GR0025153</v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53</v>
      </c>
      <c r="L112" s="14" t="s">
        <v>55</v>
      </c>
      <c r="M112" s="14" t="s">
        <v>54</v>
      </c>
      <c r="O112" s="14" t="s">
        <v>875</v>
      </c>
      <c r="P112" s="14" t="s">
        <v>701</v>
      </c>
      <c r="Q112" s="14" t="s">
        <v>701</v>
      </c>
      <c r="R112" s="14" t="s">
        <v>875</v>
      </c>
    </row>
    <row r="113" spans="1:18" s="14" customFormat="1" x14ac:dyDescent="0.25">
      <c r="A113" s="14" t="str">
        <f>"25154"</f>
        <v>25154</v>
      </c>
      <c r="B113" s="14" t="str">
        <f>"01580"</f>
        <v>01580</v>
      </c>
      <c r="C113" s="14" t="str">
        <f>"1700"</f>
        <v>1700</v>
      </c>
      <c r="D113" s="14" t="str">
        <f>"25154"</f>
        <v>25154</v>
      </c>
      <c r="E113" s="14" t="s">
        <v>932</v>
      </c>
      <c r="F113" s="14" t="s">
        <v>137</v>
      </c>
      <c r="G113" s="14" t="str">
        <f>"GR0025154"</f>
        <v>GR0025154</v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69</v>
      </c>
      <c r="L113" s="14" t="s">
        <v>70</v>
      </c>
      <c r="M113" s="14" t="s">
        <v>71</v>
      </c>
      <c r="O113" s="14" t="s">
        <v>933</v>
      </c>
      <c r="P113" s="14" t="s">
        <v>701</v>
      </c>
      <c r="Q113" s="14" t="s">
        <v>701</v>
      </c>
      <c r="R113" s="14" t="s">
        <v>72</v>
      </c>
    </row>
    <row r="114" spans="1:18" s="14" customFormat="1" x14ac:dyDescent="0.25">
      <c r="A114" s="14" t="str">
        <f>"25155"</f>
        <v>25155</v>
      </c>
      <c r="B114" s="14" t="str">
        <f>"01100"</f>
        <v>01100</v>
      </c>
      <c r="C114" s="14" t="str">
        <f>"1930"</f>
        <v>1930</v>
      </c>
      <c r="D114" s="14" t="str">
        <f>""</f>
        <v/>
      </c>
      <c r="E114" s="14" t="s">
        <v>934</v>
      </c>
      <c r="F114" s="14" t="s">
        <v>725</v>
      </c>
      <c r="G114" s="14" t="str">
        <f>"GR0025155"</f>
        <v>GR0025155</v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55</v>
      </c>
      <c r="L114" s="14" t="s">
        <v>726</v>
      </c>
      <c r="M114" s="14" t="s">
        <v>53</v>
      </c>
      <c r="O114" s="14" t="s">
        <v>55</v>
      </c>
      <c r="P114" s="14" t="s">
        <v>701</v>
      </c>
      <c r="Q114" s="14" t="s">
        <v>701</v>
      </c>
      <c r="R114" s="14" t="s">
        <v>727</v>
      </c>
    </row>
    <row r="115" spans="1:18" s="14" customFormat="1" x14ac:dyDescent="0.25">
      <c r="A115" s="14" t="str">
        <f>"25156"</f>
        <v>25156</v>
      </c>
      <c r="B115" s="14" t="str">
        <f>"01710"</f>
        <v>01710</v>
      </c>
      <c r="C115" s="14" t="str">
        <f>"1200"</f>
        <v>1200</v>
      </c>
      <c r="D115" s="14" t="str">
        <f>"25156"</f>
        <v>25156</v>
      </c>
      <c r="E115" s="14" t="s">
        <v>935</v>
      </c>
      <c r="F115" s="14" t="s">
        <v>161</v>
      </c>
      <c r="G115" s="14" t="str">
        <f>"GR0025156"</f>
        <v>GR0025156</v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162</v>
      </c>
      <c r="L115" s="14" t="s">
        <v>147</v>
      </c>
      <c r="M115" s="14" t="s">
        <v>154</v>
      </c>
      <c r="N115" s="14" t="s">
        <v>773</v>
      </c>
      <c r="O115" s="14" t="s">
        <v>773</v>
      </c>
      <c r="P115" s="14" t="s">
        <v>701</v>
      </c>
      <c r="Q115" s="14" t="s">
        <v>701</v>
      </c>
      <c r="R115" s="14" t="s">
        <v>146</v>
      </c>
    </row>
    <row r="116" spans="1:18" s="14" customFormat="1" x14ac:dyDescent="0.25">
      <c r="A116" s="14" t="str">
        <f>"25157"</f>
        <v>25157</v>
      </c>
      <c r="B116" s="14" t="str">
        <f>"01710"</f>
        <v>01710</v>
      </c>
      <c r="C116" s="14" t="str">
        <f>"1200"</f>
        <v>1200</v>
      </c>
      <c r="D116" s="14" t="str">
        <f>"25157"</f>
        <v>25157</v>
      </c>
      <c r="E116" s="14" t="s">
        <v>936</v>
      </c>
      <c r="F116" s="14" t="s">
        <v>161</v>
      </c>
      <c r="G116" s="14" t="str">
        <f>"GR0025156"</f>
        <v>GR0025156</v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162</v>
      </c>
      <c r="L116" s="14" t="s">
        <v>147</v>
      </c>
      <c r="M116" s="14" t="s">
        <v>154</v>
      </c>
      <c r="N116" s="14" t="s">
        <v>773</v>
      </c>
      <c r="O116" s="14" t="s">
        <v>773</v>
      </c>
      <c r="P116" s="14" t="s">
        <v>701</v>
      </c>
      <c r="Q116" s="14" t="s">
        <v>701</v>
      </c>
      <c r="R116" s="14" t="s">
        <v>146</v>
      </c>
    </row>
    <row r="117" spans="1:18" s="14" customFormat="1" x14ac:dyDescent="0.25">
      <c r="A117" s="14" t="str">
        <f>"25158"</f>
        <v>25158</v>
      </c>
      <c r="B117" s="14" t="str">
        <f>"01390"</f>
        <v>01390</v>
      </c>
      <c r="C117" s="14" t="str">
        <f>"1300"</f>
        <v>1300</v>
      </c>
      <c r="D117" s="14" t="str">
        <f>"25158"</f>
        <v>25158</v>
      </c>
      <c r="E117" s="14" t="s">
        <v>937</v>
      </c>
      <c r="F117" s="14" t="s">
        <v>116</v>
      </c>
      <c r="G117" s="14" t="str">
        <f>"GR0025158"</f>
        <v>GR0025158</v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113</v>
      </c>
      <c r="L117" s="14" t="s">
        <v>112</v>
      </c>
      <c r="M117" s="14" t="s">
        <v>114</v>
      </c>
      <c r="O117" s="14" t="s">
        <v>113</v>
      </c>
      <c r="P117" s="14" t="s">
        <v>701</v>
      </c>
      <c r="Q117" s="14" t="s">
        <v>701</v>
      </c>
      <c r="R117" s="14" t="s">
        <v>115</v>
      </c>
    </row>
    <row r="118" spans="1:18" s="14" customFormat="1" x14ac:dyDescent="0.25">
      <c r="A118" s="14" t="str">
        <f>"25159"</f>
        <v>25159</v>
      </c>
      <c r="B118" s="14" t="str">
        <f>"01695"</f>
        <v>01695</v>
      </c>
      <c r="C118" s="14" t="str">
        <f>"1600"</f>
        <v>1600</v>
      </c>
      <c r="D118" s="14" t="str">
        <f>"25159"</f>
        <v>25159</v>
      </c>
      <c r="E118" s="14" t="s">
        <v>938</v>
      </c>
      <c r="F118" s="14" t="s">
        <v>155</v>
      </c>
      <c r="G118" s="14" t="str">
        <f>"GR0025159"</f>
        <v>GR0025159</v>
      </c>
      <c r="H118" s="14" t="str">
        <f>" 10"</f>
        <v xml:space="preserve"> 10</v>
      </c>
      <c r="I118" s="14">
        <v>0.01</v>
      </c>
      <c r="J118" s="14">
        <v>500</v>
      </c>
      <c r="K118" s="14" t="s">
        <v>146</v>
      </c>
      <c r="L118" s="14" t="s">
        <v>156</v>
      </c>
      <c r="O118" s="14" t="s">
        <v>156</v>
      </c>
      <c r="P118" s="14" t="s">
        <v>701</v>
      </c>
      <c r="Q118" s="14" t="s">
        <v>701</v>
      </c>
      <c r="R118" s="14" t="s">
        <v>146</v>
      </c>
    </row>
    <row r="119" spans="1:18" s="14" customFormat="1" x14ac:dyDescent="0.25">
      <c r="A119" s="14" t="str">
        <f>"25159"</f>
        <v>25159</v>
      </c>
      <c r="B119" s="14" t="str">
        <f>"01695"</f>
        <v>01695</v>
      </c>
      <c r="C119" s="14" t="str">
        <f>"1600"</f>
        <v>1600</v>
      </c>
      <c r="D119" s="14" t="str">
        <f>"25159"</f>
        <v>25159</v>
      </c>
      <c r="E119" s="14" t="s">
        <v>938</v>
      </c>
      <c r="F119" s="14" t="s">
        <v>155</v>
      </c>
      <c r="G119" s="14" t="str">
        <f>"GR0025159"</f>
        <v>GR0025159</v>
      </c>
      <c r="H119" s="14" t="str">
        <f>" 20"</f>
        <v xml:space="preserve"> 20</v>
      </c>
      <c r="I119" s="14">
        <v>500.01</v>
      </c>
      <c r="J119" s="14">
        <v>9999999.9900000002</v>
      </c>
      <c r="K119" s="14" t="s">
        <v>156</v>
      </c>
      <c r="L119" s="14" t="s">
        <v>147</v>
      </c>
      <c r="O119" s="14" t="s">
        <v>156</v>
      </c>
      <c r="P119" s="14" t="s">
        <v>701</v>
      </c>
      <c r="Q119" s="14" t="s">
        <v>701</v>
      </c>
      <c r="R119" s="14" t="s">
        <v>146</v>
      </c>
    </row>
    <row r="120" spans="1:18" s="14" customFormat="1" x14ac:dyDescent="0.25">
      <c r="A120" s="14" t="str">
        <f>"25160"</f>
        <v>25160</v>
      </c>
      <c r="B120" s="14" t="str">
        <f>"01660"</f>
        <v>01660</v>
      </c>
      <c r="C120" s="14" t="str">
        <f>"1800"</f>
        <v>1800</v>
      </c>
      <c r="D120" s="14" t="str">
        <f>""</f>
        <v/>
      </c>
      <c r="E120" s="14" t="s">
        <v>939</v>
      </c>
      <c r="F120" s="14" t="s">
        <v>145</v>
      </c>
      <c r="G120" s="14" t="str">
        <f>"GR0025160"</f>
        <v>GR0025160</v>
      </c>
      <c r="H120" s="14" t="str">
        <f>" 10"</f>
        <v xml:space="preserve"> 10</v>
      </c>
      <c r="I120" s="14">
        <v>0.01</v>
      </c>
      <c r="J120" s="14">
        <v>500</v>
      </c>
      <c r="K120" s="14" t="s">
        <v>146</v>
      </c>
      <c r="L120" s="14" t="s">
        <v>147</v>
      </c>
      <c r="O120" s="14" t="s">
        <v>147</v>
      </c>
      <c r="P120" s="14" t="s">
        <v>701</v>
      </c>
      <c r="Q120" s="14" t="s">
        <v>701</v>
      </c>
      <c r="R120" s="14" t="s">
        <v>146</v>
      </c>
    </row>
    <row r="121" spans="1:18" s="14" customFormat="1" x14ac:dyDescent="0.25">
      <c r="A121" s="14" t="str">
        <f>"25160"</f>
        <v>25160</v>
      </c>
      <c r="B121" s="14" t="str">
        <f>"01660"</f>
        <v>01660</v>
      </c>
      <c r="C121" s="14" t="str">
        <f>"1800"</f>
        <v>1800</v>
      </c>
      <c r="D121" s="14" t="str">
        <f>""</f>
        <v/>
      </c>
      <c r="E121" s="14" t="s">
        <v>939</v>
      </c>
      <c r="F121" s="14" t="s">
        <v>145</v>
      </c>
      <c r="G121" s="14" t="str">
        <f>"GR0025160"</f>
        <v>GR0025160</v>
      </c>
      <c r="H121" s="14" t="str">
        <f>" 20"</f>
        <v xml:space="preserve"> 20</v>
      </c>
      <c r="I121" s="14">
        <v>500.01</v>
      </c>
      <c r="J121" s="14">
        <v>9999999.9900000002</v>
      </c>
      <c r="K121" s="14" t="s">
        <v>147</v>
      </c>
      <c r="L121" s="14" t="s">
        <v>148</v>
      </c>
      <c r="O121" s="14" t="s">
        <v>147</v>
      </c>
      <c r="P121" s="14" t="s">
        <v>701</v>
      </c>
      <c r="Q121" s="14" t="s">
        <v>701</v>
      </c>
      <c r="R121" s="14" t="s">
        <v>146</v>
      </c>
    </row>
    <row r="122" spans="1:18" s="14" customFormat="1" x14ac:dyDescent="0.25">
      <c r="A122" s="14" t="str">
        <f>"26029"</f>
        <v>26029</v>
      </c>
      <c r="B122" s="14" t="str">
        <f>"01000"</f>
        <v>01000</v>
      </c>
      <c r="C122" s="14" t="str">
        <f>"1300"</f>
        <v>1300</v>
      </c>
      <c r="D122" s="14" t="str">
        <f>"26029"</f>
        <v>26029</v>
      </c>
      <c r="E122" s="14" t="s">
        <v>940</v>
      </c>
      <c r="F122" s="14" t="s">
        <v>44</v>
      </c>
      <c r="G122" s="14" t="str">
        <f>"GR0026029"</f>
        <v>GR0026029</v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37</v>
      </c>
      <c r="L122" s="14" t="s">
        <v>38</v>
      </c>
      <c r="O122" s="14" t="s">
        <v>579</v>
      </c>
      <c r="P122" s="14" t="s">
        <v>701</v>
      </c>
      <c r="Q122" s="14" t="s">
        <v>701</v>
      </c>
      <c r="R122" s="14" t="s">
        <v>38</v>
      </c>
    </row>
    <row r="123" spans="1:18" s="14" customFormat="1" x14ac:dyDescent="0.25">
      <c r="A123" s="14" t="str">
        <f>"26030"</f>
        <v>26030</v>
      </c>
      <c r="B123" s="14" t="str">
        <f>"01000"</f>
        <v>01000</v>
      </c>
      <c r="C123" s="14" t="str">
        <f>"1300"</f>
        <v>1300</v>
      </c>
      <c r="D123" s="14" t="str">
        <f>"26030"</f>
        <v>26030</v>
      </c>
      <c r="E123" s="14" t="s">
        <v>941</v>
      </c>
      <c r="F123" s="14" t="s">
        <v>44</v>
      </c>
      <c r="G123" s="14" t="str">
        <f>"GR0026029"</f>
        <v>GR0026029</v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37</v>
      </c>
      <c r="L123" s="14" t="s">
        <v>38</v>
      </c>
      <c r="O123" s="14" t="s">
        <v>579</v>
      </c>
      <c r="P123" s="14" t="s">
        <v>701</v>
      </c>
      <c r="Q123" s="14" t="s">
        <v>701</v>
      </c>
      <c r="R123" s="14" t="s">
        <v>38</v>
      </c>
    </row>
    <row r="124" spans="1:18" s="14" customFormat="1" x14ac:dyDescent="0.25">
      <c r="A124" s="14" t="str">
        <f>"26032"</f>
        <v>26032</v>
      </c>
      <c r="B124" s="14" t="str">
        <f>"01000"</f>
        <v>01000</v>
      </c>
      <c r="C124" s="14" t="str">
        <f>"1700"</f>
        <v>1700</v>
      </c>
      <c r="D124" s="14" t="str">
        <f>"26032"</f>
        <v>26032</v>
      </c>
      <c r="E124" s="14" t="s">
        <v>942</v>
      </c>
      <c r="F124" s="14" t="s">
        <v>44</v>
      </c>
      <c r="G124" s="14" t="str">
        <f>"GR0026029"</f>
        <v>GR0026029</v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37</v>
      </c>
      <c r="L124" s="14" t="s">
        <v>38</v>
      </c>
      <c r="O124" s="14" t="s">
        <v>579</v>
      </c>
      <c r="P124" s="14" t="s">
        <v>701</v>
      </c>
      <c r="Q124" s="14" t="s">
        <v>701</v>
      </c>
      <c r="R124" s="14" t="s">
        <v>38</v>
      </c>
    </row>
    <row r="125" spans="1:18" s="14" customFormat="1" x14ac:dyDescent="0.25">
      <c r="A125" s="14" t="str">
        <f>"26034"</f>
        <v>26034</v>
      </c>
      <c r="B125" s="14" t="str">
        <f>"01000"</f>
        <v>01000</v>
      </c>
      <c r="C125" s="14" t="str">
        <f>"1300"</f>
        <v>1300</v>
      </c>
      <c r="D125" s="14" t="str">
        <f>"26034"</f>
        <v>26034</v>
      </c>
      <c r="E125" s="14" t="s">
        <v>943</v>
      </c>
      <c r="F125" s="14" t="s">
        <v>44</v>
      </c>
      <c r="G125" s="14" t="str">
        <f>"GR0026029"</f>
        <v>GR0026029</v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37</v>
      </c>
      <c r="L125" s="14" t="s">
        <v>38</v>
      </c>
      <c r="O125" s="14" t="s">
        <v>579</v>
      </c>
      <c r="P125" s="14" t="s">
        <v>701</v>
      </c>
      <c r="Q125" s="14" t="s">
        <v>701</v>
      </c>
      <c r="R125" s="14" t="s">
        <v>38</v>
      </c>
    </row>
    <row r="126" spans="1:18" s="14" customFormat="1" x14ac:dyDescent="0.25">
      <c r="A126" s="14" t="str">
        <f>"26035"</f>
        <v>26035</v>
      </c>
      <c r="B126" s="14" t="str">
        <f>"01000"</f>
        <v>01000</v>
      </c>
      <c r="C126" s="14" t="str">
        <f>"1300"</f>
        <v>1300</v>
      </c>
      <c r="D126" s="14" t="str">
        <f>"26035"</f>
        <v>26035</v>
      </c>
      <c r="E126" s="14" t="s">
        <v>944</v>
      </c>
      <c r="F126" s="14" t="s">
        <v>44</v>
      </c>
      <c r="G126" s="14" t="str">
        <f>"GR0026029"</f>
        <v>GR0026029</v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37</v>
      </c>
      <c r="L126" s="14" t="s">
        <v>38</v>
      </c>
      <c r="O126" s="14" t="s">
        <v>579</v>
      </c>
      <c r="P126" s="14" t="s">
        <v>701</v>
      </c>
      <c r="Q126" s="14" t="s">
        <v>701</v>
      </c>
      <c r="R126" s="14" t="s">
        <v>38</v>
      </c>
    </row>
    <row r="127" spans="1:18" s="14" customFormat="1" x14ac:dyDescent="0.25">
      <c r="A127" s="14" t="str">
        <f>"26047"</f>
        <v>26047</v>
      </c>
      <c r="B127" s="14" t="str">
        <f>"05160"</f>
        <v>05160</v>
      </c>
      <c r="C127" s="14" t="str">
        <f>"1800"</f>
        <v>1800</v>
      </c>
      <c r="D127" s="14" t="str">
        <f>"26047"</f>
        <v>26047</v>
      </c>
      <c r="E127" s="14" t="s">
        <v>945</v>
      </c>
      <c r="F127" s="14" t="s">
        <v>406</v>
      </c>
      <c r="G127" s="14" t="str">
        <f>"GR0026047"</f>
        <v>GR0026047</v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318</v>
      </c>
      <c r="L127" s="14" t="s">
        <v>319</v>
      </c>
      <c r="M127" s="14" t="s">
        <v>90</v>
      </c>
      <c r="O127" s="14" t="s">
        <v>318</v>
      </c>
      <c r="P127" s="14" t="s">
        <v>701</v>
      </c>
      <c r="Q127" s="14" t="s">
        <v>701</v>
      </c>
      <c r="R127" s="14" t="s">
        <v>318</v>
      </c>
    </row>
    <row r="128" spans="1:18" s="14" customFormat="1" x14ac:dyDescent="0.25">
      <c r="A128" s="14" t="str">
        <f>"10001"</f>
        <v>10001</v>
      </c>
      <c r="B128" s="14" t="str">
        <f>"03510"</f>
        <v>03510</v>
      </c>
      <c r="C128" s="14" t="str">
        <f>"1000"</f>
        <v>1000</v>
      </c>
      <c r="D128" s="14" t="str">
        <f>""</f>
        <v/>
      </c>
      <c r="E128" s="14" t="s">
        <v>20</v>
      </c>
      <c r="F128" s="14" t="s">
        <v>259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34</v>
      </c>
      <c r="P128" s="14" t="s">
        <v>260</v>
      </c>
      <c r="Q128" s="14" t="s">
        <v>25</v>
      </c>
      <c r="R128" s="14" t="s">
        <v>35</v>
      </c>
    </row>
    <row r="129" spans="1:18" s="14" customFormat="1" x14ac:dyDescent="0.25">
      <c r="A129" s="14" t="str">
        <f>"10001"</f>
        <v>10001</v>
      </c>
      <c r="B129" s="14" t="str">
        <f>"03520"</f>
        <v>03520</v>
      </c>
      <c r="C129" s="14" t="str">
        <f>"1000"</f>
        <v>1000</v>
      </c>
      <c r="D129" s="14" t="str">
        <f>""</f>
        <v/>
      </c>
      <c r="E129" s="14" t="s">
        <v>20</v>
      </c>
      <c r="F129" s="14" t="s">
        <v>261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34</v>
      </c>
      <c r="P129" s="14" t="s">
        <v>260</v>
      </c>
      <c r="Q129" s="14" t="s">
        <v>25</v>
      </c>
      <c r="R129" s="14" t="s">
        <v>35</v>
      </c>
    </row>
    <row r="130" spans="1:18" s="14" customFormat="1" x14ac:dyDescent="0.25">
      <c r="A130" s="14" t="str">
        <f>"10001"</f>
        <v>10001</v>
      </c>
      <c r="B130" s="14" t="str">
        <f>"03530"</f>
        <v>03530</v>
      </c>
      <c r="C130" s="14" t="str">
        <f>"1000"</f>
        <v>1000</v>
      </c>
      <c r="D130" s="14" t="str">
        <f>""</f>
        <v/>
      </c>
      <c r="E130" s="14" t="s">
        <v>20</v>
      </c>
      <c r="F130" s="14" t="s">
        <v>262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34</v>
      </c>
      <c r="P130" s="14" t="s">
        <v>260</v>
      </c>
      <c r="Q130" s="14" t="s">
        <v>25</v>
      </c>
      <c r="R130" s="14" t="s">
        <v>35</v>
      </c>
    </row>
    <row r="131" spans="1:18" s="14" customFormat="1" x14ac:dyDescent="0.25">
      <c r="A131" s="14" t="str">
        <f>"10001"</f>
        <v>10001</v>
      </c>
      <c r="B131" s="14" t="str">
        <f>"03531"</f>
        <v>03531</v>
      </c>
      <c r="C131" s="14" t="str">
        <f>"1400"</f>
        <v>1400</v>
      </c>
      <c r="D131" s="14" t="str">
        <f>"03531"</f>
        <v>03531</v>
      </c>
      <c r="E131" s="14" t="s">
        <v>20</v>
      </c>
      <c r="F131" s="14" t="s">
        <v>263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34</v>
      </c>
      <c r="L131" s="14" t="s">
        <v>25</v>
      </c>
      <c r="P131" s="14" t="s">
        <v>260</v>
      </c>
      <c r="Q131" s="14" t="s">
        <v>25</v>
      </c>
      <c r="R131" s="14" t="s">
        <v>35</v>
      </c>
    </row>
    <row r="132" spans="1:18" s="14" customFormat="1" x14ac:dyDescent="0.25">
      <c r="A132" s="14" t="str">
        <f>"10001"</f>
        <v>10001</v>
      </c>
      <c r="B132" s="14" t="str">
        <f>"03532"</f>
        <v>03532</v>
      </c>
      <c r="C132" s="14" t="str">
        <f>"1000"</f>
        <v>1000</v>
      </c>
      <c r="D132" s="14" t="str">
        <f>""</f>
        <v/>
      </c>
      <c r="E132" s="14" t="s">
        <v>20</v>
      </c>
      <c r="F132" s="14" t="s">
        <v>264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226</v>
      </c>
      <c r="P132" s="14" t="s">
        <v>260</v>
      </c>
      <c r="Q132" s="14" t="s">
        <v>25</v>
      </c>
      <c r="R132" s="14" t="s">
        <v>229</v>
      </c>
    </row>
    <row r="133" spans="1:18" s="14" customFormat="1" x14ac:dyDescent="0.25">
      <c r="A133" s="14" t="str">
        <f>"10001"</f>
        <v>10001</v>
      </c>
      <c r="B133" s="14" t="str">
        <f>"03533"</f>
        <v>03533</v>
      </c>
      <c r="C133" s="14" t="str">
        <f>"1000"</f>
        <v>1000</v>
      </c>
      <c r="D133" s="14" t="str">
        <f>""</f>
        <v/>
      </c>
      <c r="E133" s="14" t="s">
        <v>20</v>
      </c>
      <c r="F133" s="14" t="s">
        <v>265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226</v>
      </c>
      <c r="P133" s="14" t="s">
        <v>260</v>
      </c>
      <c r="Q133" s="14" t="s">
        <v>25</v>
      </c>
      <c r="R133" s="14" t="s">
        <v>229</v>
      </c>
    </row>
    <row r="134" spans="1:18" s="14" customFormat="1" x14ac:dyDescent="0.25">
      <c r="A134" s="14" t="str">
        <f>"10001"</f>
        <v>10001</v>
      </c>
      <c r="B134" s="14" t="str">
        <f>"03534"</f>
        <v>03534</v>
      </c>
      <c r="C134" s="14" t="str">
        <f>"1000"</f>
        <v>1000</v>
      </c>
      <c r="D134" s="14" t="str">
        <f>""</f>
        <v/>
      </c>
      <c r="E134" s="14" t="s">
        <v>20</v>
      </c>
      <c r="F134" s="14" t="s">
        <v>266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226</v>
      </c>
      <c r="P134" s="14" t="s">
        <v>260</v>
      </c>
      <c r="Q134" s="14" t="s">
        <v>25</v>
      </c>
      <c r="R134" s="14" t="s">
        <v>229</v>
      </c>
    </row>
    <row r="135" spans="1:18" s="14" customFormat="1" x14ac:dyDescent="0.25">
      <c r="A135" s="14" t="str">
        <f>"10001"</f>
        <v>10001</v>
      </c>
      <c r="B135" s="14" t="str">
        <f>"03540"</f>
        <v>03540</v>
      </c>
      <c r="C135" s="14" t="str">
        <f>"1000"</f>
        <v>1000</v>
      </c>
      <c r="D135" s="14" t="str">
        <f>""</f>
        <v/>
      </c>
      <c r="E135" s="14" t="s">
        <v>20</v>
      </c>
      <c r="F135" s="14" t="s">
        <v>267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34</v>
      </c>
      <c r="P135" s="14" t="s">
        <v>260</v>
      </c>
      <c r="Q135" s="14" t="s">
        <v>25</v>
      </c>
      <c r="R135" s="14" t="s">
        <v>35</v>
      </c>
    </row>
    <row r="136" spans="1:18" s="14" customFormat="1" x14ac:dyDescent="0.25">
      <c r="A136" s="14" t="str">
        <f>"10001"</f>
        <v>10001</v>
      </c>
      <c r="B136" s="14" t="str">
        <f>"03541"</f>
        <v>03541</v>
      </c>
      <c r="C136" s="14" t="str">
        <f>"1400"</f>
        <v>1400</v>
      </c>
      <c r="D136" s="14" t="str">
        <f>"03541"</f>
        <v>03541</v>
      </c>
      <c r="E136" s="14" t="s">
        <v>20</v>
      </c>
      <c r="F136" s="14" t="s">
        <v>268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34</v>
      </c>
      <c r="L136" s="14" t="s">
        <v>25</v>
      </c>
      <c r="P136" s="14" t="s">
        <v>260</v>
      </c>
      <c r="Q136" s="14" t="s">
        <v>25</v>
      </c>
      <c r="R136" s="14" t="s">
        <v>35</v>
      </c>
    </row>
    <row r="137" spans="1:18" s="14" customFormat="1" x14ac:dyDescent="0.25">
      <c r="A137" s="14" t="str">
        <f>"10001"</f>
        <v>10001</v>
      </c>
      <c r="B137" s="14" t="str">
        <f>"03543"</f>
        <v>03543</v>
      </c>
      <c r="C137" s="14" t="str">
        <f>"1000"</f>
        <v>1000</v>
      </c>
      <c r="D137" s="14" t="str">
        <f>""</f>
        <v/>
      </c>
      <c r="E137" s="14" t="s">
        <v>20</v>
      </c>
      <c r="F137" s="14" t="s">
        <v>269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226</v>
      </c>
      <c r="P137" s="14" t="s">
        <v>260</v>
      </c>
      <c r="Q137" s="14" t="s">
        <v>25</v>
      </c>
      <c r="R137" s="14" t="s">
        <v>229</v>
      </c>
    </row>
    <row r="138" spans="1:18" s="14" customFormat="1" x14ac:dyDescent="0.25">
      <c r="A138" s="14" t="str">
        <f>"10001"</f>
        <v>10001</v>
      </c>
      <c r="B138" s="14" t="str">
        <f>"03544"</f>
        <v>03544</v>
      </c>
      <c r="C138" s="14" t="str">
        <f>"1400"</f>
        <v>1400</v>
      </c>
      <c r="D138" s="14" t="str">
        <f>""</f>
        <v/>
      </c>
      <c r="E138" s="14" t="s">
        <v>20</v>
      </c>
      <c r="F138" s="14" t="s">
        <v>270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34</v>
      </c>
      <c r="L138" s="14" t="s">
        <v>25</v>
      </c>
      <c r="P138" s="14" t="s">
        <v>260</v>
      </c>
      <c r="Q138" s="14" t="s">
        <v>25</v>
      </c>
      <c r="R138" s="14" t="s">
        <v>35</v>
      </c>
    </row>
    <row r="139" spans="1:18" s="14" customFormat="1" x14ac:dyDescent="0.25">
      <c r="A139" s="14" t="str">
        <f>"10001"</f>
        <v>10001</v>
      </c>
      <c r="B139" s="14" t="str">
        <f>"03545"</f>
        <v>03545</v>
      </c>
      <c r="C139" s="14" t="str">
        <f>"1400"</f>
        <v>1400</v>
      </c>
      <c r="D139" s="14" t="str">
        <f>""</f>
        <v/>
      </c>
      <c r="E139" s="14" t="s">
        <v>20</v>
      </c>
      <c r="F139" s="14" t="s">
        <v>271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34</v>
      </c>
      <c r="L139" s="14" t="s">
        <v>25</v>
      </c>
      <c r="P139" s="14" t="s">
        <v>260</v>
      </c>
      <c r="Q139" s="14" t="s">
        <v>25</v>
      </c>
      <c r="R139" s="14" t="s">
        <v>35</v>
      </c>
    </row>
    <row r="140" spans="1:18" s="14" customFormat="1" x14ac:dyDescent="0.25">
      <c r="A140" s="14" t="str">
        <f>"10001"</f>
        <v>10001</v>
      </c>
      <c r="B140" s="14" t="str">
        <f>"03546"</f>
        <v>03546</v>
      </c>
      <c r="C140" s="14" t="str">
        <f>"1400"</f>
        <v>1400</v>
      </c>
      <c r="D140" s="14" t="str">
        <f>""</f>
        <v/>
      </c>
      <c r="E140" s="14" t="s">
        <v>20</v>
      </c>
      <c r="F140" s="14" t="s">
        <v>272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34</v>
      </c>
      <c r="L140" s="14" t="s">
        <v>25</v>
      </c>
      <c r="P140" s="14" t="s">
        <v>260</v>
      </c>
      <c r="Q140" s="14" t="s">
        <v>25</v>
      </c>
      <c r="R140" s="14" t="s">
        <v>35</v>
      </c>
    </row>
    <row r="141" spans="1:18" s="14" customFormat="1" x14ac:dyDescent="0.25">
      <c r="A141" s="14" t="str">
        <f>"10001"</f>
        <v>10001</v>
      </c>
      <c r="B141" s="14" t="str">
        <f>"03560"</f>
        <v>03560</v>
      </c>
      <c r="C141" s="14" t="str">
        <f>"1000"</f>
        <v>1000</v>
      </c>
      <c r="D141" s="14" t="str">
        <f>""</f>
        <v/>
      </c>
      <c r="E141" s="14" t="s">
        <v>20</v>
      </c>
      <c r="F141" s="14" t="s">
        <v>273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34</v>
      </c>
      <c r="P141" s="14" t="s">
        <v>260</v>
      </c>
      <c r="Q141" s="14" t="s">
        <v>25</v>
      </c>
      <c r="R141" s="14" t="s">
        <v>35</v>
      </c>
    </row>
    <row r="142" spans="1:18" s="14" customFormat="1" x14ac:dyDescent="0.25">
      <c r="A142" s="14" t="str">
        <f>"10001"</f>
        <v>10001</v>
      </c>
      <c r="B142" s="14" t="str">
        <f>"03570"</f>
        <v>03570</v>
      </c>
      <c r="C142" s="14" t="str">
        <f>"1000"</f>
        <v>1000</v>
      </c>
      <c r="D142" s="14" t="str">
        <f>""</f>
        <v/>
      </c>
      <c r="E142" s="14" t="s">
        <v>20</v>
      </c>
      <c r="F142" s="14" t="s">
        <v>274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34</v>
      </c>
      <c r="P142" s="14" t="s">
        <v>260</v>
      </c>
      <c r="Q142" s="14" t="s">
        <v>25</v>
      </c>
      <c r="R142" s="14" t="s">
        <v>35</v>
      </c>
    </row>
    <row r="143" spans="1:18" s="14" customFormat="1" x14ac:dyDescent="0.25">
      <c r="A143" s="14" t="str">
        <f>"10001"</f>
        <v>10001</v>
      </c>
      <c r="B143" s="14" t="str">
        <f>"03575"</f>
        <v>03575</v>
      </c>
      <c r="C143" s="14" t="str">
        <f>"1000"</f>
        <v>1000</v>
      </c>
      <c r="D143" s="14" t="str">
        <f>""</f>
        <v/>
      </c>
      <c r="E143" s="14" t="s">
        <v>20</v>
      </c>
      <c r="F143" s="14" t="s">
        <v>275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34</v>
      </c>
      <c r="P143" s="14" t="s">
        <v>260</v>
      </c>
      <c r="Q143" s="14" t="s">
        <v>25</v>
      </c>
      <c r="R143" s="14" t="s">
        <v>35</v>
      </c>
    </row>
    <row r="144" spans="1:18" s="14" customFormat="1" x14ac:dyDescent="0.25">
      <c r="A144" s="14" t="str">
        <f>"10001"</f>
        <v>10001</v>
      </c>
      <c r="B144" s="14" t="str">
        <f>"03581"</f>
        <v>03581</v>
      </c>
      <c r="C144" s="14" t="str">
        <f>"1000"</f>
        <v>1000</v>
      </c>
      <c r="D144" s="14" t="str">
        <f>""</f>
        <v/>
      </c>
      <c r="E144" s="14" t="s">
        <v>20</v>
      </c>
      <c r="F144" s="14" t="s">
        <v>276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34</v>
      </c>
      <c r="P144" s="14" t="s">
        <v>260</v>
      </c>
      <c r="Q144" s="14" t="s">
        <v>25</v>
      </c>
      <c r="R144" s="14" t="s">
        <v>35</v>
      </c>
    </row>
    <row r="145" spans="1:18" s="14" customFormat="1" x14ac:dyDescent="0.25">
      <c r="A145" s="14" t="str">
        <f>"10001"</f>
        <v>10001</v>
      </c>
      <c r="B145" s="14" t="str">
        <f>"03585"</f>
        <v>03585</v>
      </c>
      <c r="C145" s="14" t="str">
        <f>"1000"</f>
        <v>1000</v>
      </c>
      <c r="D145" s="14" t="str">
        <f>""</f>
        <v/>
      </c>
      <c r="E145" s="14" t="s">
        <v>20</v>
      </c>
      <c r="F145" s="14" t="s">
        <v>277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34</v>
      </c>
      <c r="P145" s="14" t="s">
        <v>260</v>
      </c>
      <c r="Q145" s="14" t="s">
        <v>25</v>
      </c>
      <c r="R145" s="14" t="s">
        <v>35</v>
      </c>
    </row>
    <row r="146" spans="1:18" s="14" customFormat="1" x14ac:dyDescent="0.25">
      <c r="A146" s="14" t="str">
        <f>"10001"</f>
        <v>10001</v>
      </c>
      <c r="B146" s="14" t="str">
        <f>"03591"</f>
        <v>03591</v>
      </c>
      <c r="C146" s="14" t="str">
        <f>"1000"</f>
        <v>1000</v>
      </c>
      <c r="D146" s="14" t="str">
        <f>""</f>
        <v/>
      </c>
      <c r="E146" s="14" t="s">
        <v>20</v>
      </c>
      <c r="F146" s="14" t="s">
        <v>278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34</v>
      </c>
      <c r="P146" s="14" t="s">
        <v>260</v>
      </c>
      <c r="Q146" s="14" t="s">
        <v>25</v>
      </c>
      <c r="R146" s="14" t="s">
        <v>35</v>
      </c>
    </row>
    <row r="147" spans="1:18" s="14" customFormat="1" x14ac:dyDescent="0.25">
      <c r="A147" s="14" t="str">
        <f>"10001"</f>
        <v>10001</v>
      </c>
      <c r="B147" s="14" t="str">
        <f>"03600"</f>
        <v>03600</v>
      </c>
      <c r="C147" s="14" t="str">
        <f>"1000"</f>
        <v>1000</v>
      </c>
      <c r="D147" s="14" t="str">
        <f>""</f>
        <v/>
      </c>
      <c r="E147" s="14" t="s">
        <v>20</v>
      </c>
      <c r="F147" s="14" t="s">
        <v>279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34</v>
      </c>
      <c r="P147" s="14" t="s">
        <v>260</v>
      </c>
      <c r="Q147" s="14" t="s">
        <v>25</v>
      </c>
      <c r="R147" s="14" t="s">
        <v>35</v>
      </c>
    </row>
    <row r="148" spans="1:18" s="14" customFormat="1" x14ac:dyDescent="0.25">
      <c r="A148" s="14" t="str">
        <f>"10001"</f>
        <v>10001</v>
      </c>
      <c r="B148" s="14" t="str">
        <f>"03611"</f>
        <v>03611</v>
      </c>
      <c r="C148" s="14" t="str">
        <f>"1000"</f>
        <v>1000</v>
      </c>
      <c r="D148" s="14" t="str">
        <f>""</f>
        <v/>
      </c>
      <c r="E148" s="14" t="s">
        <v>20</v>
      </c>
      <c r="F148" s="14" t="s">
        <v>280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34</v>
      </c>
      <c r="P148" s="14" t="s">
        <v>260</v>
      </c>
      <c r="Q148" s="14" t="s">
        <v>25</v>
      </c>
      <c r="R148" s="14" t="s">
        <v>35</v>
      </c>
    </row>
    <row r="149" spans="1:18" s="14" customFormat="1" x14ac:dyDescent="0.25">
      <c r="A149" s="14" t="str">
        <f>"10001"</f>
        <v>10001</v>
      </c>
      <c r="B149" s="14" t="str">
        <f>"03612"</f>
        <v>03612</v>
      </c>
      <c r="C149" s="14" t="str">
        <f>"1000"</f>
        <v>1000</v>
      </c>
      <c r="D149" s="14" t="str">
        <f>""</f>
        <v/>
      </c>
      <c r="E149" s="14" t="s">
        <v>20</v>
      </c>
      <c r="F149" s="14" t="s">
        <v>281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34</v>
      </c>
      <c r="P149" s="14" t="s">
        <v>260</v>
      </c>
      <c r="Q149" s="14" t="s">
        <v>25</v>
      </c>
      <c r="R149" s="14" t="s">
        <v>35</v>
      </c>
    </row>
    <row r="150" spans="1:18" s="14" customFormat="1" x14ac:dyDescent="0.25">
      <c r="A150" s="14" t="str">
        <f>"10001"</f>
        <v>10001</v>
      </c>
      <c r="B150" s="14" t="str">
        <f>"03613"</f>
        <v>03613</v>
      </c>
      <c r="C150" s="14" t="str">
        <f>"1000"</f>
        <v>1000</v>
      </c>
      <c r="D150" s="14" t="str">
        <f>""</f>
        <v/>
      </c>
      <c r="E150" s="14" t="s">
        <v>20</v>
      </c>
      <c r="F150" s="14" t="s">
        <v>282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34</v>
      </c>
      <c r="P150" s="14" t="s">
        <v>260</v>
      </c>
      <c r="Q150" s="14" t="s">
        <v>25</v>
      </c>
      <c r="R150" s="14" t="s">
        <v>35</v>
      </c>
    </row>
    <row r="151" spans="1:18" s="14" customFormat="1" x14ac:dyDescent="0.25">
      <c r="A151" s="14" t="str">
        <f>"10001"</f>
        <v>10001</v>
      </c>
      <c r="B151" s="14" t="str">
        <f>"03614"</f>
        <v>03614</v>
      </c>
      <c r="C151" s="14" t="str">
        <f>"1000"</f>
        <v>1000</v>
      </c>
      <c r="D151" s="14" t="str">
        <f>""</f>
        <v/>
      </c>
      <c r="E151" s="14" t="s">
        <v>20</v>
      </c>
      <c r="F151" s="14" t="s">
        <v>283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34</v>
      </c>
      <c r="P151" s="14" t="s">
        <v>260</v>
      </c>
      <c r="Q151" s="14" t="s">
        <v>25</v>
      </c>
      <c r="R151" s="14" t="s">
        <v>35</v>
      </c>
    </row>
    <row r="152" spans="1:18" s="14" customFormat="1" x14ac:dyDescent="0.25">
      <c r="A152" s="14" t="str">
        <f>"10001"</f>
        <v>10001</v>
      </c>
      <c r="B152" s="14" t="str">
        <f>"03615"</f>
        <v>03615</v>
      </c>
      <c r="C152" s="14" t="str">
        <f>"1000"</f>
        <v>1000</v>
      </c>
      <c r="D152" s="14" t="str">
        <f>""</f>
        <v/>
      </c>
      <c r="E152" s="14" t="s">
        <v>20</v>
      </c>
      <c r="F152" s="14" t="s">
        <v>284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34</v>
      </c>
      <c r="P152" s="14" t="s">
        <v>260</v>
      </c>
      <c r="Q152" s="14" t="s">
        <v>25</v>
      </c>
      <c r="R152" s="14" t="s">
        <v>35</v>
      </c>
    </row>
    <row r="153" spans="1:18" s="14" customFormat="1" x14ac:dyDescent="0.25">
      <c r="A153" s="14" t="str">
        <f>"10001"</f>
        <v>10001</v>
      </c>
      <c r="B153" s="14" t="str">
        <f>"03616"</f>
        <v>03616</v>
      </c>
      <c r="C153" s="14" t="str">
        <f>"1000"</f>
        <v>1000</v>
      </c>
      <c r="D153" s="14" t="str">
        <f>""</f>
        <v/>
      </c>
      <c r="E153" s="14" t="s">
        <v>20</v>
      </c>
      <c r="F153" s="14" t="s">
        <v>285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34</v>
      </c>
      <c r="P153" s="14" t="s">
        <v>260</v>
      </c>
      <c r="Q153" s="14" t="s">
        <v>25</v>
      </c>
      <c r="R153" s="14" t="s">
        <v>35</v>
      </c>
    </row>
    <row r="154" spans="1:18" s="14" customFormat="1" x14ac:dyDescent="0.25">
      <c r="A154" s="14" t="str">
        <f>"10001"</f>
        <v>10001</v>
      </c>
      <c r="B154" s="14" t="str">
        <f>"03620"</f>
        <v>03620</v>
      </c>
      <c r="C154" s="14" t="str">
        <f>"1000"</f>
        <v>1000</v>
      </c>
      <c r="D154" s="14" t="str">
        <f>""</f>
        <v/>
      </c>
      <c r="E154" s="14" t="s">
        <v>20</v>
      </c>
      <c r="F154" s="14" t="s">
        <v>286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34</v>
      </c>
      <c r="P154" s="14" t="s">
        <v>260</v>
      </c>
      <c r="Q154" s="14" t="s">
        <v>25</v>
      </c>
      <c r="R154" s="14" t="s">
        <v>35</v>
      </c>
    </row>
    <row r="155" spans="1:18" s="14" customFormat="1" x14ac:dyDescent="0.25">
      <c r="A155" s="14" t="str">
        <f>"10001"</f>
        <v>10001</v>
      </c>
      <c r="B155" s="14" t="str">
        <f>"03630"</f>
        <v>03630</v>
      </c>
      <c r="C155" s="14" t="str">
        <f>"1000"</f>
        <v>1000</v>
      </c>
      <c r="D155" s="14" t="str">
        <f>""</f>
        <v/>
      </c>
      <c r="E155" s="14" t="s">
        <v>20</v>
      </c>
      <c r="F155" s="14" t="s">
        <v>287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34</v>
      </c>
      <c r="P155" s="14" t="s">
        <v>260</v>
      </c>
      <c r="Q155" s="14" t="s">
        <v>25</v>
      </c>
      <c r="R155" s="14" t="s">
        <v>35</v>
      </c>
    </row>
    <row r="156" spans="1:18" s="14" customFormat="1" x14ac:dyDescent="0.25">
      <c r="A156" s="14" t="str">
        <f>"10001"</f>
        <v>10001</v>
      </c>
      <c r="B156" s="14" t="str">
        <f>"03640"</f>
        <v>03640</v>
      </c>
      <c r="C156" s="14" t="str">
        <f>"1000"</f>
        <v>1000</v>
      </c>
      <c r="D156" s="14" t="str">
        <f>""</f>
        <v/>
      </c>
      <c r="E156" s="14" t="s">
        <v>20</v>
      </c>
      <c r="F156" s="14" t="s">
        <v>288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34</v>
      </c>
      <c r="P156" s="14" t="s">
        <v>260</v>
      </c>
      <c r="Q156" s="14" t="s">
        <v>25</v>
      </c>
      <c r="R156" s="14" t="s">
        <v>35</v>
      </c>
    </row>
    <row r="157" spans="1:18" s="14" customFormat="1" x14ac:dyDescent="0.25">
      <c r="A157" s="14" t="str">
        <f>"10001"</f>
        <v>10001</v>
      </c>
      <c r="B157" s="14" t="str">
        <f>"03650"</f>
        <v>03650</v>
      </c>
      <c r="C157" s="14" t="str">
        <f>"1000"</f>
        <v>1000</v>
      </c>
      <c r="D157" s="14" t="str">
        <f>""</f>
        <v/>
      </c>
      <c r="E157" s="14" t="s">
        <v>20</v>
      </c>
      <c r="F157" s="14" t="s">
        <v>289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34</v>
      </c>
      <c r="P157" s="14" t="s">
        <v>260</v>
      </c>
      <c r="Q157" s="14" t="s">
        <v>25</v>
      </c>
      <c r="R157" s="14" t="s">
        <v>35</v>
      </c>
    </row>
    <row r="158" spans="1:18" s="14" customFormat="1" x14ac:dyDescent="0.25">
      <c r="A158" s="14" t="str">
        <f>"10001"</f>
        <v>10001</v>
      </c>
      <c r="B158" s="14" t="str">
        <f>"03660"</f>
        <v>03660</v>
      </c>
      <c r="C158" s="14" t="str">
        <f>"1000"</f>
        <v>1000</v>
      </c>
      <c r="D158" s="14" t="str">
        <f>""</f>
        <v/>
      </c>
      <c r="E158" s="14" t="s">
        <v>20</v>
      </c>
      <c r="F158" s="14" t="s">
        <v>290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34</v>
      </c>
      <c r="P158" s="14" t="s">
        <v>260</v>
      </c>
      <c r="Q158" s="14" t="s">
        <v>25</v>
      </c>
      <c r="R158" s="14" t="s">
        <v>35</v>
      </c>
    </row>
    <row r="159" spans="1:18" s="14" customFormat="1" x14ac:dyDescent="0.25">
      <c r="A159" s="14" t="str">
        <f>"10001"</f>
        <v>10001</v>
      </c>
      <c r="B159" s="14" t="str">
        <f>"03680"</f>
        <v>03680</v>
      </c>
      <c r="C159" s="14" t="str">
        <f>"1000"</f>
        <v>1000</v>
      </c>
      <c r="D159" s="14" t="str">
        <f>""</f>
        <v/>
      </c>
      <c r="E159" s="14" t="s">
        <v>20</v>
      </c>
      <c r="F159" s="14" t="s">
        <v>291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34</v>
      </c>
      <c r="P159" s="14" t="s">
        <v>260</v>
      </c>
      <c r="Q159" s="14" t="s">
        <v>25</v>
      </c>
      <c r="R159" s="14" t="s">
        <v>35</v>
      </c>
    </row>
    <row r="160" spans="1:18" s="14" customFormat="1" x14ac:dyDescent="0.25">
      <c r="A160" s="14" t="str">
        <f>"10001"</f>
        <v>10001</v>
      </c>
      <c r="B160" s="14" t="str">
        <f>"03681"</f>
        <v>03681</v>
      </c>
      <c r="C160" s="14" t="str">
        <f>"1000"</f>
        <v>1000</v>
      </c>
      <c r="D160" s="14" t="str">
        <f>""</f>
        <v/>
      </c>
      <c r="E160" s="14" t="s">
        <v>20</v>
      </c>
      <c r="F160" s="14" t="s">
        <v>292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34</v>
      </c>
      <c r="P160" s="14" t="s">
        <v>260</v>
      </c>
      <c r="Q160" s="14" t="s">
        <v>25</v>
      </c>
      <c r="R160" s="14" t="s">
        <v>35</v>
      </c>
    </row>
    <row r="161" spans="1:18" s="14" customFormat="1" x14ac:dyDescent="0.25">
      <c r="A161" s="14" t="str">
        <f>"10001"</f>
        <v>10001</v>
      </c>
      <c r="B161" s="14" t="str">
        <f>"03682"</f>
        <v>03682</v>
      </c>
      <c r="C161" s="14" t="str">
        <f>"1000"</f>
        <v>1000</v>
      </c>
      <c r="D161" s="14" t="str">
        <f>""</f>
        <v/>
      </c>
      <c r="E161" s="14" t="s">
        <v>20</v>
      </c>
      <c r="F161" s="14" t="s">
        <v>293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34</v>
      </c>
      <c r="P161" s="14" t="s">
        <v>260</v>
      </c>
      <c r="Q161" s="14" t="s">
        <v>25</v>
      </c>
      <c r="R161" s="14" t="s">
        <v>35</v>
      </c>
    </row>
    <row r="162" spans="1:18" s="14" customFormat="1" x14ac:dyDescent="0.25">
      <c r="A162" s="14" t="str">
        <f>"10001"</f>
        <v>10001</v>
      </c>
      <c r="B162" s="14" t="str">
        <f>"03683"</f>
        <v>03683</v>
      </c>
      <c r="C162" s="14" t="str">
        <f>"1000"</f>
        <v>1000</v>
      </c>
      <c r="D162" s="14" t="str">
        <f>""</f>
        <v/>
      </c>
      <c r="E162" s="14" t="s">
        <v>20</v>
      </c>
      <c r="F162" s="14" t="s">
        <v>294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34</v>
      </c>
      <c r="P162" s="14" t="s">
        <v>260</v>
      </c>
      <c r="Q162" s="14" t="s">
        <v>25</v>
      </c>
      <c r="R162" s="14" t="s">
        <v>35</v>
      </c>
    </row>
    <row r="163" spans="1:18" s="14" customFormat="1" x14ac:dyDescent="0.25">
      <c r="A163" s="14" t="str">
        <f>"10001"</f>
        <v>10001</v>
      </c>
      <c r="B163" s="14" t="str">
        <f>"03684"</f>
        <v>03684</v>
      </c>
      <c r="C163" s="14" t="str">
        <f>"1000"</f>
        <v>1000</v>
      </c>
      <c r="D163" s="14" t="str">
        <f>""</f>
        <v/>
      </c>
      <c r="E163" s="14" t="s">
        <v>20</v>
      </c>
      <c r="F163" s="14" t="s">
        <v>295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34</v>
      </c>
      <c r="P163" s="14" t="s">
        <v>260</v>
      </c>
      <c r="Q163" s="14" t="s">
        <v>25</v>
      </c>
      <c r="R163" s="14" t="s">
        <v>35</v>
      </c>
    </row>
    <row r="164" spans="1:18" s="14" customFormat="1" x14ac:dyDescent="0.25">
      <c r="A164" s="14" t="str">
        <f>"10001"</f>
        <v>10001</v>
      </c>
      <c r="B164" s="14" t="str">
        <f>"03685"</f>
        <v>03685</v>
      </c>
      <c r="C164" s="14" t="str">
        <f>"1000"</f>
        <v>1000</v>
      </c>
      <c r="D164" s="14" t="str">
        <f>""</f>
        <v/>
      </c>
      <c r="E164" s="14" t="s">
        <v>20</v>
      </c>
      <c r="F164" s="14" t="s">
        <v>296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34</v>
      </c>
      <c r="P164" s="14" t="s">
        <v>260</v>
      </c>
      <c r="Q164" s="14" t="s">
        <v>25</v>
      </c>
      <c r="R164" s="14" t="s">
        <v>35</v>
      </c>
    </row>
    <row r="165" spans="1:18" s="14" customFormat="1" x14ac:dyDescent="0.25">
      <c r="A165" s="14" t="str">
        <f>"10001"</f>
        <v>10001</v>
      </c>
      <c r="B165" s="14" t="str">
        <f>"03686"</f>
        <v>03686</v>
      </c>
      <c r="C165" s="14" t="str">
        <f>"1000"</f>
        <v>1000</v>
      </c>
      <c r="D165" s="14" t="str">
        <f>""</f>
        <v/>
      </c>
      <c r="E165" s="14" t="s">
        <v>20</v>
      </c>
      <c r="F165" s="14" t="s">
        <v>297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34</v>
      </c>
      <c r="P165" s="14" t="s">
        <v>260</v>
      </c>
      <c r="Q165" s="14" t="s">
        <v>25</v>
      </c>
      <c r="R165" s="14" t="s">
        <v>35</v>
      </c>
    </row>
    <row r="166" spans="1:18" s="14" customFormat="1" x14ac:dyDescent="0.25">
      <c r="A166" s="14" t="str">
        <f>"10001"</f>
        <v>10001</v>
      </c>
      <c r="B166" s="14" t="str">
        <f>"03687"</f>
        <v>03687</v>
      </c>
      <c r="C166" s="14" t="str">
        <f>"1000"</f>
        <v>1000</v>
      </c>
      <c r="D166" s="14" t="str">
        <f>""</f>
        <v/>
      </c>
      <c r="E166" s="14" t="s">
        <v>20</v>
      </c>
      <c r="F166" s="14" t="s">
        <v>298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34</v>
      </c>
      <c r="P166" s="14" t="s">
        <v>260</v>
      </c>
      <c r="Q166" s="14" t="s">
        <v>25</v>
      </c>
      <c r="R166" s="14" t="s">
        <v>35</v>
      </c>
    </row>
    <row r="167" spans="1:18" s="14" customFormat="1" x14ac:dyDescent="0.25">
      <c r="A167" s="14" t="str">
        <f>"10001"</f>
        <v>10001</v>
      </c>
      <c r="B167" s="14" t="str">
        <f>"03688"</f>
        <v>03688</v>
      </c>
      <c r="C167" s="14" t="str">
        <f>"1000"</f>
        <v>1000</v>
      </c>
      <c r="D167" s="14" t="str">
        <f>""</f>
        <v/>
      </c>
      <c r="E167" s="14" t="s">
        <v>20</v>
      </c>
      <c r="F167" s="14" t="s">
        <v>299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34</v>
      </c>
      <c r="P167" s="14" t="s">
        <v>260</v>
      </c>
      <c r="Q167" s="14" t="s">
        <v>25</v>
      </c>
      <c r="R167" s="14" t="s">
        <v>35</v>
      </c>
    </row>
    <row r="168" spans="1:18" s="14" customFormat="1" x14ac:dyDescent="0.25">
      <c r="A168" s="14" t="str">
        <f>"10001"</f>
        <v>10001</v>
      </c>
      <c r="B168" s="14" t="str">
        <f>"03689"</f>
        <v>03689</v>
      </c>
      <c r="C168" s="14" t="str">
        <f>"1000"</f>
        <v>1000</v>
      </c>
      <c r="D168" s="14" t="str">
        <f>""</f>
        <v/>
      </c>
      <c r="E168" s="14" t="s">
        <v>20</v>
      </c>
      <c r="F168" s="14" t="s">
        <v>300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34</v>
      </c>
      <c r="P168" s="14" t="s">
        <v>260</v>
      </c>
      <c r="Q168" s="14" t="s">
        <v>25</v>
      </c>
      <c r="R168" s="14" t="s">
        <v>35</v>
      </c>
    </row>
    <row r="169" spans="1:18" s="14" customFormat="1" x14ac:dyDescent="0.25">
      <c r="A169" s="14" t="str">
        <f>"10001"</f>
        <v>10001</v>
      </c>
      <c r="B169" s="14" t="str">
        <f>"03691"</f>
        <v>03691</v>
      </c>
      <c r="C169" s="14" t="str">
        <f>"1000"</f>
        <v>1000</v>
      </c>
      <c r="D169" s="14" t="str">
        <f>""</f>
        <v/>
      </c>
      <c r="E169" s="14" t="s">
        <v>20</v>
      </c>
      <c r="F169" s="14" t="s">
        <v>301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34</v>
      </c>
      <c r="P169" s="14" t="s">
        <v>260</v>
      </c>
      <c r="Q169" s="14" t="s">
        <v>25</v>
      </c>
      <c r="R169" s="14" t="s">
        <v>35</v>
      </c>
    </row>
    <row r="170" spans="1:18" s="14" customFormat="1" x14ac:dyDescent="0.25">
      <c r="A170" s="14" t="str">
        <f>"10001"</f>
        <v>10001</v>
      </c>
      <c r="B170" s="14" t="str">
        <f>"03700"</f>
        <v>03700</v>
      </c>
      <c r="C170" s="14" t="str">
        <f>"1000"</f>
        <v>1000</v>
      </c>
      <c r="D170" s="14" t="str">
        <f>""</f>
        <v/>
      </c>
      <c r="E170" s="14" t="s">
        <v>20</v>
      </c>
      <c r="F170" s="14" t="s">
        <v>302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34</v>
      </c>
      <c r="P170" s="14" t="s">
        <v>260</v>
      </c>
      <c r="Q170" s="14" t="s">
        <v>25</v>
      </c>
      <c r="R170" s="14" t="s">
        <v>35</v>
      </c>
    </row>
    <row r="171" spans="1:18" s="14" customFormat="1" x14ac:dyDescent="0.25">
      <c r="A171" s="14" t="str">
        <f>"10001"</f>
        <v>10001</v>
      </c>
      <c r="B171" s="14" t="str">
        <f>"03710"</f>
        <v>03710</v>
      </c>
      <c r="C171" s="14" t="str">
        <f>"1000"</f>
        <v>1000</v>
      </c>
      <c r="D171" s="14" t="str">
        <f>""</f>
        <v/>
      </c>
      <c r="E171" s="14" t="s">
        <v>20</v>
      </c>
      <c r="F171" s="14" t="s">
        <v>303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34</v>
      </c>
      <c r="P171" s="14" t="s">
        <v>260</v>
      </c>
      <c r="Q171" s="14" t="s">
        <v>25</v>
      </c>
      <c r="R171" s="14" t="s">
        <v>35</v>
      </c>
    </row>
    <row r="172" spans="1:18" s="14" customFormat="1" x14ac:dyDescent="0.25">
      <c r="A172" s="14" t="str">
        <f>"10001"</f>
        <v>10001</v>
      </c>
      <c r="B172" s="14" t="str">
        <f>"03720"</f>
        <v>03720</v>
      </c>
      <c r="C172" s="14" t="str">
        <f>"1000"</f>
        <v>1000</v>
      </c>
      <c r="D172" s="14" t="str">
        <f>""</f>
        <v/>
      </c>
      <c r="E172" s="14" t="s">
        <v>20</v>
      </c>
      <c r="F172" s="14" t="s">
        <v>304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34</v>
      </c>
      <c r="P172" s="14" t="s">
        <v>260</v>
      </c>
      <c r="Q172" s="14" t="s">
        <v>25</v>
      </c>
      <c r="R172" s="14" t="s">
        <v>35</v>
      </c>
    </row>
    <row r="173" spans="1:18" s="14" customFormat="1" x14ac:dyDescent="0.25">
      <c r="A173" s="14" t="str">
        <f>"10001"</f>
        <v>10001</v>
      </c>
      <c r="B173" s="14" t="str">
        <f>"03730"</f>
        <v>03730</v>
      </c>
      <c r="C173" s="14" t="str">
        <f>"1000"</f>
        <v>1000</v>
      </c>
      <c r="D173" s="14" t="str">
        <f>""</f>
        <v/>
      </c>
      <c r="E173" s="14" t="s">
        <v>20</v>
      </c>
      <c r="F173" s="14" t="s">
        <v>305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34</v>
      </c>
      <c r="P173" s="14" t="s">
        <v>260</v>
      </c>
      <c r="Q173" s="14" t="s">
        <v>25</v>
      </c>
      <c r="R173" s="14" t="s">
        <v>35</v>
      </c>
    </row>
    <row r="174" spans="1:18" s="14" customFormat="1" x14ac:dyDescent="0.25">
      <c r="A174" s="14" t="str">
        <f>"10001"</f>
        <v>10001</v>
      </c>
      <c r="B174" s="14" t="str">
        <f>"03770"</f>
        <v>03770</v>
      </c>
      <c r="C174" s="14" t="str">
        <f>"1000"</f>
        <v>1000</v>
      </c>
      <c r="D174" s="14" t="str">
        <f>""</f>
        <v/>
      </c>
      <c r="E174" s="14" t="s">
        <v>20</v>
      </c>
      <c r="F174" s="14" t="s">
        <v>306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34</v>
      </c>
      <c r="P174" s="14" t="s">
        <v>260</v>
      </c>
      <c r="Q174" s="14" t="s">
        <v>25</v>
      </c>
      <c r="R174" s="14" t="s">
        <v>35</v>
      </c>
    </row>
    <row r="175" spans="1:18" s="14" customFormat="1" x14ac:dyDescent="0.25">
      <c r="A175" s="14" t="str">
        <f>"10001"</f>
        <v>10001</v>
      </c>
      <c r="B175" s="14" t="str">
        <f>"03775"</f>
        <v>03775</v>
      </c>
      <c r="C175" s="14" t="str">
        <f>"1300"</f>
        <v>1300</v>
      </c>
      <c r="D175" s="14" t="str">
        <f>"03775"</f>
        <v>03775</v>
      </c>
      <c r="E175" s="14" t="s">
        <v>20</v>
      </c>
      <c r="F175" s="14" t="s">
        <v>307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252</v>
      </c>
      <c r="L175" s="14" t="s">
        <v>253</v>
      </c>
      <c r="M175" s="14" t="s">
        <v>256</v>
      </c>
      <c r="P175" s="14" t="s">
        <v>260</v>
      </c>
      <c r="Q175" s="14" t="s">
        <v>25</v>
      </c>
      <c r="R175" s="14" t="s">
        <v>253</v>
      </c>
    </row>
    <row r="176" spans="1:18" s="14" customFormat="1" x14ac:dyDescent="0.25">
      <c r="A176" s="14" t="str">
        <f>"10001"</f>
        <v>10001</v>
      </c>
      <c r="B176" s="14" t="str">
        <f>"03780"</f>
        <v>03780</v>
      </c>
      <c r="C176" s="14" t="str">
        <f>"1000"</f>
        <v>1000</v>
      </c>
      <c r="D176" s="14" t="str">
        <f>""</f>
        <v/>
      </c>
      <c r="E176" s="14" t="s">
        <v>20</v>
      </c>
      <c r="F176" s="14" t="s">
        <v>308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34</v>
      </c>
      <c r="P176" s="14" t="s">
        <v>260</v>
      </c>
      <c r="Q176" s="14" t="s">
        <v>25</v>
      </c>
      <c r="R176" s="14" t="s">
        <v>35</v>
      </c>
    </row>
    <row r="177" spans="1:18" s="14" customFormat="1" x14ac:dyDescent="0.25">
      <c r="A177" s="14" t="str">
        <f>"10001"</f>
        <v>10001</v>
      </c>
      <c r="B177" s="14" t="str">
        <f>"03785"</f>
        <v>03785</v>
      </c>
      <c r="C177" s="14" t="str">
        <f>"1000"</f>
        <v>1000</v>
      </c>
      <c r="D177" s="14" t="str">
        <f>""</f>
        <v/>
      </c>
      <c r="E177" s="14" t="s">
        <v>20</v>
      </c>
      <c r="F177" s="14" t="s">
        <v>309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34</v>
      </c>
      <c r="P177" s="14" t="s">
        <v>260</v>
      </c>
      <c r="Q177" s="14" t="s">
        <v>25</v>
      </c>
      <c r="R177" s="14" t="s">
        <v>35</v>
      </c>
    </row>
    <row r="178" spans="1:18" s="14" customFormat="1" x14ac:dyDescent="0.25">
      <c r="A178" s="14" t="str">
        <f>"10001"</f>
        <v>10001</v>
      </c>
      <c r="B178" s="14" t="str">
        <f>"03820"</f>
        <v>03820</v>
      </c>
      <c r="C178" s="14" t="str">
        <f>"1000"</f>
        <v>1000</v>
      </c>
      <c r="D178" s="14" t="str">
        <f>""</f>
        <v/>
      </c>
      <c r="E178" s="14" t="s">
        <v>20</v>
      </c>
      <c r="F178" s="14" t="s">
        <v>312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34</v>
      </c>
      <c r="P178" s="14" t="s">
        <v>260</v>
      </c>
      <c r="Q178" s="14" t="s">
        <v>25</v>
      </c>
      <c r="R178" s="14" t="s">
        <v>35</v>
      </c>
    </row>
    <row r="179" spans="1:18" s="14" customFormat="1" x14ac:dyDescent="0.25">
      <c r="A179" s="14" t="str">
        <f>"10001"</f>
        <v>10001</v>
      </c>
      <c r="B179" s="14" t="str">
        <f>"03820"</f>
        <v>03820</v>
      </c>
      <c r="C179" s="14" t="str">
        <f>"1500"</f>
        <v>1500</v>
      </c>
      <c r="D179" s="14" t="str">
        <f>""</f>
        <v/>
      </c>
      <c r="E179" s="14" t="s">
        <v>20</v>
      </c>
      <c r="F179" s="14" t="s">
        <v>312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34</v>
      </c>
      <c r="P179" s="14" t="s">
        <v>260</v>
      </c>
      <c r="Q179" s="14" t="s">
        <v>25</v>
      </c>
      <c r="R179" s="14" t="s">
        <v>35</v>
      </c>
    </row>
    <row r="180" spans="1:18" s="14" customFormat="1" x14ac:dyDescent="0.25">
      <c r="A180" s="14" t="str">
        <f>"10001"</f>
        <v>10001</v>
      </c>
      <c r="B180" s="14" t="str">
        <f>"03830"</f>
        <v>03830</v>
      </c>
      <c r="C180" s="14" t="str">
        <f>"1000"</f>
        <v>1000</v>
      </c>
      <c r="D180" s="14" t="str">
        <f>""</f>
        <v/>
      </c>
      <c r="E180" s="14" t="s">
        <v>20</v>
      </c>
      <c r="F180" s="14" t="s">
        <v>313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34</v>
      </c>
      <c r="P180" s="14" t="s">
        <v>260</v>
      </c>
      <c r="Q180" s="14" t="s">
        <v>25</v>
      </c>
      <c r="R180" s="14" t="s">
        <v>35</v>
      </c>
    </row>
    <row r="181" spans="1:18" s="14" customFormat="1" x14ac:dyDescent="0.25">
      <c r="A181" s="14" t="str">
        <f>"10001"</f>
        <v>10001</v>
      </c>
      <c r="B181" s="14" t="str">
        <f>"03830"</f>
        <v>03830</v>
      </c>
      <c r="C181" s="14" t="str">
        <f>"1500"</f>
        <v>1500</v>
      </c>
      <c r="D181" s="14" t="str">
        <f>""</f>
        <v/>
      </c>
      <c r="E181" s="14" t="s">
        <v>20</v>
      </c>
      <c r="F181" s="14" t="s">
        <v>313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34</v>
      </c>
      <c r="P181" s="14" t="s">
        <v>260</v>
      </c>
      <c r="Q181" s="14" t="s">
        <v>25</v>
      </c>
      <c r="R181" s="14" t="s">
        <v>35</v>
      </c>
    </row>
    <row r="182" spans="1:18" s="14" customFormat="1" x14ac:dyDescent="0.25">
      <c r="A182" s="14" t="str">
        <f>"10001"</f>
        <v>10001</v>
      </c>
      <c r="B182" s="14" t="str">
        <f>"03850"</f>
        <v>03850</v>
      </c>
      <c r="C182" s="14" t="str">
        <f>"1000"</f>
        <v>1000</v>
      </c>
      <c r="D182" s="14" t="str">
        <f>""</f>
        <v/>
      </c>
      <c r="E182" s="14" t="s">
        <v>20</v>
      </c>
      <c r="F182" s="14" t="s">
        <v>314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34</v>
      </c>
      <c r="P182" s="14" t="s">
        <v>260</v>
      </c>
      <c r="Q182" s="14" t="s">
        <v>25</v>
      </c>
      <c r="R182" s="14" t="s">
        <v>35</v>
      </c>
    </row>
    <row r="183" spans="1:18" s="14" customFormat="1" x14ac:dyDescent="0.25">
      <c r="A183" s="14" t="str">
        <f>"10001"</f>
        <v>10001</v>
      </c>
      <c r="B183" s="14" t="str">
        <f>"03870"</f>
        <v>03870</v>
      </c>
      <c r="C183" s="14" t="str">
        <f>"1000"</f>
        <v>1000</v>
      </c>
      <c r="D183" s="14" t="str">
        <f>""</f>
        <v/>
      </c>
      <c r="E183" s="14" t="s">
        <v>20</v>
      </c>
      <c r="F183" s="14" t="s">
        <v>315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34</v>
      </c>
      <c r="P183" s="14" t="s">
        <v>260</v>
      </c>
      <c r="Q183" s="14" t="s">
        <v>25</v>
      </c>
      <c r="R183" s="14" t="s">
        <v>35</v>
      </c>
    </row>
    <row r="184" spans="1:18" s="14" customFormat="1" x14ac:dyDescent="0.25">
      <c r="A184" s="14" t="str">
        <f>"10001"</f>
        <v>10001</v>
      </c>
      <c r="B184" s="14" t="str">
        <f>"03890"</f>
        <v>03890</v>
      </c>
      <c r="C184" s="14" t="str">
        <f>"1000"</f>
        <v>1000</v>
      </c>
      <c r="D184" s="14" t="str">
        <f>"03890"</f>
        <v>03890</v>
      </c>
      <c r="E184" s="14" t="s">
        <v>20</v>
      </c>
      <c r="F184" s="14" t="s">
        <v>316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228</v>
      </c>
      <c r="L184" s="14" t="s">
        <v>226</v>
      </c>
      <c r="P184" s="14" t="s">
        <v>260</v>
      </c>
      <c r="Q184" s="14" t="s">
        <v>260</v>
      </c>
      <c r="R184" s="14" t="s">
        <v>229</v>
      </c>
    </row>
    <row r="185" spans="1:18" s="14" customFormat="1" x14ac:dyDescent="0.25">
      <c r="A185" s="14" t="str">
        <f>"10001"</f>
        <v>10001</v>
      </c>
      <c r="B185" s="14" t="str">
        <f>"03901"</f>
        <v>03901</v>
      </c>
      <c r="C185" s="14" t="str">
        <f>"1800"</f>
        <v>1800</v>
      </c>
      <c r="D185" s="14" t="str">
        <f>""</f>
        <v/>
      </c>
      <c r="E185" s="14" t="s">
        <v>20</v>
      </c>
      <c r="F185" s="14" t="s">
        <v>317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318</v>
      </c>
      <c r="L185" s="14" t="s">
        <v>319</v>
      </c>
      <c r="P185" s="14" t="s">
        <v>260</v>
      </c>
      <c r="Q185" s="14" t="s">
        <v>25</v>
      </c>
      <c r="R185" s="14" t="s">
        <v>318</v>
      </c>
    </row>
    <row r="186" spans="1:18" s="14" customFormat="1" x14ac:dyDescent="0.25">
      <c r="A186" s="14" t="str">
        <f>"10001"</f>
        <v>10001</v>
      </c>
      <c r="B186" s="14" t="str">
        <f>"03902"</f>
        <v>03902</v>
      </c>
      <c r="C186" s="14" t="str">
        <f>"1400"</f>
        <v>1400</v>
      </c>
      <c r="D186" s="14" t="str">
        <f>""</f>
        <v/>
      </c>
      <c r="E186" s="14" t="s">
        <v>20</v>
      </c>
      <c r="F186" s="14" t="s">
        <v>320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318</v>
      </c>
      <c r="L186" s="14" t="s">
        <v>319</v>
      </c>
      <c r="P186" s="14" t="s">
        <v>260</v>
      </c>
      <c r="Q186" s="14" t="s">
        <v>25</v>
      </c>
      <c r="R186" s="14" t="s">
        <v>318</v>
      </c>
    </row>
    <row r="187" spans="1:18" s="14" customFormat="1" x14ac:dyDescent="0.25">
      <c r="A187" s="14" t="str">
        <f>"10001"</f>
        <v>10001</v>
      </c>
      <c r="B187" s="14" t="str">
        <f>"03903"</f>
        <v>03903</v>
      </c>
      <c r="C187" s="14" t="str">
        <f>"1400"</f>
        <v>1400</v>
      </c>
      <c r="D187" s="14" t="str">
        <f>""</f>
        <v/>
      </c>
      <c r="E187" s="14" t="s">
        <v>20</v>
      </c>
      <c r="F187" s="14" t="s">
        <v>321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318</v>
      </c>
      <c r="L187" s="14" t="s">
        <v>319</v>
      </c>
      <c r="P187" s="14" t="s">
        <v>260</v>
      </c>
      <c r="Q187" s="14" t="s">
        <v>25</v>
      </c>
      <c r="R187" s="14" t="s">
        <v>318</v>
      </c>
    </row>
    <row r="188" spans="1:18" s="14" customFormat="1" x14ac:dyDescent="0.25">
      <c r="A188" s="14" t="str">
        <f>"10001"</f>
        <v>10001</v>
      </c>
      <c r="B188" s="14" t="str">
        <f>"03904"</f>
        <v>03904</v>
      </c>
      <c r="C188" s="14" t="str">
        <f>"1800"</f>
        <v>1800</v>
      </c>
      <c r="D188" s="14" t="str">
        <f>""</f>
        <v/>
      </c>
      <c r="E188" s="14" t="s">
        <v>20</v>
      </c>
      <c r="F188" s="14" t="s">
        <v>322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318</v>
      </c>
      <c r="L188" s="14" t="s">
        <v>319</v>
      </c>
      <c r="P188" s="14" t="s">
        <v>260</v>
      </c>
      <c r="Q188" s="14" t="s">
        <v>25</v>
      </c>
      <c r="R188" s="14" t="s">
        <v>318</v>
      </c>
    </row>
    <row r="189" spans="1:18" s="14" customFormat="1" x14ac:dyDescent="0.25">
      <c r="A189" s="14" t="str">
        <f>"10001"</f>
        <v>10001</v>
      </c>
      <c r="B189" s="14" t="str">
        <f>"03906"</f>
        <v>03906</v>
      </c>
      <c r="C189" s="14" t="str">
        <f>"1400"</f>
        <v>1400</v>
      </c>
      <c r="D189" s="14" t="str">
        <f>""</f>
        <v/>
      </c>
      <c r="E189" s="14" t="s">
        <v>20</v>
      </c>
      <c r="F189" s="14" t="s">
        <v>323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318</v>
      </c>
      <c r="L189" s="14" t="s">
        <v>319</v>
      </c>
      <c r="P189" s="14" t="s">
        <v>260</v>
      </c>
      <c r="Q189" s="14" t="s">
        <v>25</v>
      </c>
      <c r="R189" s="14" t="s">
        <v>318</v>
      </c>
    </row>
    <row r="190" spans="1:18" s="14" customFormat="1" x14ac:dyDescent="0.25">
      <c r="A190" s="14" t="str">
        <f>"10001"</f>
        <v>10001</v>
      </c>
      <c r="B190" s="14" t="str">
        <f>"03908"</f>
        <v>03908</v>
      </c>
      <c r="C190" s="14" t="str">
        <f>"1800"</f>
        <v>1800</v>
      </c>
      <c r="D190" s="14" t="str">
        <f>""</f>
        <v/>
      </c>
      <c r="E190" s="14" t="s">
        <v>20</v>
      </c>
      <c r="F190" s="14" t="s">
        <v>324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226</v>
      </c>
      <c r="P190" s="14" t="s">
        <v>260</v>
      </c>
      <c r="Q190" s="14" t="s">
        <v>25</v>
      </c>
      <c r="R190" s="14" t="s">
        <v>229</v>
      </c>
    </row>
    <row r="191" spans="1:18" s="14" customFormat="1" x14ac:dyDescent="0.25">
      <c r="A191" s="14" t="str">
        <f>"10001"</f>
        <v>10001</v>
      </c>
      <c r="B191" s="14" t="str">
        <f>"03912"</f>
        <v>03912</v>
      </c>
      <c r="C191" s="14" t="str">
        <f>"1800"</f>
        <v>1800</v>
      </c>
      <c r="D191" s="14" t="str">
        <f>""</f>
        <v/>
      </c>
      <c r="E191" s="14" t="s">
        <v>20</v>
      </c>
      <c r="F191" s="14" t="s">
        <v>325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318</v>
      </c>
      <c r="L191" s="14" t="s">
        <v>319</v>
      </c>
      <c r="P191" s="14" t="s">
        <v>260</v>
      </c>
      <c r="Q191" s="14" t="s">
        <v>25</v>
      </c>
      <c r="R191" s="14" t="s">
        <v>318</v>
      </c>
    </row>
    <row r="192" spans="1:18" s="14" customFormat="1" x14ac:dyDescent="0.25">
      <c r="A192" s="14" t="str">
        <f>"10001"</f>
        <v>10001</v>
      </c>
      <c r="B192" s="14" t="str">
        <f>"03916"</f>
        <v>03916</v>
      </c>
      <c r="C192" s="14" t="str">
        <f>"1800"</f>
        <v>1800</v>
      </c>
      <c r="D192" s="14" t="str">
        <f>""</f>
        <v/>
      </c>
      <c r="E192" s="14" t="s">
        <v>20</v>
      </c>
      <c r="F192" s="14" t="s">
        <v>326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318</v>
      </c>
      <c r="L192" s="14" t="s">
        <v>319</v>
      </c>
      <c r="P192" s="14" t="s">
        <v>260</v>
      </c>
      <c r="Q192" s="14" t="s">
        <v>25</v>
      </c>
      <c r="R192" s="14" t="s">
        <v>318</v>
      </c>
    </row>
    <row r="193" spans="1:18" s="14" customFormat="1" x14ac:dyDescent="0.25">
      <c r="A193" s="14" t="str">
        <f>"10001"</f>
        <v>10001</v>
      </c>
      <c r="B193" s="14" t="str">
        <f>"03918"</f>
        <v>03918</v>
      </c>
      <c r="C193" s="14" t="str">
        <f>"1800"</f>
        <v>1800</v>
      </c>
      <c r="D193" s="14" t="str">
        <f>""</f>
        <v/>
      </c>
      <c r="E193" s="14" t="s">
        <v>20</v>
      </c>
      <c r="F193" s="14" t="s">
        <v>327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318</v>
      </c>
      <c r="L193" s="14" t="s">
        <v>319</v>
      </c>
      <c r="P193" s="14" t="s">
        <v>260</v>
      </c>
      <c r="Q193" s="14" t="s">
        <v>25</v>
      </c>
      <c r="R193" s="14" t="s">
        <v>318</v>
      </c>
    </row>
    <row r="194" spans="1:18" s="14" customFormat="1" x14ac:dyDescent="0.25">
      <c r="A194" s="14" t="str">
        <f>"10001"</f>
        <v>10001</v>
      </c>
      <c r="B194" s="14" t="str">
        <f>"03933"</f>
        <v>03933</v>
      </c>
      <c r="C194" s="14" t="str">
        <f>"1400"</f>
        <v>1400</v>
      </c>
      <c r="D194" s="14" t="str">
        <f>""</f>
        <v/>
      </c>
      <c r="E194" s="14" t="s">
        <v>20</v>
      </c>
      <c r="F194" s="14" t="s">
        <v>328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318</v>
      </c>
      <c r="L194" s="14" t="s">
        <v>319</v>
      </c>
      <c r="P194" s="14" t="s">
        <v>260</v>
      </c>
      <c r="Q194" s="14" t="s">
        <v>25</v>
      </c>
      <c r="R194" s="14" t="s">
        <v>318</v>
      </c>
    </row>
    <row r="195" spans="1:18" s="14" customFormat="1" x14ac:dyDescent="0.25">
      <c r="A195" s="14" t="str">
        <f>"10001"</f>
        <v>10001</v>
      </c>
      <c r="B195" s="14" t="str">
        <f>"03934"</f>
        <v>03934</v>
      </c>
      <c r="C195" s="14" t="str">
        <f>"1400"</f>
        <v>1400</v>
      </c>
      <c r="D195" s="14" t="str">
        <f>""</f>
        <v/>
      </c>
      <c r="E195" s="14" t="s">
        <v>20</v>
      </c>
      <c r="F195" s="14" t="s">
        <v>329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318</v>
      </c>
      <c r="L195" s="14" t="s">
        <v>319</v>
      </c>
      <c r="P195" s="14" t="s">
        <v>260</v>
      </c>
      <c r="Q195" s="14" t="s">
        <v>25</v>
      </c>
      <c r="R195" s="14" t="s">
        <v>318</v>
      </c>
    </row>
    <row r="196" spans="1:18" s="14" customFormat="1" x14ac:dyDescent="0.25">
      <c r="A196" s="14" t="str">
        <f>"10001"</f>
        <v>10001</v>
      </c>
      <c r="B196" s="14" t="str">
        <f>"03935"</f>
        <v>03935</v>
      </c>
      <c r="C196" s="14" t="str">
        <f>"1400"</f>
        <v>1400</v>
      </c>
      <c r="D196" s="14" t="str">
        <f>""</f>
        <v/>
      </c>
      <c r="E196" s="14" t="s">
        <v>20</v>
      </c>
      <c r="F196" s="14" t="s">
        <v>330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318</v>
      </c>
      <c r="L196" s="14" t="s">
        <v>319</v>
      </c>
      <c r="P196" s="14" t="s">
        <v>260</v>
      </c>
      <c r="Q196" s="14" t="s">
        <v>25</v>
      </c>
      <c r="R196" s="14" t="s">
        <v>318</v>
      </c>
    </row>
    <row r="197" spans="1:18" s="14" customFormat="1" x14ac:dyDescent="0.25">
      <c r="A197" s="14" t="str">
        <f>"10001"</f>
        <v>10001</v>
      </c>
      <c r="B197" s="14" t="str">
        <f>"03936"</f>
        <v>03936</v>
      </c>
      <c r="C197" s="14" t="str">
        <f>"1400"</f>
        <v>1400</v>
      </c>
      <c r="D197" s="14" t="str">
        <f>""</f>
        <v/>
      </c>
      <c r="E197" s="14" t="s">
        <v>20</v>
      </c>
      <c r="F197" s="14" t="s">
        <v>331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318</v>
      </c>
      <c r="L197" s="14" t="s">
        <v>319</v>
      </c>
      <c r="P197" s="14" t="s">
        <v>260</v>
      </c>
      <c r="Q197" s="14" t="s">
        <v>25</v>
      </c>
      <c r="R197" s="14" t="s">
        <v>318</v>
      </c>
    </row>
    <row r="198" spans="1:18" s="14" customFormat="1" x14ac:dyDescent="0.25">
      <c r="A198" s="14" t="str">
        <f>"10001"</f>
        <v>10001</v>
      </c>
      <c r="B198" s="14" t="str">
        <f>"03937"</f>
        <v>03937</v>
      </c>
      <c r="C198" s="14" t="str">
        <f>"1400"</f>
        <v>1400</v>
      </c>
      <c r="D198" s="14" t="str">
        <f>""</f>
        <v/>
      </c>
      <c r="E198" s="14" t="s">
        <v>20</v>
      </c>
      <c r="F198" s="14" t="s">
        <v>332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318</v>
      </c>
      <c r="L198" s="14" t="s">
        <v>319</v>
      </c>
      <c r="P198" s="14" t="s">
        <v>260</v>
      </c>
      <c r="Q198" s="14" t="s">
        <v>25</v>
      </c>
      <c r="R198" s="14" t="s">
        <v>318</v>
      </c>
    </row>
    <row r="199" spans="1:18" s="14" customFormat="1" x14ac:dyDescent="0.25">
      <c r="A199" s="14" t="str">
        <f>"10001"</f>
        <v>10001</v>
      </c>
      <c r="B199" s="14" t="str">
        <f>"03938"</f>
        <v>03938</v>
      </c>
      <c r="C199" s="14" t="str">
        <f>"1400"</f>
        <v>1400</v>
      </c>
      <c r="D199" s="14" t="str">
        <f>""</f>
        <v/>
      </c>
      <c r="E199" s="14" t="s">
        <v>20</v>
      </c>
      <c r="F199" s="14" t="s">
        <v>333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318</v>
      </c>
      <c r="L199" s="14" t="s">
        <v>319</v>
      </c>
      <c r="P199" s="14" t="s">
        <v>260</v>
      </c>
      <c r="Q199" s="14" t="s">
        <v>25</v>
      </c>
      <c r="R199" s="14" t="s">
        <v>318</v>
      </c>
    </row>
    <row r="200" spans="1:18" s="14" customFormat="1" x14ac:dyDescent="0.25">
      <c r="A200" s="14" t="str">
        <f>"10001"</f>
        <v>10001</v>
      </c>
      <c r="B200" s="14" t="str">
        <f>"03939"</f>
        <v>03939</v>
      </c>
      <c r="C200" s="14" t="str">
        <f>"1400"</f>
        <v>1400</v>
      </c>
      <c r="D200" s="14" t="str">
        <f>""</f>
        <v/>
      </c>
      <c r="E200" s="14" t="s">
        <v>20</v>
      </c>
      <c r="F200" s="14" t="s">
        <v>334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318</v>
      </c>
      <c r="L200" s="14" t="s">
        <v>319</v>
      </c>
      <c r="P200" s="14" t="s">
        <v>260</v>
      </c>
      <c r="Q200" s="14" t="s">
        <v>25</v>
      </c>
      <c r="R200" s="14" t="s">
        <v>318</v>
      </c>
    </row>
    <row r="201" spans="1:18" s="14" customFormat="1" x14ac:dyDescent="0.25">
      <c r="A201" s="14" t="str">
        <f>"10001"</f>
        <v>10001</v>
      </c>
      <c r="B201" s="14" t="str">
        <f>"03940"</f>
        <v>03940</v>
      </c>
      <c r="C201" s="14" t="str">
        <f>"1400"</f>
        <v>1400</v>
      </c>
      <c r="D201" s="14" t="str">
        <f>""</f>
        <v/>
      </c>
      <c r="E201" s="14" t="s">
        <v>20</v>
      </c>
      <c r="F201" s="14" t="s">
        <v>335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318</v>
      </c>
      <c r="L201" s="14" t="s">
        <v>319</v>
      </c>
      <c r="P201" s="14" t="s">
        <v>260</v>
      </c>
      <c r="Q201" s="14" t="s">
        <v>25</v>
      </c>
      <c r="R201" s="14" t="s">
        <v>318</v>
      </c>
    </row>
    <row r="202" spans="1:18" s="14" customFormat="1" x14ac:dyDescent="0.25">
      <c r="A202" s="14" t="str">
        <f>"10001"</f>
        <v>10001</v>
      </c>
      <c r="B202" s="14" t="str">
        <f>"03941"</f>
        <v>03941</v>
      </c>
      <c r="C202" s="14" t="str">
        <f>"1400"</f>
        <v>1400</v>
      </c>
      <c r="D202" s="14" t="str">
        <f>""</f>
        <v/>
      </c>
      <c r="E202" s="14" t="s">
        <v>20</v>
      </c>
      <c r="F202" s="14" t="s">
        <v>336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318</v>
      </c>
      <c r="L202" s="14" t="s">
        <v>319</v>
      </c>
      <c r="P202" s="14" t="s">
        <v>260</v>
      </c>
      <c r="Q202" s="14" t="s">
        <v>25</v>
      </c>
      <c r="R202" s="14" t="s">
        <v>318</v>
      </c>
    </row>
    <row r="203" spans="1:18" s="14" customFormat="1" x14ac:dyDescent="0.25">
      <c r="A203" s="14" t="str">
        <f>"10001"</f>
        <v>10001</v>
      </c>
      <c r="B203" s="14" t="str">
        <f>"03943"</f>
        <v>03943</v>
      </c>
      <c r="C203" s="14" t="str">
        <f>"1800"</f>
        <v>1800</v>
      </c>
      <c r="D203" s="14" t="str">
        <f>""</f>
        <v/>
      </c>
      <c r="E203" s="14" t="s">
        <v>20</v>
      </c>
      <c r="F203" s="14" t="s">
        <v>337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318</v>
      </c>
      <c r="L203" s="14" t="s">
        <v>319</v>
      </c>
      <c r="P203" s="14" t="s">
        <v>260</v>
      </c>
      <c r="Q203" s="14" t="s">
        <v>25</v>
      </c>
      <c r="R203" s="14" t="s">
        <v>318</v>
      </c>
    </row>
    <row r="204" spans="1:18" s="14" customFormat="1" x14ac:dyDescent="0.25">
      <c r="A204" s="14" t="str">
        <f>"10001"</f>
        <v>10001</v>
      </c>
      <c r="B204" s="14" t="str">
        <f>"03946"</f>
        <v>03946</v>
      </c>
      <c r="C204" s="14" t="str">
        <f>"1800"</f>
        <v>1800</v>
      </c>
      <c r="D204" s="14" t="str">
        <f>""</f>
        <v/>
      </c>
      <c r="E204" s="14" t="s">
        <v>20</v>
      </c>
      <c r="F204" s="14" t="s">
        <v>338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318</v>
      </c>
      <c r="L204" s="14" t="s">
        <v>319</v>
      </c>
      <c r="P204" s="14" t="s">
        <v>260</v>
      </c>
      <c r="Q204" s="14" t="s">
        <v>25</v>
      </c>
      <c r="R204" s="14" t="s">
        <v>318</v>
      </c>
    </row>
    <row r="205" spans="1:18" s="14" customFormat="1" x14ac:dyDescent="0.25">
      <c r="A205" s="14" t="str">
        <f>"10001"</f>
        <v>10001</v>
      </c>
      <c r="B205" s="14" t="str">
        <f>"03952"</f>
        <v>03952</v>
      </c>
      <c r="C205" s="14" t="str">
        <f>"1800"</f>
        <v>1800</v>
      </c>
      <c r="D205" s="14" t="str">
        <f>""</f>
        <v/>
      </c>
      <c r="E205" s="14" t="s">
        <v>20</v>
      </c>
      <c r="F205" s="14" t="s">
        <v>339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318</v>
      </c>
      <c r="L205" s="14" t="s">
        <v>319</v>
      </c>
      <c r="P205" s="14" t="s">
        <v>260</v>
      </c>
      <c r="Q205" s="14" t="s">
        <v>25</v>
      </c>
      <c r="R205" s="14" t="s">
        <v>318</v>
      </c>
    </row>
    <row r="206" spans="1:18" s="14" customFormat="1" x14ac:dyDescent="0.25">
      <c r="A206" s="14" t="str">
        <f>"10001"</f>
        <v>10001</v>
      </c>
      <c r="B206" s="14" t="str">
        <f>"03953"</f>
        <v>03953</v>
      </c>
      <c r="C206" s="14" t="str">
        <f>"1800"</f>
        <v>1800</v>
      </c>
      <c r="D206" s="14" t="str">
        <f>""</f>
        <v/>
      </c>
      <c r="E206" s="14" t="s">
        <v>20</v>
      </c>
      <c r="F206" s="14" t="s">
        <v>340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318</v>
      </c>
      <c r="L206" s="14" t="s">
        <v>319</v>
      </c>
      <c r="P206" s="14" t="s">
        <v>260</v>
      </c>
      <c r="Q206" s="14" t="s">
        <v>25</v>
      </c>
      <c r="R206" s="14" t="s">
        <v>318</v>
      </c>
    </row>
    <row r="207" spans="1:18" s="14" customFormat="1" x14ac:dyDescent="0.25">
      <c r="A207" s="14" t="str">
        <f>"10001"</f>
        <v>10001</v>
      </c>
      <c r="B207" s="14" t="str">
        <f>"03955"</f>
        <v>03955</v>
      </c>
      <c r="C207" s="14" t="str">
        <f>"1800"</f>
        <v>1800</v>
      </c>
      <c r="D207" s="14" t="str">
        <f>""</f>
        <v/>
      </c>
      <c r="E207" s="14" t="s">
        <v>20</v>
      </c>
      <c r="F207" s="14" t="s">
        <v>341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318</v>
      </c>
      <c r="L207" s="14" t="s">
        <v>319</v>
      </c>
      <c r="P207" s="14" t="s">
        <v>260</v>
      </c>
      <c r="Q207" s="14" t="s">
        <v>25</v>
      </c>
      <c r="R207" s="14" t="s">
        <v>318</v>
      </c>
    </row>
    <row r="208" spans="1:18" s="14" customFormat="1" x14ac:dyDescent="0.25">
      <c r="A208" s="14" t="str">
        <f>"10001"</f>
        <v>10001</v>
      </c>
      <c r="B208" s="14" t="str">
        <f>"03956"</f>
        <v>03956</v>
      </c>
      <c r="C208" s="14" t="str">
        <f>"1800"</f>
        <v>1800</v>
      </c>
      <c r="D208" s="14" t="str">
        <f>""</f>
        <v/>
      </c>
      <c r="E208" s="14" t="s">
        <v>20</v>
      </c>
      <c r="F208" s="14" t="s">
        <v>342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318</v>
      </c>
      <c r="L208" s="14" t="s">
        <v>319</v>
      </c>
      <c r="P208" s="14" t="s">
        <v>260</v>
      </c>
      <c r="Q208" s="14" t="s">
        <v>25</v>
      </c>
      <c r="R208" s="14" t="s">
        <v>318</v>
      </c>
    </row>
    <row r="209" spans="1:18" s="14" customFormat="1" x14ac:dyDescent="0.25">
      <c r="A209" s="14" t="str">
        <f>"10001"</f>
        <v>10001</v>
      </c>
      <c r="B209" s="14" t="str">
        <f>"03957"</f>
        <v>03957</v>
      </c>
      <c r="C209" s="14" t="str">
        <f>"1400"</f>
        <v>1400</v>
      </c>
      <c r="D209" s="14" t="str">
        <f>""</f>
        <v/>
      </c>
      <c r="E209" s="14" t="s">
        <v>20</v>
      </c>
      <c r="F209" s="14" t="s">
        <v>343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318</v>
      </c>
      <c r="L209" s="14" t="s">
        <v>319</v>
      </c>
      <c r="P209" s="14" t="s">
        <v>260</v>
      </c>
      <c r="Q209" s="14" t="s">
        <v>25</v>
      </c>
      <c r="R209" s="14" t="s">
        <v>318</v>
      </c>
    </row>
    <row r="210" spans="1:18" s="14" customFormat="1" x14ac:dyDescent="0.25">
      <c r="A210" s="14" t="str">
        <f>"10001"</f>
        <v>10001</v>
      </c>
      <c r="B210" s="14" t="str">
        <f>"03958"</f>
        <v>03958</v>
      </c>
      <c r="C210" s="14" t="str">
        <f>"1800"</f>
        <v>1800</v>
      </c>
      <c r="D210" s="14" t="str">
        <f>""</f>
        <v/>
      </c>
      <c r="E210" s="14" t="s">
        <v>20</v>
      </c>
      <c r="F210" s="14" t="s">
        <v>344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318</v>
      </c>
      <c r="L210" s="14" t="s">
        <v>319</v>
      </c>
      <c r="P210" s="14" t="s">
        <v>260</v>
      </c>
      <c r="Q210" s="14" t="s">
        <v>25</v>
      </c>
      <c r="R210" s="14" t="s">
        <v>318</v>
      </c>
    </row>
    <row r="211" spans="1:18" s="14" customFormat="1" x14ac:dyDescent="0.25">
      <c r="A211" s="14" t="str">
        <f>"10001"</f>
        <v>10001</v>
      </c>
      <c r="B211" s="14" t="str">
        <f>"03959"</f>
        <v>03959</v>
      </c>
      <c r="C211" s="14" t="str">
        <f>"1800"</f>
        <v>1800</v>
      </c>
      <c r="D211" s="14" t="str">
        <f>""</f>
        <v/>
      </c>
      <c r="E211" s="14" t="s">
        <v>20</v>
      </c>
      <c r="F211" s="14" t="s">
        <v>345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318</v>
      </c>
      <c r="L211" s="14" t="s">
        <v>319</v>
      </c>
      <c r="P211" s="14" t="s">
        <v>260</v>
      </c>
      <c r="Q211" s="14" t="s">
        <v>25</v>
      </c>
      <c r="R211" s="14" t="s">
        <v>318</v>
      </c>
    </row>
    <row r="212" spans="1:18" s="14" customFormat="1" x14ac:dyDescent="0.25">
      <c r="A212" s="14" t="str">
        <f>"10001"</f>
        <v>10001</v>
      </c>
      <c r="B212" s="14" t="str">
        <f>"03960"</f>
        <v>03960</v>
      </c>
      <c r="C212" s="14" t="str">
        <f>"1800"</f>
        <v>1800</v>
      </c>
      <c r="D212" s="14" t="str">
        <f>""</f>
        <v/>
      </c>
      <c r="E212" s="14" t="s">
        <v>20</v>
      </c>
      <c r="F212" s="14" t="s">
        <v>346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318</v>
      </c>
      <c r="L212" s="14" t="s">
        <v>319</v>
      </c>
      <c r="P212" s="14" t="s">
        <v>260</v>
      </c>
      <c r="Q212" s="14" t="s">
        <v>25</v>
      </c>
      <c r="R212" s="14" t="s">
        <v>318</v>
      </c>
    </row>
    <row r="213" spans="1:18" s="14" customFormat="1" x14ac:dyDescent="0.25">
      <c r="A213" s="14" t="str">
        <f>"10001"</f>
        <v>10001</v>
      </c>
      <c r="B213" s="14" t="str">
        <f>"03961"</f>
        <v>03961</v>
      </c>
      <c r="C213" s="14" t="str">
        <f>"1800"</f>
        <v>1800</v>
      </c>
      <c r="D213" s="14" t="str">
        <f>""</f>
        <v/>
      </c>
      <c r="E213" s="14" t="s">
        <v>20</v>
      </c>
      <c r="F213" s="14" t="s">
        <v>347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318</v>
      </c>
      <c r="L213" s="14" t="s">
        <v>319</v>
      </c>
      <c r="P213" s="14" t="s">
        <v>260</v>
      </c>
      <c r="Q213" s="14" t="s">
        <v>25</v>
      </c>
      <c r="R213" s="14" t="s">
        <v>318</v>
      </c>
    </row>
    <row r="214" spans="1:18" s="14" customFormat="1" x14ac:dyDescent="0.25">
      <c r="A214" s="14" t="str">
        <f>"10001"</f>
        <v>10001</v>
      </c>
      <c r="B214" s="14" t="str">
        <f>"03962"</f>
        <v>03962</v>
      </c>
      <c r="C214" s="14" t="str">
        <f>"1800"</f>
        <v>1800</v>
      </c>
      <c r="D214" s="14" t="str">
        <f>""</f>
        <v/>
      </c>
      <c r="E214" s="14" t="s">
        <v>20</v>
      </c>
      <c r="F214" s="14" t="s">
        <v>348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318</v>
      </c>
      <c r="L214" s="14" t="s">
        <v>319</v>
      </c>
      <c r="P214" s="14" t="s">
        <v>260</v>
      </c>
      <c r="Q214" s="14" t="s">
        <v>25</v>
      </c>
      <c r="R214" s="14" t="s">
        <v>318</v>
      </c>
    </row>
    <row r="215" spans="1:18" s="14" customFormat="1" x14ac:dyDescent="0.25">
      <c r="A215" s="14" t="str">
        <f>"10001"</f>
        <v>10001</v>
      </c>
      <c r="B215" s="14" t="str">
        <f>"03963"</f>
        <v>03963</v>
      </c>
      <c r="C215" s="14" t="str">
        <f>"1800"</f>
        <v>1800</v>
      </c>
      <c r="D215" s="14" t="str">
        <f>""</f>
        <v/>
      </c>
      <c r="E215" s="14" t="s">
        <v>20</v>
      </c>
      <c r="F215" s="14" t="s">
        <v>349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318</v>
      </c>
      <c r="L215" s="14" t="s">
        <v>319</v>
      </c>
      <c r="P215" s="14" t="s">
        <v>260</v>
      </c>
      <c r="Q215" s="14" t="s">
        <v>25</v>
      </c>
      <c r="R215" s="14" t="s">
        <v>318</v>
      </c>
    </row>
    <row r="216" spans="1:18" s="14" customFormat="1" x14ac:dyDescent="0.25">
      <c r="A216" s="14" t="str">
        <f>"10001"</f>
        <v>10001</v>
      </c>
      <c r="B216" s="14" t="str">
        <f>"03964"</f>
        <v>03964</v>
      </c>
      <c r="C216" s="14" t="str">
        <f>"1800"</f>
        <v>1800</v>
      </c>
      <c r="D216" s="14" t="str">
        <f>""</f>
        <v/>
      </c>
      <c r="E216" s="14" t="s">
        <v>20</v>
      </c>
      <c r="F216" s="14" t="s">
        <v>350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318</v>
      </c>
      <c r="L216" s="14" t="s">
        <v>319</v>
      </c>
      <c r="P216" s="14" t="s">
        <v>260</v>
      </c>
      <c r="Q216" s="14" t="s">
        <v>25</v>
      </c>
      <c r="R216" s="14" t="s">
        <v>318</v>
      </c>
    </row>
    <row r="217" spans="1:18" s="14" customFormat="1" x14ac:dyDescent="0.25">
      <c r="A217" s="14" t="str">
        <f>"10001"</f>
        <v>10001</v>
      </c>
      <c r="B217" s="14" t="str">
        <f>"03965"</f>
        <v>03965</v>
      </c>
      <c r="C217" s="14" t="str">
        <f>"1800"</f>
        <v>1800</v>
      </c>
      <c r="D217" s="14" t="str">
        <f>""</f>
        <v/>
      </c>
      <c r="E217" s="14" t="s">
        <v>20</v>
      </c>
      <c r="F217" s="14" t="s">
        <v>351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318</v>
      </c>
      <c r="L217" s="14" t="s">
        <v>319</v>
      </c>
      <c r="P217" s="14" t="s">
        <v>260</v>
      </c>
      <c r="Q217" s="14" t="s">
        <v>25</v>
      </c>
      <c r="R217" s="14" t="s">
        <v>318</v>
      </c>
    </row>
    <row r="218" spans="1:18" s="14" customFormat="1" x14ac:dyDescent="0.25">
      <c r="A218" s="14" t="str">
        <f>"10001"</f>
        <v>10001</v>
      </c>
      <c r="B218" s="14" t="str">
        <f>"03966"</f>
        <v>03966</v>
      </c>
      <c r="C218" s="14" t="str">
        <f>"1800"</f>
        <v>1800</v>
      </c>
      <c r="D218" s="14" t="str">
        <f>""</f>
        <v/>
      </c>
      <c r="E218" s="14" t="s">
        <v>20</v>
      </c>
      <c r="F218" s="14" t="s">
        <v>352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318</v>
      </c>
      <c r="L218" s="14" t="s">
        <v>319</v>
      </c>
      <c r="P218" s="14" t="s">
        <v>260</v>
      </c>
      <c r="Q218" s="14" t="s">
        <v>25</v>
      </c>
      <c r="R218" s="14" t="s">
        <v>318</v>
      </c>
    </row>
    <row r="219" spans="1:18" s="14" customFormat="1" x14ac:dyDescent="0.25">
      <c r="A219" s="14" t="str">
        <f>"10001"</f>
        <v>10001</v>
      </c>
      <c r="B219" s="14" t="str">
        <f>"03967"</f>
        <v>03967</v>
      </c>
      <c r="C219" s="14" t="str">
        <f>"1800"</f>
        <v>1800</v>
      </c>
      <c r="D219" s="14" t="str">
        <f>""</f>
        <v/>
      </c>
      <c r="E219" s="14" t="s">
        <v>20</v>
      </c>
      <c r="F219" s="14" t="s">
        <v>353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318</v>
      </c>
      <c r="L219" s="14" t="s">
        <v>319</v>
      </c>
      <c r="P219" s="14" t="s">
        <v>260</v>
      </c>
      <c r="Q219" s="14" t="s">
        <v>25</v>
      </c>
      <c r="R219" s="14" t="s">
        <v>318</v>
      </c>
    </row>
    <row r="220" spans="1:18" s="14" customFormat="1" x14ac:dyDescent="0.25">
      <c r="A220" s="14" t="str">
        <f>"10001"</f>
        <v>10001</v>
      </c>
      <c r="B220" s="14" t="str">
        <f>"03968"</f>
        <v>03968</v>
      </c>
      <c r="C220" s="14" t="str">
        <f>"1800"</f>
        <v>1800</v>
      </c>
      <c r="D220" s="14" t="str">
        <f>""</f>
        <v/>
      </c>
      <c r="E220" s="14" t="s">
        <v>20</v>
      </c>
      <c r="F220" s="14" t="s">
        <v>354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318</v>
      </c>
      <c r="L220" s="14" t="s">
        <v>319</v>
      </c>
      <c r="P220" s="14" t="s">
        <v>260</v>
      </c>
      <c r="Q220" s="14" t="s">
        <v>25</v>
      </c>
      <c r="R220" s="14" t="s">
        <v>318</v>
      </c>
    </row>
    <row r="221" spans="1:18" s="14" customFormat="1" x14ac:dyDescent="0.25">
      <c r="A221" s="14" t="str">
        <f>"10001"</f>
        <v>10001</v>
      </c>
      <c r="B221" s="14" t="str">
        <f>"03969"</f>
        <v>03969</v>
      </c>
      <c r="C221" s="14" t="str">
        <f>"1800"</f>
        <v>1800</v>
      </c>
      <c r="D221" s="14" t="str">
        <f>""</f>
        <v/>
      </c>
      <c r="E221" s="14" t="s">
        <v>20</v>
      </c>
      <c r="F221" s="14" t="s">
        <v>355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318</v>
      </c>
      <c r="L221" s="14" t="s">
        <v>319</v>
      </c>
      <c r="P221" s="14" t="s">
        <v>260</v>
      </c>
      <c r="Q221" s="14" t="s">
        <v>25</v>
      </c>
      <c r="R221" s="14" t="s">
        <v>318</v>
      </c>
    </row>
    <row r="222" spans="1:18" s="14" customFormat="1" x14ac:dyDescent="0.25">
      <c r="A222" s="14" t="str">
        <f>"10001"</f>
        <v>10001</v>
      </c>
      <c r="B222" s="14" t="str">
        <f>"03970"</f>
        <v>03970</v>
      </c>
      <c r="C222" s="14" t="str">
        <f>"1800"</f>
        <v>1800</v>
      </c>
      <c r="D222" s="14" t="str">
        <f>""</f>
        <v/>
      </c>
      <c r="E222" s="14" t="s">
        <v>20</v>
      </c>
      <c r="F222" s="14" t="s">
        <v>356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318</v>
      </c>
      <c r="L222" s="14" t="s">
        <v>319</v>
      </c>
      <c r="P222" s="14" t="s">
        <v>260</v>
      </c>
      <c r="Q222" s="14" t="s">
        <v>25</v>
      </c>
      <c r="R222" s="14" t="s">
        <v>318</v>
      </c>
    </row>
    <row r="223" spans="1:18" s="14" customFormat="1" x14ac:dyDescent="0.25">
      <c r="A223" s="14" t="str">
        <f>"10001"</f>
        <v>10001</v>
      </c>
      <c r="B223" s="14" t="str">
        <f>"03971"</f>
        <v>03971</v>
      </c>
      <c r="C223" s="14" t="str">
        <f>"1800"</f>
        <v>1800</v>
      </c>
      <c r="D223" s="14" t="str">
        <f>""</f>
        <v/>
      </c>
      <c r="E223" s="14" t="s">
        <v>20</v>
      </c>
      <c r="F223" s="14" t="s">
        <v>357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318</v>
      </c>
      <c r="L223" s="14" t="s">
        <v>319</v>
      </c>
      <c r="P223" s="14" t="s">
        <v>260</v>
      </c>
      <c r="Q223" s="14" t="s">
        <v>25</v>
      </c>
      <c r="R223" s="14" t="s">
        <v>318</v>
      </c>
    </row>
    <row r="224" spans="1:18" s="14" customFormat="1" x14ac:dyDescent="0.25">
      <c r="A224" s="14" t="str">
        <f>"10001"</f>
        <v>10001</v>
      </c>
      <c r="B224" s="14" t="str">
        <f>"03972"</f>
        <v>03972</v>
      </c>
      <c r="C224" s="14" t="str">
        <f>"1800"</f>
        <v>1800</v>
      </c>
      <c r="D224" s="14" t="str">
        <f>""</f>
        <v/>
      </c>
      <c r="E224" s="14" t="s">
        <v>20</v>
      </c>
      <c r="F224" s="14" t="s">
        <v>358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318</v>
      </c>
      <c r="L224" s="14" t="s">
        <v>319</v>
      </c>
      <c r="P224" s="14" t="s">
        <v>260</v>
      </c>
      <c r="Q224" s="14" t="s">
        <v>25</v>
      </c>
      <c r="R224" s="14" t="s">
        <v>318</v>
      </c>
    </row>
    <row r="225" spans="1:18" s="14" customFormat="1" x14ac:dyDescent="0.25">
      <c r="A225" s="14" t="str">
        <f>"13003"</f>
        <v>13003</v>
      </c>
      <c r="B225" s="14" t="str">
        <f>"03050"</f>
        <v>03050</v>
      </c>
      <c r="C225" s="14" t="str">
        <f>"1400"</f>
        <v>1400</v>
      </c>
      <c r="D225" s="14" t="str">
        <f>""</f>
        <v/>
      </c>
      <c r="E225" s="14" t="s">
        <v>490</v>
      </c>
      <c r="F225" s="14" t="s">
        <v>225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228</v>
      </c>
      <c r="P225" s="14" t="s">
        <v>260</v>
      </c>
      <c r="Q225" s="14" t="s">
        <v>260</v>
      </c>
      <c r="R225" s="14" t="s">
        <v>229</v>
      </c>
    </row>
    <row r="226" spans="1:18" s="14" customFormat="1" x14ac:dyDescent="0.25">
      <c r="A226" s="14" t="str">
        <f>"13007"</f>
        <v>13007</v>
      </c>
      <c r="B226" s="14" t="str">
        <f>"03050"</f>
        <v>03050</v>
      </c>
      <c r="C226" s="14" t="str">
        <f>"1400"</f>
        <v>1400</v>
      </c>
      <c r="D226" s="14" t="str">
        <f>"13007"</f>
        <v>13007</v>
      </c>
      <c r="E226" s="14" t="s">
        <v>491</v>
      </c>
      <c r="F226" s="14" t="s">
        <v>225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227</v>
      </c>
      <c r="P226" s="14" t="s">
        <v>260</v>
      </c>
      <c r="Q226" s="14" t="s">
        <v>260</v>
      </c>
      <c r="R226" s="14" t="s">
        <v>229</v>
      </c>
    </row>
    <row r="227" spans="1:18" s="14" customFormat="1" x14ac:dyDescent="0.25">
      <c r="A227" s="14" t="str">
        <f>"13008"</f>
        <v>13008</v>
      </c>
      <c r="B227" s="14" t="str">
        <f>"03094"</f>
        <v>03094</v>
      </c>
      <c r="C227" s="14" t="str">
        <f>"1400"</f>
        <v>1400</v>
      </c>
      <c r="D227" s="14" t="str">
        <f>"13008"</f>
        <v>13008</v>
      </c>
      <c r="E227" s="14" t="s">
        <v>492</v>
      </c>
      <c r="F227" s="14" t="s">
        <v>240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241</v>
      </c>
      <c r="L227" s="14" t="s">
        <v>231</v>
      </c>
      <c r="P227" s="14" t="s">
        <v>260</v>
      </c>
      <c r="Q227" s="14" t="s">
        <v>260</v>
      </c>
      <c r="R227" s="14" t="s">
        <v>242</v>
      </c>
    </row>
    <row r="228" spans="1:18" s="14" customFormat="1" x14ac:dyDescent="0.25">
      <c r="A228" s="14" t="str">
        <f>"14001"</f>
        <v>14001</v>
      </c>
      <c r="B228" s="14" t="str">
        <f>"03050"</f>
        <v>03050</v>
      </c>
      <c r="C228" s="14" t="str">
        <f>"1400"</f>
        <v>1400</v>
      </c>
      <c r="D228" s="14" t="str">
        <f>""</f>
        <v/>
      </c>
      <c r="E228" s="14" t="s">
        <v>493</v>
      </c>
      <c r="F228" s="14" t="s">
        <v>225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228</v>
      </c>
      <c r="P228" s="14" t="s">
        <v>260</v>
      </c>
      <c r="Q228" s="14" t="s">
        <v>260</v>
      </c>
      <c r="R228" s="14" t="s">
        <v>229</v>
      </c>
    </row>
    <row r="229" spans="1:18" s="14" customFormat="1" x14ac:dyDescent="0.25">
      <c r="A229" s="14" t="str">
        <f>"14002"</f>
        <v>14002</v>
      </c>
      <c r="B229" s="14" t="str">
        <f>"03050"</f>
        <v>03050</v>
      </c>
      <c r="C229" s="14" t="str">
        <f>"1400"</f>
        <v>1400</v>
      </c>
      <c r="D229" s="14" t="str">
        <f>""</f>
        <v/>
      </c>
      <c r="E229" s="14" t="s">
        <v>494</v>
      </c>
      <c r="F229" s="14" t="s">
        <v>225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228</v>
      </c>
      <c r="P229" s="14" t="s">
        <v>260</v>
      </c>
      <c r="Q229" s="14" t="s">
        <v>260</v>
      </c>
      <c r="R229" s="14" t="s">
        <v>229</v>
      </c>
    </row>
    <row r="230" spans="1:18" s="14" customFormat="1" x14ac:dyDescent="0.25">
      <c r="A230" s="14" t="str">
        <f>"14004"</f>
        <v>14004</v>
      </c>
      <c r="B230" s="14" t="str">
        <f>"03050"</f>
        <v>03050</v>
      </c>
      <c r="C230" s="14" t="str">
        <f>"1400"</f>
        <v>1400</v>
      </c>
      <c r="D230" s="14" t="str">
        <f>""</f>
        <v/>
      </c>
      <c r="E230" s="14" t="s">
        <v>495</v>
      </c>
      <c r="F230" s="14" t="s">
        <v>225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228</v>
      </c>
      <c r="P230" s="14" t="s">
        <v>260</v>
      </c>
      <c r="Q230" s="14" t="s">
        <v>260</v>
      </c>
      <c r="R230" s="14" t="s">
        <v>229</v>
      </c>
    </row>
    <row r="231" spans="1:18" s="14" customFormat="1" x14ac:dyDescent="0.25">
      <c r="A231" s="14" t="str">
        <f>"14006"</f>
        <v>14006</v>
      </c>
      <c r="B231" s="14" t="str">
        <f>"03050"</f>
        <v>03050</v>
      </c>
      <c r="C231" s="14" t="str">
        <f>"1400"</f>
        <v>1400</v>
      </c>
      <c r="D231" s="14" t="str">
        <f>""</f>
        <v/>
      </c>
      <c r="E231" s="14" t="s">
        <v>496</v>
      </c>
      <c r="F231" s="14" t="s">
        <v>225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228</v>
      </c>
      <c r="P231" s="14" t="s">
        <v>260</v>
      </c>
      <c r="Q231" s="14" t="s">
        <v>260</v>
      </c>
      <c r="R231" s="14" t="s">
        <v>229</v>
      </c>
    </row>
    <row r="232" spans="1:18" s="14" customFormat="1" x14ac:dyDescent="0.25">
      <c r="A232" s="14" t="str">
        <f>"14007"</f>
        <v>14007</v>
      </c>
      <c r="B232" s="14" t="str">
        <f>"03050"</f>
        <v>03050</v>
      </c>
      <c r="C232" s="14" t="str">
        <f>"1400"</f>
        <v>1400</v>
      </c>
      <c r="D232" s="14" t="str">
        <f>""</f>
        <v/>
      </c>
      <c r="E232" s="14" t="s">
        <v>497</v>
      </c>
      <c r="F232" s="14" t="s">
        <v>225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228</v>
      </c>
      <c r="P232" s="14" t="s">
        <v>260</v>
      </c>
      <c r="Q232" s="14" t="s">
        <v>260</v>
      </c>
      <c r="R232" s="14" t="s">
        <v>229</v>
      </c>
    </row>
    <row r="233" spans="1:18" s="14" customFormat="1" x14ac:dyDescent="0.25">
      <c r="A233" s="14" t="str">
        <f>"14008"</f>
        <v>14008</v>
      </c>
      <c r="B233" s="14" t="str">
        <f>"03050"</f>
        <v>03050</v>
      </c>
      <c r="C233" s="14" t="str">
        <f>"1400"</f>
        <v>1400</v>
      </c>
      <c r="D233" s="14" t="str">
        <f>""</f>
        <v/>
      </c>
      <c r="E233" s="14" t="s">
        <v>498</v>
      </c>
      <c r="F233" s="14" t="s">
        <v>225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228</v>
      </c>
      <c r="P233" s="14" t="s">
        <v>260</v>
      </c>
      <c r="Q233" s="14" t="s">
        <v>260</v>
      </c>
      <c r="R233" s="14" t="s">
        <v>229</v>
      </c>
    </row>
    <row r="234" spans="1:18" s="14" customFormat="1" x14ac:dyDescent="0.25">
      <c r="A234" s="14" t="str">
        <f>"14009"</f>
        <v>14009</v>
      </c>
      <c r="B234" s="14" t="str">
        <f>"03050"</f>
        <v>03050</v>
      </c>
      <c r="C234" s="14" t="str">
        <f>"1400"</f>
        <v>1400</v>
      </c>
      <c r="D234" s="14" t="str">
        <f>""</f>
        <v/>
      </c>
      <c r="E234" s="14" t="s">
        <v>499</v>
      </c>
      <c r="F234" s="14" t="s">
        <v>225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228</v>
      </c>
      <c r="P234" s="14" t="s">
        <v>260</v>
      </c>
      <c r="Q234" s="14" t="s">
        <v>260</v>
      </c>
      <c r="R234" s="14" t="s">
        <v>229</v>
      </c>
    </row>
    <row r="235" spans="1:18" s="14" customFormat="1" x14ac:dyDescent="0.25">
      <c r="A235" s="14" t="str">
        <f>"14010"</f>
        <v>14010</v>
      </c>
      <c r="B235" s="14" t="str">
        <f>"03050"</f>
        <v>03050</v>
      </c>
      <c r="C235" s="14" t="str">
        <f>"1400"</f>
        <v>1400</v>
      </c>
      <c r="D235" s="14" t="str">
        <f>""</f>
        <v/>
      </c>
      <c r="E235" s="14" t="s">
        <v>500</v>
      </c>
      <c r="F235" s="14" t="s">
        <v>225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228</v>
      </c>
      <c r="P235" s="14" t="s">
        <v>260</v>
      </c>
      <c r="Q235" s="14" t="s">
        <v>260</v>
      </c>
      <c r="R235" s="14" t="s">
        <v>229</v>
      </c>
    </row>
    <row r="236" spans="1:18" s="14" customFormat="1" x14ac:dyDescent="0.25">
      <c r="A236" s="14" t="str">
        <f>"14011"</f>
        <v>14011</v>
      </c>
      <c r="B236" s="14" t="str">
        <f>"03050"</f>
        <v>03050</v>
      </c>
      <c r="C236" s="14" t="str">
        <f>"1400"</f>
        <v>1400</v>
      </c>
      <c r="D236" s="14" t="str">
        <f>""</f>
        <v/>
      </c>
      <c r="E236" s="14" t="s">
        <v>501</v>
      </c>
      <c r="F236" s="14" t="s">
        <v>225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228</v>
      </c>
      <c r="P236" s="14" t="s">
        <v>260</v>
      </c>
      <c r="Q236" s="14" t="s">
        <v>260</v>
      </c>
      <c r="R236" s="14" t="s">
        <v>229</v>
      </c>
    </row>
    <row r="237" spans="1:18" s="14" customFormat="1" x14ac:dyDescent="0.25">
      <c r="A237" s="14" t="str">
        <f>"14012"</f>
        <v>14012</v>
      </c>
      <c r="B237" s="14" t="str">
        <f>"03050"</f>
        <v>03050</v>
      </c>
      <c r="C237" s="14" t="str">
        <f>"1400"</f>
        <v>1400</v>
      </c>
      <c r="D237" s="14" t="str">
        <f>""</f>
        <v/>
      </c>
      <c r="E237" s="14" t="s">
        <v>502</v>
      </c>
      <c r="F237" s="14" t="s">
        <v>225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228</v>
      </c>
      <c r="P237" s="14" t="s">
        <v>260</v>
      </c>
      <c r="Q237" s="14" t="s">
        <v>260</v>
      </c>
      <c r="R237" s="14" t="s">
        <v>229</v>
      </c>
    </row>
    <row r="238" spans="1:18" s="14" customFormat="1" x14ac:dyDescent="0.25">
      <c r="A238" s="14" t="str">
        <f>"14013"</f>
        <v>14013</v>
      </c>
      <c r="B238" s="14" t="str">
        <f>"03050"</f>
        <v>03050</v>
      </c>
      <c r="C238" s="14" t="str">
        <f>"1400"</f>
        <v>1400</v>
      </c>
      <c r="D238" s="14" t="str">
        <f>""</f>
        <v/>
      </c>
      <c r="E238" s="14" t="s">
        <v>503</v>
      </c>
      <c r="F238" s="14" t="s">
        <v>225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228</v>
      </c>
      <c r="P238" s="14" t="s">
        <v>260</v>
      </c>
      <c r="Q238" s="14" t="s">
        <v>260</v>
      </c>
      <c r="R238" s="14" t="s">
        <v>229</v>
      </c>
    </row>
    <row r="239" spans="1:18" s="14" customFormat="1" x14ac:dyDescent="0.25">
      <c r="A239" s="14" t="str">
        <f>"14014"</f>
        <v>14014</v>
      </c>
      <c r="B239" s="14" t="str">
        <f>"03050"</f>
        <v>03050</v>
      </c>
      <c r="C239" s="14" t="str">
        <f>"1400"</f>
        <v>1400</v>
      </c>
      <c r="D239" s="14" t="str">
        <f>""</f>
        <v/>
      </c>
      <c r="E239" s="14" t="s">
        <v>504</v>
      </c>
      <c r="F239" s="14" t="s">
        <v>225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228</v>
      </c>
      <c r="P239" s="14" t="s">
        <v>260</v>
      </c>
      <c r="Q239" s="14" t="s">
        <v>260</v>
      </c>
      <c r="R239" s="14" t="s">
        <v>229</v>
      </c>
    </row>
    <row r="240" spans="1:18" s="14" customFormat="1" x14ac:dyDescent="0.25">
      <c r="A240" s="14" t="str">
        <f>"14015"</f>
        <v>14015</v>
      </c>
      <c r="B240" s="14" t="str">
        <f>"03050"</f>
        <v>03050</v>
      </c>
      <c r="C240" s="14" t="str">
        <f>"1400"</f>
        <v>1400</v>
      </c>
      <c r="D240" s="14" t="str">
        <f>""</f>
        <v/>
      </c>
      <c r="E240" s="14" t="s">
        <v>505</v>
      </c>
      <c r="F240" s="14" t="s">
        <v>225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228</v>
      </c>
      <c r="P240" s="14" t="s">
        <v>260</v>
      </c>
      <c r="Q240" s="14" t="s">
        <v>260</v>
      </c>
      <c r="R240" s="14" t="s">
        <v>229</v>
      </c>
    </row>
    <row r="241" spans="1:18" s="14" customFormat="1" x14ac:dyDescent="0.25">
      <c r="A241" s="14" t="str">
        <f>"14016"</f>
        <v>14016</v>
      </c>
      <c r="B241" s="14" t="str">
        <f>"03050"</f>
        <v>03050</v>
      </c>
      <c r="C241" s="14" t="str">
        <f>"1400"</f>
        <v>1400</v>
      </c>
      <c r="D241" s="14" t="str">
        <f>""</f>
        <v/>
      </c>
      <c r="E241" s="14" t="s">
        <v>506</v>
      </c>
      <c r="F241" s="14" t="s">
        <v>225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228</v>
      </c>
      <c r="P241" s="14" t="s">
        <v>260</v>
      </c>
      <c r="Q241" s="14" t="s">
        <v>260</v>
      </c>
      <c r="R241" s="14" t="s">
        <v>229</v>
      </c>
    </row>
    <row r="242" spans="1:18" s="14" customFormat="1" x14ac:dyDescent="0.25">
      <c r="A242" s="14" t="str">
        <f>"14017"</f>
        <v>14017</v>
      </c>
      <c r="B242" s="14" t="str">
        <f>"03050"</f>
        <v>03050</v>
      </c>
      <c r="C242" s="14" t="str">
        <f>"1400"</f>
        <v>1400</v>
      </c>
      <c r="D242" s="14" t="str">
        <f>""</f>
        <v/>
      </c>
      <c r="E242" s="14" t="s">
        <v>507</v>
      </c>
      <c r="F242" s="14" t="s">
        <v>225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228</v>
      </c>
      <c r="P242" s="14" t="s">
        <v>260</v>
      </c>
      <c r="Q242" s="14" t="s">
        <v>260</v>
      </c>
      <c r="R242" s="14" t="s">
        <v>229</v>
      </c>
    </row>
    <row r="243" spans="1:18" s="14" customFormat="1" x14ac:dyDescent="0.25">
      <c r="A243" s="14" t="str">
        <f>"15001"</f>
        <v>15001</v>
      </c>
      <c r="B243" s="14" t="str">
        <f>"03769"</f>
        <v>03769</v>
      </c>
      <c r="C243" s="14" t="str">
        <f>"1700"</f>
        <v>1700</v>
      </c>
      <c r="D243" s="14" t="str">
        <f>""</f>
        <v/>
      </c>
      <c r="E243" s="14" t="s">
        <v>508</v>
      </c>
      <c r="F243" s="14" t="s">
        <v>509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34</v>
      </c>
      <c r="P243" s="14" t="s">
        <v>260</v>
      </c>
      <c r="Q243" s="14" t="s">
        <v>25</v>
      </c>
      <c r="R243" s="14" t="s">
        <v>35</v>
      </c>
    </row>
    <row r="244" spans="1:18" s="14" customFormat="1" x14ac:dyDescent="0.25">
      <c r="A244" s="14" t="str">
        <f>"15001"</f>
        <v>15001</v>
      </c>
      <c r="B244" s="14" t="str">
        <f>"03954"</f>
        <v>03954</v>
      </c>
      <c r="C244" s="14" t="str">
        <f>"1400"</f>
        <v>1400</v>
      </c>
      <c r="D244" s="14" t="str">
        <f>""</f>
        <v/>
      </c>
      <c r="E244" s="14" t="s">
        <v>508</v>
      </c>
      <c r="F244" s="14" t="s">
        <v>510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318</v>
      </c>
      <c r="L244" s="14" t="s">
        <v>319</v>
      </c>
      <c r="P244" s="14" t="s">
        <v>260</v>
      </c>
      <c r="Q244" s="14" t="s">
        <v>25</v>
      </c>
      <c r="R244" s="14" t="s">
        <v>318</v>
      </c>
    </row>
    <row r="245" spans="1:18" s="14" customFormat="1" x14ac:dyDescent="0.25">
      <c r="A245" s="14" t="str">
        <f>"15001"</f>
        <v>15001</v>
      </c>
      <c r="B245" s="14" t="str">
        <f>"03954"</f>
        <v>03954</v>
      </c>
      <c r="C245" s="14" t="str">
        <f>"1800"</f>
        <v>1800</v>
      </c>
      <c r="D245" s="14" t="str">
        <f>""</f>
        <v/>
      </c>
      <c r="E245" s="14" t="s">
        <v>508</v>
      </c>
      <c r="F245" s="14" t="s">
        <v>510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318</v>
      </c>
      <c r="L245" s="14" t="s">
        <v>319</v>
      </c>
      <c r="P245" s="14" t="s">
        <v>260</v>
      </c>
      <c r="Q245" s="14" t="s">
        <v>25</v>
      </c>
      <c r="R245" s="14" t="s">
        <v>318</v>
      </c>
    </row>
    <row r="246" spans="1:18" s="14" customFormat="1" x14ac:dyDescent="0.25">
      <c r="A246" s="14" t="str">
        <f>"15002"</f>
        <v>15002</v>
      </c>
      <c r="B246" s="14" t="str">
        <f>"03769"</f>
        <v>03769</v>
      </c>
      <c r="C246" s="14" t="str">
        <f>"1400"</f>
        <v>1400</v>
      </c>
      <c r="D246" s="14" t="str">
        <f>""</f>
        <v/>
      </c>
      <c r="E246" s="14" t="s">
        <v>511</v>
      </c>
      <c r="F246" s="14" t="s">
        <v>509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34</v>
      </c>
      <c r="P246" s="14" t="s">
        <v>260</v>
      </c>
      <c r="Q246" s="14" t="s">
        <v>25</v>
      </c>
      <c r="R246" s="14" t="s">
        <v>35</v>
      </c>
    </row>
    <row r="247" spans="1:18" s="14" customFormat="1" x14ac:dyDescent="0.25">
      <c r="A247" s="14" t="str">
        <f>"15002"</f>
        <v>15002</v>
      </c>
      <c r="B247" s="14" t="str">
        <f>"03942"</f>
        <v>03942</v>
      </c>
      <c r="C247" s="14" t="str">
        <f>"1400"</f>
        <v>1400</v>
      </c>
      <c r="D247" s="14" t="str">
        <f>""</f>
        <v/>
      </c>
      <c r="E247" s="14" t="s">
        <v>511</v>
      </c>
      <c r="F247" s="14" t="s">
        <v>512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318</v>
      </c>
      <c r="L247" s="14" t="s">
        <v>319</v>
      </c>
      <c r="P247" s="14" t="s">
        <v>260</v>
      </c>
      <c r="Q247" s="14" t="s">
        <v>25</v>
      </c>
      <c r="R247" s="14" t="s">
        <v>318</v>
      </c>
    </row>
    <row r="248" spans="1:18" s="14" customFormat="1" x14ac:dyDescent="0.25">
      <c r="A248" s="14" t="str">
        <f>"15002"</f>
        <v>15002</v>
      </c>
      <c r="B248" s="14" t="str">
        <f>"03942"</f>
        <v>03942</v>
      </c>
      <c r="C248" s="14" t="str">
        <f>"1800"</f>
        <v>1800</v>
      </c>
      <c r="D248" s="14" t="str">
        <f>""</f>
        <v/>
      </c>
      <c r="E248" s="14" t="s">
        <v>511</v>
      </c>
      <c r="F248" s="14" t="s">
        <v>512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318</v>
      </c>
      <c r="L248" s="14" t="s">
        <v>319</v>
      </c>
      <c r="P248" s="14" t="s">
        <v>260</v>
      </c>
      <c r="Q248" s="14" t="s">
        <v>25</v>
      </c>
      <c r="R248" s="14" t="s">
        <v>318</v>
      </c>
    </row>
    <row r="249" spans="1:18" s="14" customFormat="1" x14ac:dyDescent="0.25">
      <c r="A249" s="14" t="str">
        <f>"15003"</f>
        <v>15003</v>
      </c>
      <c r="B249" s="14" t="str">
        <f>"03769"</f>
        <v>03769</v>
      </c>
      <c r="C249" s="14" t="str">
        <f>"1700"</f>
        <v>1700</v>
      </c>
      <c r="D249" s="14" t="str">
        <f>""</f>
        <v/>
      </c>
      <c r="E249" s="14" t="s">
        <v>513</v>
      </c>
      <c r="F249" s="14" t="s">
        <v>509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34</v>
      </c>
      <c r="P249" s="14" t="s">
        <v>260</v>
      </c>
      <c r="Q249" s="14" t="s">
        <v>25</v>
      </c>
      <c r="R249" s="14" t="s">
        <v>35</v>
      </c>
    </row>
    <row r="250" spans="1:18" s="14" customFormat="1" x14ac:dyDescent="0.25">
      <c r="A250" s="14" t="str">
        <f>"15003"</f>
        <v>15003</v>
      </c>
      <c r="B250" s="14" t="str">
        <f>"03930"</f>
        <v>03930</v>
      </c>
      <c r="C250" s="14" t="str">
        <f>"1400"</f>
        <v>1400</v>
      </c>
      <c r="D250" s="14" t="str">
        <f>""</f>
        <v/>
      </c>
      <c r="E250" s="14" t="s">
        <v>513</v>
      </c>
      <c r="F250" s="14" t="s">
        <v>514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318</v>
      </c>
      <c r="L250" s="14" t="s">
        <v>319</v>
      </c>
      <c r="P250" s="14" t="s">
        <v>260</v>
      </c>
      <c r="Q250" s="14" t="s">
        <v>25</v>
      </c>
      <c r="R250" s="14" t="s">
        <v>318</v>
      </c>
    </row>
    <row r="251" spans="1:18" s="14" customFormat="1" x14ac:dyDescent="0.25">
      <c r="A251" s="14" t="str">
        <f>"15003"</f>
        <v>15003</v>
      </c>
      <c r="B251" s="14" t="str">
        <f>"03930"</f>
        <v>03930</v>
      </c>
      <c r="C251" s="14" t="str">
        <f>"1800"</f>
        <v>1800</v>
      </c>
      <c r="D251" s="14" t="str">
        <f>""</f>
        <v/>
      </c>
      <c r="E251" s="14" t="s">
        <v>513</v>
      </c>
      <c r="F251" s="14" t="s">
        <v>514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318</v>
      </c>
      <c r="L251" s="14" t="s">
        <v>319</v>
      </c>
      <c r="P251" s="14" t="s">
        <v>260</v>
      </c>
      <c r="Q251" s="14" t="s">
        <v>25</v>
      </c>
      <c r="R251" s="14" t="s">
        <v>318</v>
      </c>
    </row>
    <row r="252" spans="1:18" s="14" customFormat="1" x14ac:dyDescent="0.25">
      <c r="A252" s="14" t="str">
        <f>"15004"</f>
        <v>15004</v>
      </c>
      <c r="B252" s="14" t="str">
        <f>"03769"</f>
        <v>03769</v>
      </c>
      <c r="C252" s="14" t="str">
        <f>"1700"</f>
        <v>1700</v>
      </c>
      <c r="D252" s="14" t="str">
        <f>""</f>
        <v/>
      </c>
      <c r="E252" s="14" t="s">
        <v>515</v>
      </c>
      <c r="F252" s="14" t="s">
        <v>509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37</v>
      </c>
      <c r="L252" s="14" t="s">
        <v>38</v>
      </c>
      <c r="P252" s="14" t="s">
        <v>260</v>
      </c>
      <c r="Q252" s="14" t="s">
        <v>25</v>
      </c>
      <c r="R252" s="14" t="s">
        <v>38</v>
      </c>
    </row>
    <row r="253" spans="1:18" s="14" customFormat="1" x14ac:dyDescent="0.25">
      <c r="A253" s="14" t="str">
        <f>"15004"</f>
        <v>15004</v>
      </c>
      <c r="B253" s="14" t="str">
        <f>"03931"</f>
        <v>03931</v>
      </c>
      <c r="C253" s="14" t="str">
        <f>"1400"</f>
        <v>1400</v>
      </c>
      <c r="D253" s="14" t="str">
        <f>""</f>
        <v/>
      </c>
      <c r="E253" s="14" t="s">
        <v>515</v>
      </c>
      <c r="F253" s="14" t="s">
        <v>516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318</v>
      </c>
      <c r="L253" s="14" t="s">
        <v>319</v>
      </c>
      <c r="P253" s="14" t="s">
        <v>260</v>
      </c>
      <c r="Q253" s="14" t="s">
        <v>25</v>
      </c>
      <c r="R253" s="14" t="s">
        <v>318</v>
      </c>
    </row>
    <row r="254" spans="1:18" s="14" customFormat="1" x14ac:dyDescent="0.25">
      <c r="A254" s="14" t="str">
        <f>"15005"</f>
        <v>15005</v>
      </c>
      <c r="B254" s="14" t="str">
        <f>"03769"</f>
        <v>03769</v>
      </c>
      <c r="C254" s="14" t="str">
        <f>"1300"</f>
        <v>1300</v>
      </c>
      <c r="D254" s="14" t="str">
        <f>""</f>
        <v/>
      </c>
      <c r="E254" s="14" t="s">
        <v>517</v>
      </c>
      <c r="F254" s="14" t="s">
        <v>509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34</v>
      </c>
      <c r="P254" s="14" t="s">
        <v>260</v>
      </c>
      <c r="Q254" s="14" t="s">
        <v>25</v>
      </c>
      <c r="R254" s="14" t="s">
        <v>35</v>
      </c>
    </row>
    <row r="255" spans="1:18" s="14" customFormat="1" x14ac:dyDescent="0.25">
      <c r="A255" s="14" t="str">
        <f>"15005"</f>
        <v>15005</v>
      </c>
      <c r="B255" s="14" t="str">
        <f>"03926"</f>
        <v>03926</v>
      </c>
      <c r="C255" s="14" t="str">
        <f>"1400"</f>
        <v>1400</v>
      </c>
      <c r="D255" s="14" t="str">
        <f>""</f>
        <v/>
      </c>
      <c r="E255" s="14" t="s">
        <v>517</v>
      </c>
      <c r="F255" s="14" t="s">
        <v>518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318</v>
      </c>
      <c r="L255" s="14" t="s">
        <v>319</v>
      </c>
      <c r="P255" s="14" t="s">
        <v>260</v>
      </c>
      <c r="Q255" s="14" t="s">
        <v>25</v>
      </c>
      <c r="R255" s="14" t="s">
        <v>318</v>
      </c>
    </row>
    <row r="256" spans="1:18" s="14" customFormat="1" x14ac:dyDescent="0.25">
      <c r="A256" s="14" t="str">
        <f>"15005"</f>
        <v>15005</v>
      </c>
      <c r="B256" s="14" t="str">
        <f>"03926"</f>
        <v>03926</v>
      </c>
      <c r="C256" s="14" t="str">
        <f>"1800"</f>
        <v>1800</v>
      </c>
      <c r="D256" s="14" t="str">
        <f>""</f>
        <v/>
      </c>
      <c r="E256" s="14" t="s">
        <v>517</v>
      </c>
      <c r="F256" s="14" t="s">
        <v>518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318</v>
      </c>
      <c r="L256" s="14" t="s">
        <v>319</v>
      </c>
      <c r="P256" s="14" t="s">
        <v>260</v>
      </c>
      <c r="Q256" s="14" t="s">
        <v>25</v>
      </c>
      <c r="R256" s="14" t="s">
        <v>318</v>
      </c>
    </row>
    <row r="257" spans="1:18" s="14" customFormat="1" x14ac:dyDescent="0.25">
      <c r="A257" s="14" t="str">
        <f>"15009"</f>
        <v>15009</v>
      </c>
      <c r="B257" s="14" t="str">
        <f>"03769"</f>
        <v>03769</v>
      </c>
      <c r="C257" s="14" t="str">
        <f>"1700"</f>
        <v>1700</v>
      </c>
      <c r="D257" s="14" t="str">
        <f>""</f>
        <v/>
      </c>
      <c r="E257" s="14" t="s">
        <v>519</v>
      </c>
      <c r="F257" s="14" t="s">
        <v>509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34</v>
      </c>
      <c r="L257" s="14" t="s">
        <v>25</v>
      </c>
      <c r="M257" s="14" t="s">
        <v>414</v>
      </c>
      <c r="P257" s="14" t="s">
        <v>260</v>
      </c>
      <c r="Q257" s="14" t="s">
        <v>25</v>
      </c>
      <c r="R257" s="14" t="s">
        <v>35</v>
      </c>
    </row>
    <row r="258" spans="1:18" s="14" customFormat="1" x14ac:dyDescent="0.25">
      <c r="A258" s="14" t="str">
        <f>"18601"</f>
        <v>18601</v>
      </c>
      <c r="B258" s="14" t="str">
        <f>"03100"</f>
        <v>03100</v>
      </c>
      <c r="C258" s="14" t="str">
        <f>"1800"</f>
        <v>1800</v>
      </c>
      <c r="D258" s="14" t="str">
        <f>""</f>
        <v/>
      </c>
      <c r="E258" s="14" t="s">
        <v>735</v>
      </c>
      <c r="F258" s="14" t="s">
        <v>736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226</v>
      </c>
      <c r="L258" s="14" t="s">
        <v>228</v>
      </c>
      <c r="P258" s="14" t="s">
        <v>260</v>
      </c>
      <c r="Q258" s="14" t="s">
        <v>25</v>
      </c>
      <c r="R258" s="14" t="s">
        <v>229</v>
      </c>
    </row>
    <row r="259" spans="1:18" s="14" customFormat="1" x14ac:dyDescent="0.25">
      <c r="A259" s="14" t="str">
        <f>"18605"</f>
        <v>18605</v>
      </c>
      <c r="B259" s="14" t="str">
        <f>"05160"</f>
        <v>05160</v>
      </c>
      <c r="C259" s="14" t="str">
        <f>"1800"</f>
        <v>1800</v>
      </c>
      <c r="D259" s="14" t="str">
        <f>""</f>
        <v/>
      </c>
      <c r="E259" s="14" t="s">
        <v>739</v>
      </c>
      <c r="F259" s="14" t="s">
        <v>406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318</v>
      </c>
      <c r="L259" s="14" t="s">
        <v>319</v>
      </c>
      <c r="M259" s="14" t="s">
        <v>90</v>
      </c>
      <c r="P259" s="14" t="s">
        <v>260</v>
      </c>
      <c r="Q259" s="14" t="s">
        <v>25</v>
      </c>
      <c r="R259" s="14" t="s">
        <v>318</v>
      </c>
    </row>
    <row r="260" spans="1:18" s="14" customFormat="1" x14ac:dyDescent="0.25">
      <c r="A260" s="14" t="str">
        <f>"18606"</f>
        <v>18606</v>
      </c>
      <c r="B260" s="14" t="str">
        <f>"05160"</f>
        <v>05160</v>
      </c>
      <c r="C260" s="14" t="str">
        <f>"1800"</f>
        <v>1800</v>
      </c>
      <c r="D260" s="14" t="str">
        <f>""</f>
        <v/>
      </c>
      <c r="E260" s="14" t="s">
        <v>740</v>
      </c>
      <c r="F260" s="14" t="s">
        <v>406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318</v>
      </c>
      <c r="L260" s="14" t="s">
        <v>319</v>
      </c>
      <c r="M260" s="14" t="s">
        <v>90</v>
      </c>
      <c r="P260" s="14" t="s">
        <v>260</v>
      </c>
      <c r="Q260" s="14" t="s">
        <v>25</v>
      </c>
      <c r="R260" s="14" t="s">
        <v>318</v>
      </c>
    </row>
    <row r="261" spans="1:18" s="14" customFormat="1" x14ac:dyDescent="0.25">
      <c r="A261" s="14" t="str">
        <f>"18611"</f>
        <v>18611</v>
      </c>
      <c r="B261" s="14" t="str">
        <f>"03050"</f>
        <v>03050</v>
      </c>
      <c r="C261" s="14" t="str">
        <f>"1800"</f>
        <v>1800</v>
      </c>
      <c r="D261" s="14" t="str">
        <f>""</f>
        <v/>
      </c>
      <c r="E261" s="14" t="s">
        <v>744</v>
      </c>
      <c r="F261" s="14" t="s">
        <v>225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228</v>
      </c>
      <c r="P261" s="14" t="s">
        <v>260</v>
      </c>
      <c r="Q261" s="14" t="s">
        <v>25</v>
      </c>
      <c r="R261" s="14" t="s">
        <v>229</v>
      </c>
    </row>
    <row r="262" spans="1:18" s="14" customFormat="1" x14ac:dyDescent="0.25">
      <c r="A262" s="14" t="str">
        <f>"18612"</f>
        <v>18612</v>
      </c>
      <c r="B262" s="14" t="str">
        <f>"05160"</f>
        <v>05160</v>
      </c>
      <c r="C262" s="14" t="str">
        <f>"1800"</f>
        <v>1800</v>
      </c>
      <c r="D262" s="14" t="str">
        <f>""</f>
        <v/>
      </c>
      <c r="E262" s="14" t="s">
        <v>745</v>
      </c>
      <c r="F262" s="14" t="s">
        <v>406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318</v>
      </c>
      <c r="L262" s="14" t="s">
        <v>319</v>
      </c>
      <c r="M262" s="14" t="s">
        <v>90</v>
      </c>
      <c r="P262" s="14" t="s">
        <v>260</v>
      </c>
      <c r="Q262" s="14" t="s">
        <v>25</v>
      </c>
      <c r="R262" s="14" t="s">
        <v>318</v>
      </c>
    </row>
    <row r="263" spans="1:18" s="14" customFormat="1" x14ac:dyDescent="0.25">
      <c r="A263" s="14" t="str">
        <f>"20001"</f>
        <v>20001</v>
      </c>
      <c r="B263" s="14" t="str">
        <f>"05160"</f>
        <v>05160</v>
      </c>
      <c r="C263" s="14" t="str">
        <f>"1800"</f>
        <v>1800</v>
      </c>
      <c r="D263" s="14" t="str">
        <f>""</f>
        <v/>
      </c>
      <c r="E263" s="14" t="s">
        <v>837</v>
      </c>
      <c r="F263" s="14" t="s">
        <v>406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318</v>
      </c>
      <c r="L263" s="14" t="s">
        <v>319</v>
      </c>
      <c r="M263" s="14" t="s">
        <v>90</v>
      </c>
      <c r="P263" s="14" t="s">
        <v>260</v>
      </c>
      <c r="Q263" s="14" t="s">
        <v>25</v>
      </c>
      <c r="R263" s="14" t="s">
        <v>318</v>
      </c>
    </row>
    <row r="264" spans="1:18" s="14" customFormat="1" x14ac:dyDescent="0.25">
      <c r="A264" s="14" t="str">
        <f>"20123"</f>
        <v>20123</v>
      </c>
      <c r="B264" s="14" t="str">
        <f>"05160"</f>
        <v>05160</v>
      </c>
      <c r="C264" s="14" t="str">
        <f>"1800"</f>
        <v>1800</v>
      </c>
      <c r="D264" s="14" t="str">
        <f>""</f>
        <v/>
      </c>
      <c r="E264" s="14" t="s">
        <v>838</v>
      </c>
      <c r="F264" s="14" t="s">
        <v>406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318</v>
      </c>
      <c r="L264" s="14" t="s">
        <v>319</v>
      </c>
      <c r="M264" s="14" t="s">
        <v>90</v>
      </c>
      <c r="P264" s="14" t="s">
        <v>260</v>
      </c>
      <c r="Q264" s="14" t="s">
        <v>25</v>
      </c>
      <c r="R264" s="14" t="s">
        <v>318</v>
      </c>
    </row>
    <row r="265" spans="1:18" s="14" customFormat="1" x14ac:dyDescent="0.25">
      <c r="A265" s="14" t="str">
        <f>"20124"</f>
        <v>20124</v>
      </c>
      <c r="B265" s="14" t="str">
        <f>"05160"</f>
        <v>05160</v>
      </c>
      <c r="C265" s="14" t="str">
        <f>"1800"</f>
        <v>1800</v>
      </c>
      <c r="D265" s="14" t="str">
        <f>""</f>
        <v/>
      </c>
      <c r="E265" s="14" t="s">
        <v>839</v>
      </c>
      <c r="F265" s="14" t="s">
        <v>406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318</v>
      </c>
      <c r="L265" s="14" t="s">
        <v>319</v>
      </c>
      <c r="M265" s="14" t="s">
        <v>90</v>
      </c>
      <c r="P265" s="14" t="s">
        <v>260</v>
      </c>
      <c r="Q265" s="14" t="s">
        <v>25</v>
      </c>
      <c r="R265" s="14" t="s">
        <v>318</v>
      </c>
    </row>
    <row r="266" spans="1:18" s="14" customFormat="1" x14ac:dyDescent="0.25">
      <c r="A266" s="14" t="str">
        <f>"20201"</f>
        <v>20201</v>
      </c>
      <c r="B266" s="14" t="str">
        <f>"05160"</f>
        <v>05160</v>
      </c>
      <c r="C266" s="14" t="str">
        <f>"1800"</f>
        <v>1800</v>
      </c>
      <c r="D266" s="14" t="str">
        <f>""</f>
        <v/>
      </c>
      <c r="E266" s="14" t="s">
        <v>840</v>
      </c>
      <c r="F266" s="14" t="s">
        <v>406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318</v>
      </c>
      <c r="L266" s="14" t="s">
        <v>319</v>
      </c>
      <c r="M266" s="14" t="s">
        <v>90</v>
      </c>
      <c r="P266" s="14" t="s">
        <v>260</v>
      </c>
      <c r="Q266" s="14" t="s">
        <v>25</v>
      </c>
      <c r="R266" s="14" t="s">
        <v>318</v>
      </c>
    </row>
    <row r="267" spans="1:18" s="14" customFormat="1" x14ac:dyDescent="0.25">
      <c r="A267" s="14" t="str">
        <f>"20301"</f>
        <v>20301</v>
      </c>
      <c r="B267" s="14" t="str">
        <f>"05160"</f>
        <v>05160</v>
      </c>
      <c r="C267" s="14" t="str">
        <f>"1400"</f>
        <v>1400</v>
      </c>
      <c r="D267" s="14" t="str">
        <f>""</f>
        <v/>
      </c>
      <c r="E267" s="14" t="s">
        <v>841</v>
      </c>
      <c r="F267" s="14" t="s">
        <v>406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318</v>
      </c>
      <c r="L267" s="14" t="s">
        <v>319</v>
      </c>
      <c r="M267" s="14" t="s">
        <v>90</v>
      </c>
      <c r="P267" s="14" t="s">
        <v>260</v>
      </c>
      <c r="Q267" s="14" t="s">
        <v>25</v>
      </c>
      <c r="R267" s="14" t="s">
        <v>318</v>
      </c>
    </row>
    <row r="268" spans="1:18" s="14" customFormat="1" x14ac:dyDescent="0.25">
      <c r="A268" s="14" t="str">
        <f>"20302"</f>
        <v>20302</v>
      </c>
      <c r="B268" s="14" t="str">
        <f>"05140"</f>
        <v>05140</v>
      </c>
      <c r="C268" s="14" t="str">
        <f>"1700"</f>
        <v>1700</v>
      </c>
      <c r="D268" s="14" t="str">
        <f>"20302"</f>
        <v>20302</v>
      </c>
      <c r="E268" s="14" t="s">
        <v>842</v>
      </c>
      <c r="F268" s="14" t="s">
        <v>400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37</v>
      </c>
      <c r="L268" s="14" t="s">
        <v>34</v>
      </c>
      <c r="P268" s="14" t="s">
        <v>260</v>
      </c>
      <c r="Q268" s="14" t="s">
        <v>25</v>
      </c>
      <c r="R268" s="14" t="s">
        <v>401</v>
      </c>
    </row>
    <row r="269" spans="1:18" s="14" customFormat="1" x14ac:dyDescent="0.25">
      <c r="A269" s="14" t="str">
        <f>"20303"</f>
        <v>20303</v>
      </c>
      <c r="B269" s="14" t="str">
        <f>"05160"</f>
        <v>05160</v>
      </c>
      <c r="C269" s="14" t="str">
        <f>"1600"</f>
        <v>1600</v>
      </c>
      <c r="D269" s="14" t="str">
        <f>""</f>
        <v/>
      </c>
      <c r="E269" s="14" t="s">
        <v>843</v>
      </c>
      <c r="F269" s="14" t="s">
        <v>406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318</v>
      </c>
      <c r="L269" s="14" t="s">
        <v>319</v>
      </c>
      <c r="M269" s="14" t="s">
        <v>90</v>
      </c>
      <c r="P269" s="14" t="s">
        <v>260</v>
      </c>
      <c r="Q269" s="14" t="s">
        <v>25</v>
      </c>
      <c r="R269" s="14" t="s">
        <v>318</v>
      </c>
    </row>
    <row r="270" spans="1:18" s="14" customFormat="1" x14ac:dyDescent="0.25">
      <c r="A270" s="14" t="str">
        <f>"20304"</f>
        <v>20304</v>
      </c>
      <c r="B270" s="14" t="str">
        <f>"05160"</f>
        <v>05160</v>
      </c>
      <c r="C270" s="14" t="str">
        <f>"1600"</f>
        <v>1600</v>
      </c>
      <c r="D270" s="14" t="str">
        <f>""</f>
        <v/>
      </c>
      <c r="E270" s="14" t="s">
        <v>844</v>
      </c>
      <c r="F270" s="14" t="s">
        <v>406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318</v>
      </c>
      <c r="L270" s="14" t="s">
        <v>319</v>
      </c>
      <c r="M270" s="14" t="s">
        <v>90</v>
      </c>
      <c r="P270" s="14" t="s">
        <v>260</v>
      </c>
      <c r="Q270" s="14" t="s">
        <v>25</v>
      </c>
      <c r="R270" s="14" t="s">
        <v>318</v>
      </c>
    </row>
    <row r="271" spans="1:18" s="14" customFormat="1" x14ac:dyDescent="0.25">
      <c r="A271" s="14" t="str">
        <f>"20305"</f>
        <v>20305</v>
      </c>
      <c r="B271" s="14" t="str">
        <f>"05160"</f>
        <v>05160</v>
      </c>
      <c r="C271" s="14" t="str">
        <f>"1930"</f>
        <v>1930</v>
      </c>
      <c r="D271" s="14" t="str">
        <f>""</f>
        <v/>
      </c>
      <c r="E271" s="14" t="s">
        <v>845</v>
      </c>
      <c r="F271" s="14" t="s">
        <v>406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318</v>
      </c>
      <c r="L271" s="14" t="s">
        <v>319</v>
      </c>
      <c r="M271" s="14" t="s">
        <v>90</v>
      </c>
      <c r="P271" s="14" t="s">
        <v>260</v>
      </c>
      <c r="Q271" s="14" t="s">
        <v>25</v>
      </c>
      <c r="R271" s="14" t="s">
        <v>318</v>
      </c>
    </row>
    <row r="272" spans="1:18" s="14" customFormat="1" x14ac:dyDescent="0.25">
      <c r="A272" s="14" t="str">
        <f>"20308"</f>
        <v>20308</v>
      </c>
      <c r="B272" s="14" t="str">
        <f>"05160"</f>
        <v>05160</v>
      </c>
      <c r="C272" s="14" t="str">
        <f>"1600"</f>
        <v>1600</v>
      </c>
      <c r="D272" s="14" t="str">
        <f>""</f>
        <v/>
      </c>
      <c r="E272" s="14" t="s">
        <v>846</v>
      </c>
      <c r="F272" s="14" t="s">
        <v>406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318</v>
      </c>
      <c r="L272" s="14" t="s">
        <v>319</v>
      </c>
      <c r="M272" s="14" t="s">
        <v>90</v>
      </c>
      <c r="P272" s="14" t="s">
        <v>260</v>
      </c>
      <c r="Q272" s="14" t="s">
        <v>25</v>
      </c>
      <c r="R272" s="14" t="s">
        <v>318</v>
      </c>
    </row>
    <row r="273" spans="1:18" s="14" customFormat="1" x14ac:dyDescent="0.25">
      <c r="A273" s="14" t="str">
        <f>"23001"</f>
        <v>23001</v>
      </c>
      <c r="B273" s="14" t="str">
        <f>"05160"</f>
        <v>05160</v>
      </c>
      <c r="C273" s="14" t="str">
        <f>"1800"</f>
        <v>1800</v>
      </c>
      <c r="D273" s="14" t="str">
        <f>""</f>
        <v/>
      </c>
      <c r="E273" s="14" t="s">
        <v>878</v>
      </c>
      <c r="F273" s="14" t="s">
        <v>406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318</v>
      </c>
      <c r="L273" s="14" t="s">
        <v>319</v>
      </c>
      <c r="M273" s="14" t="s">
        <v>90</v>
      </c>
      <c r="P273" s="14" t="s">
        <v>260</v>
      </c>
      <c r="Q273" s="14" t="s">
        <v>25</v>
      </c>
      <c r="R273" s="14" t="s">
        <v>318</v>
      </c>
    </row>
    <row r="274" spans="1:18" s="14" customFormat="1" x14ac:dyDescent="0.25">
      <c r="A274" s="14" t="str">
        <f>"23006"</f>
        <v>23006</v>
      </c>
      <c r="B274" s="14" t="str">
        <f>"05160"</f>
        <v>05160</v>
      </c>
      <c r="C274" s="14" t="str">
        <f>"1800"</f>
        <v>1800</v>
      </c>
      <c r="D274" s="14" t="str">
        <f>""</f>
        <v/>
      </c>
      <c r="E274" s="14" t="s">
        <v>879</v>
      </c>
      <c r="F274" s="14" t="s">
        <v>406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318</v>
      </c>
      <c r="L274" s="14" t="s">
        <v>319</v>
      </c>
      <c r="M274" s="14" t="s">
        <v>90</v>
      </c>
      <c r="P274" s="14" t="s">
        <v>260</v>
      </c>
      <c r="Q274" s="14" t="s">
        <v>25</v>
      </c>
      <c r="R274" s="14" t="s">
        <v>318</v>
      </c>
    </row>
    <row r="275" spans="1:18" s="14" customFormat="1" x14ac:dyDescent="0.25">
      <c r="A275" s="14" t="str">
        <f>"23007"</f>
        <v>23007</v>
      </c>
      <c r="B275" s="14" t="str">
        <f>"05160"</f>
        <v>05160</v>
      </c>
      <c r="C275" s="14" t="str">
        <f>"1800"</f>
        <v>1800</v>
      </c>
      <c r="D275" s="14" t="str">
        <f>""</f>
        <v/>
      </c>
      <c r="E275" s="14" t="s">
        <v>880</v>
      </c>
      <c r="F275" s="14" t="s">
        <v>406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318</v>
      </c>
      <c r="L275" s="14" t="s">
        <v>319</v>
      </c>
      <c r="M275" s="14" t="s">
        <v>90</v>
      </c>
      <c r="P275" s="14" t="s">
        <v>260</v>
      </c>
      <c r="Q275" s="14" t="s">
        <v>25</v>
      </c>
      <c r="R275" s="14" t="s">
        <v>318</v>
      </c>
    </row>
    <row r="276" spans="1:18" s="14" customFormat="1" x14ac:dyDescent="0.25">
      <c r="A276" s="14" t="str">
        <f>"23008"</f>
        <v>23008</v>
      </c>
      <c r="B276" s="14" t="str">
        <f>"05160"</f>
        <v>05160</v>
      </c>
      <c r="C276" s="14" t="str">
        <f>"1800"</f>
        <v>1800</v>
      </c>
      <c r="D276" s="14" t="str">
        <f>""</f>
        <v/>
      </c>
      <c r="E276" s="14" t="s">
        <v>881</v>
      </c>
      <c r="F276" s="14" t="s">
        <v>406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318</v>
      </c>
      <c r="L276" s="14" t="s">
        <v>319</v>
      </c>
      <c r="M276" s="14" t="s">
        <v>90</v>
      </c>
      <c r="P276" s="14" t="s">
        <v>260</v>
      </c>
      <c r="Q276" s="14" t="s">
        <v>25</v>
      </c>
      <c r="R276" s="14" t="s">
        <v>318</v>
      </c>
    </row>
    <row r="277" spans="1:18" s="14" customFormat="1" x14ac:dyDescent="0.25">
      <c r="A277" s="14" t="str">
        <f>"23012"</f>
        <v>23012</v>
      </c>
      <c r="B277" s="14" t="str">
        <f>"05160"</f>
        <v>05160</v>
      </c>
      <c r="C277" s="14" t="str">
        <f>"1800"</f>
        <v>1800</v>
      </c>
      <c r="D277" s="14" t="str">
        <f>""</f>
        <v/>
      </c>
      <c r="E277" s="14" t="s">
        <v>882</v>
      </c>
      <c r="F277" s="14" t="s">
        <v>406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318</v>
      </c>
      <c r="L277" s="14" t="s">
        <v>319</v>
      </c>
      <c r="M277" s="14" t="s">
        <v>90</v>
      </c>
      <c r="P277" s="14" t="s">
        <v>260</v>
      </c>
      <c r="Q277" s="14" t="s">
        <v>25</v>
      </c>
      <c r="R277" s="14" t="s">
        <v>318</v>
      </c>
    </row>
    <row r="278" spans="1:18" s="14" customFormat="1" x14ac:dyDescent="0.25">
      <c r="A278" s="14" t="str">
        <f>"23017"</f>
        <v>23017</v>
      </c>
      <c r="B278" s="14" t="str">
        <f>"05160"</f>
        <v>05160</v>
      </c>
      <c r="C278" s="14" t="str">
        <f>"1800"</f>
        <v>1800</v>
      </c>
      <c r="D278" s="14" t="str">
        <f>""</f>
        <v/>
      </c>
      <c r="E278" s="14" t="s">
        <v>883</v>
      </c>
      <c r="F278" s="14" t="s">
        <v>406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318</v>
      </c>
      <c r="L278" s="14" t="s">
        <v>319</v>
      </c>
      <c r="M278" s="14" t="s">
        <v>90</v>
      </c>
      <c r="P278" s="14" t="s">
        <v>260</v>
      </c>
      <c r="Q278" s="14" t="s">
        <v>25</v>
      </c>
      <c r="R278" s="14" t="s">
        <v>318</v>
      </c>
    </row>
    <row r="279" spans="1:18" s="14" customFormat="1" x14ac:dyDescent="0.25">
      <c r="A279" s="14" t="str">
        <f>"23021"</f>
        <v>23021</v>
      </c>
      <c r="B279" s="14" t="str">
        <f>"05160"</f>
        <v>05160</v>
      </c>
      <c r="C279" s="14" t="str">
        <f>"1800"</f>
        <v>1800</v>
      </c>
      <c r="D279" s="14" t="str">
        <f>""</f>
        <v/>
      </c>
      <c r="E279" s="14" t="s">
        <v>884</v>
      </c>
      <c r="F279" s="14" t="s">
        <v>406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318</v>
      </c>
      <c r="L279" s="14" t="s">
        <v>319</v>
      </c>
      <c r="M279" s="14" t="s">
        <v>90</v>
      </c>
      <c r="P279" s="14" t="s">
        <v>260</v>
      </c>
      <c r="Q279" s="14" t="s">
        <v>25</v>
      </c>
      <c r="R279" s="14" t="s">
        <v>318</v>
      </c>
    </row>
    <row r="280" spans="1:18" s="14" customFormat="1" x14ac:dyDescent="0.25">
      <c r="A280" s="14" t="str">
        <f>"23022"</f>
        <v>23022</v>
      </c>
      <c r="B280" s="14" t="str">
        <f>"05160"</f>
        <v>05160</v>
      </c>
      <c r="C280" s="14" t="str">
        <f>"1800"</f>
        <v>1800</v>
      </c>
      <c r="D280" s="14" t="str">
        <f>""</f>
        <v/>
      </c>
      <c r="E280" s="14" t="s">
        <v>885</v>
      </c>
      <c r="F280" s="14" t="s">
        <v>406</v>
      </c>
      <c r="G280" s="14" t="str">
        <f>""</f>
        <v/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318</v>
      </c>
      <c r="L280" s="14" t="s">
        <v>319</v>
      </c>
      <c r="M280" s="14" t="s">
        <v>90</v>
      </c>
      <c r="P280" s="14" t="s">
        <v>260</v>
      </c>
      <c r="Q280" s="14" t="s">
        <v>25</v>
      </c>
      <c r="R280" s="14" t="s">
        <v>318</v>
      </c>
    </row>
    <row r="281" spans="1:18" s="14" customFormat="1" x14ac:dyDescent="0.25">
      <c r="A281" s="14" t="str">
        <f>"23023"</f>
        <v>23023</v>
      </c>
      <c r="B281" s="14" t="str">
        <f>"05160"</f>
        <v>05160</v>
      </c>
      <c r="C281" s="14" t="str">
        <f>"1800"</f>
        <v>1800</v>
      </c>
      <c r="D281" s="14" t="str">
        <f>""</f>
        <v/>
      </c>
      <c r="E281" s="14" t="s">
        <v>886</v>
      </c>
      <c r="F281" s="14" t="s">
        <v>406</v>
      </c>
      <c r="G281" s="14" t="str">
        <f>""</f>
        <v/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318</v>
      </c>
      <c r="L281" s="14" t="s">
        <v>319</v>
      </c>
      <c r="M281" s="14" t="s">
        <v>90</v>
      </c>
      <c r="P281" s="14" t="s">
        <v>260</v>
      </c>
      <c r="Q281" s="14" t="s">
        <v>25</v>
      </c>
      <c r="R281" s="14" t="s">
        <v>318</v>
      </c>
    </row>
    <row r="282" spans="1:18" s="14" customFormat="1" x14ac:dyDescent="0.25">
      <c r="A282" s="14" t="str">
        <f>"23024"</f>
        <v>23024</v>
      </c>
      <c r="B282" s="14" t="str">
        <f>"05160"</f>
        <v>05160</v>
      </c>
      <c r="C282" s="14" t="str">
        <f>"1800"</f>
        <v>1800</v>
      </c>
      <c r="D282" s="14" t="str">
        <f>""</f>
        <v/>
      </c>
      <c r="E282" s="14" t="s">
        <v>887</v>
      </c>
      <c r="F282" s="14" t="s">
        <v>406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318</v>
      </c>
      <c r="L282" s="14" t="s">
        <v>319</v>
      </c>
      <c r="M282" s="14" t="s">
        <v>90</v>
      </c>
      <c r="P282" s="14" t="s">
        <v>260</v>
      </c>
      <c r="Q282" s="14" t="s">
        <v>25</v>
      </c>
      <c r="R282" s="14" t="s">
        <v>318</v>
      </c>
    </row>
    <row r="283" spans="1:18" s="14" customFormat="1" x14ac:dyDescent="0.25">
      <c r="A283" s="14" t="str">
        <f>"23025"</f>
        <v>23025</v>
      </c>
      <c r="B283" s="14" t="str">
        <f>"05160"</f>
        <v>05160</v>
      </c>
      <c r="C283" s="14" t="str">
        <f>"1800"</f>
        <v>1800</v>
      </c>
      <c r="D283" s="14" t="str">
        <f>""</f>
        <v/>
      </c>
      <c r="E283" s="14" t="s">
        <v>888</v>
      </c>
      <c r="F283" s="14" t="s">
        <v>406</v>
      </c>
      <c r="G283" s="14" t="str">
        <f>""</f>
        <v/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318</v>
      </c>
      <c r="L283" s="14" t="s">
        <v>319</v>
      </c>
      <c r="M283" s="14" t="s">
        <v>90</v>
      </c>
      <c r="P283" s="14" t="s">
        <v>260</v>
      </c>
      <c r="Q283" s="14" t="s">
        <v>25</v>
      </c>
      <c r="R283" s="14" t="s">
        <v>318</v>
      </c>
    </row>
    <row r="284" spans="1:18" s="14" customFormat="1" x14ac:dyDescent="0.25">
      <c r="A284" s="14" t="str">
        <f>"31110"</f>
        <v>31110</v>
      </c>
      <c r="B284" s="14" t="str">
        <f>"03000"</f>
        <v>03000</v>
      </c>
      <c r="C284" s="14" t="str">
        <f>"1930"</f>
        <v>1930</v>
      </c>
      <c r="D284" s="14" t="str">
        <f>"31110"</f>
        <v>31110</v>
      </c>
      <c r="E284" s="14" t="s">
        <v>968</v>
      </c>
      <c r="F284" s="14" t="s">
        <v>217</v>
      </c>
      <c r="G284" s="14" t="str">
        <f>""</f>
        <v/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34</v>
      </c>
      <c r="L284" s="14" t="s">
        <v>226</v>
      </c>
      <c r="P284" s="14" t="s">
        <v>260</v>
      </c>
      <c r="Q284" s="14" t="s">
        <v>25</v>
      </c>
      <c r="R284" s="14" t="s">
        <v>35</v>
      </c>
    </row>
    <row r="285" spans="1:18" s="14" customFormat="1" x14ac:dyDescent="0.25">
      <c r="A285" s="14" t="str">
        <f>"31205"</f>
        <v>31205</v>
      </c>
      <c r="B285" s="14" t="str">
        <f>"03929"</f>
        <v>03929</v>
      </c>
      <c r="C285" s="14" t="str">
        <f>"1930"</f>
        <v>1930</v>
      </c>
      <c r="D285" s="14" t="str">
        <f>""</f>
        <v/>
      </c>
      <c r="E285" s="14" t="s">
        <v>969</v>
      </c>
      <c r="F285" s="14" t="s">
        <v>970</v>
      </c>
      <c r="G285" s="14" t="str">
        <f>""</f>
        <v/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318</v>
      </c>
      <c r="L285" s="14" t="s">
        <v>319</v>
      </c>
      <c r="P285" s="14" t="s">
        <v>260</v>
      </c>
      <c r="Q285" s="14" t="s">
        <v>25</v>
      </c>
      <c r="R285" s="14" t="s">
        <v>318</v>
      </c>
    </row>
    <row r="286" spans="1:18" s="14" customFormat="1" x14ac:dyDescent="0.25">
      <c r="A286" s="14" t="str">
        <f>"32005"</f>
        <v>32005</v>
      </c>
      <c r="B286" s="14" t="str">
        <f>"03100"</f>
        <v>03100</v>
      </c>
      <c r="C286" s="14" t="str">
        <f>"1930"</f>
        <v>1930</v>
      </c>
      <c r="D286" s="14" t="str">
        <f>"03100"</f>
        <v>03100</v>
      </c>
      <c r="E286" s="14" t="s">
        <v>971</v>
      </c>
      <c r="F286" s="14" t="s">
        <v>736</v>
      </c>
      <c r="G286" s="14" t="str">
        <f>""</f>
        <v/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226</v>
      </c>
      <c r="L286" s="14" t="s">
        <v>228</v>
      </c>
      <c r="P286" s="14" t="s">
        <v>260</v>
      </c>
      <c r="Q286" s="14" t="s">
        <v>25</v>
      </c>
      <c r="R286" s="14" t="s">
        <v>229</v>
      </c>
    </row>
    <row r="287" spans="1:18" s="14" customFormat="1" x14ac:dyDescent="0.25">
      <c r="A287" s="14" t="str">
        <f>"42001"</f>
        <v>42001</v>
      </c>
      <c r="B287" s="14" t="str">
        <f>"05160"</f>
        <v>05160</v>
      </c>
      <c r="C287" s="14" t="str">
        <f>"1400"</f>
        <v>1400</v>
      </c>
      <c r="D287" s="14" t="str">
        <f>""</f>
        <v/>
      </c>
      <c r="E287" s="14" t="s">
        <v>996</v>
      </c>
      <c r="F287" s="14" t="s">
        <v>406</v>
      </c>
      <c r="G287" s="14" t="str">
        <f>""</f>
        <v/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318</v>
      </c>
      <c r="L287" s="14" t="s">
        <v>319</v>
      </c>
      <c r="M287" s="14" t="s">
        <v>90</v>
      </c>
      <c r="P287" s="14" t="s">
        <v>260</v>
      </c>
      <c r="Q287" s="14" t="s">
        <v>260</v>
      </c>
      <c r="R287" s="14" t="s">
        <v>318</v>
      </c>
    </row>
    <row r="288" spans="1:18" s="14" customFormat="1" x14ac:dyDescent="0.25">
      <c r="A288" s="14" t="str">
        <f>"42002"</f>
        <v>42002</v>
      </c>
      <c r="B288" s="14" t="str">
        <f>"05160"</f>
        <v>05160</v>
      </c>
      <c r="C288" s="14" t="str">
        <f>"1400"</f>
        <v>1400</v>
      </c>
      <c r="D288" s="14" t="str">
        <f>""</f>
        <v/>
      </c>
      <c r="E288" s="14" t="s">
        <v>997</v>
      </c>
      <c r="F288" s="14" t="s">
        <v>406</v>
      </c>
      <c r="G288" s="14" t="str">
        <f>""</f>
        <v/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318</v>
      </c>
      <c r="L288" s="14" t="s">
        <v>319</v>
      </c>
      <c r="M288" s="14" t="s">
        <v>90</v>
      </c>
      <c r="P288" s="14" t="s">
        <v>260</v>
      </c>
      <c r="Q288" s="14" t="s">
        <v>260</v>
      </c>
      <c r="R288" s="14" t="s">
        <v>318</v>
      </c>
    </row>
    <row r="289" spans="1:18" s="14" customFormat="1" x14ac:dyDescent="0.25">
      <c r="A289" s="14" t="str">
        <f>"42101"</f>
        <v>42101</v>
      </c>
      <c r="B289" s="14" t="str">
        <f>"05160"</f>
        <v>05160</v>
      </c>
      <c r="C289" s="14" t="str">
        <f>"1400"</f>
        <v>1400</v>
      </c>
      <c r="D289" s="14" t="str">
        <f>""</f>
        <v/>
      </c>
      <c r="E289" s="14" t="s">
        <v>998</v>
      </c>
      <c r="F289" s="14" t="s">
        <v>406</v>
      </c>
      <c r="G289" s="14" t="str">
        <f>""</f>
        <v/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318</v>
      </c>
      <c r="L289" s="14" t="s">
        <v>319</v>
      </c>
      <c r="M289" s="14" t="s">
        <v>90</v>
      </c>
      <c r="P289" s="14" t="s">
        <v>260</v>
      </c>
      <c r="Q289" s="14" t="s">
        <v>260</v>
      </c>
      <c r="R289" s="14" t="s">
        <v>318</v>
      </c>
    </row>
    <row r="290" spans="1:18" s="14" customFormat="1" x14ac:dyDescent="0.25">
      <c r="A290" s="14" t="str">
        <f>"42103"</f>
        <v>42103</v>
      </c>
      <c r="B290" s="14" t="str">
        <f>"05160"</f>
        <v>05160</v>
      </c>
      <c r="C290" s="14" t="str">
        <f>"1400"</f>
        <v>1400</v>
      </c>
      <c r="D290" s="14" t="str">
        <f>""</f>
        <v/>
      </c>
      <c r="E290" s="14" t="s">
        <v>999</v>
      </c>
      <c r="F290" s="14" t="s">
        <v>406</v>
      </c>
      <c r="G290" s="14" t="str">
        <f>""</f>
        <v/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318</v>
      </c>
      <c r="L290" s="14" t="s">
        <v>319</v>
      </c>
      <c r="M290" s="14" t="s">
        <v>90</v>
      </c>
      <c r="P290" s="14" t="s">
        <v>260</v>
      </c>
      <c r="Q290" s="14" t="s">
        <v>260</v>
      </c>
      <c r="R290" s="14" t="s">
        <v>318</v>
      </c>
    </row>
    <row r="291" spans="1:18" s="14" customFormat="1" x14ac:dyDescent="0.25">
      <c r="A291" s="14" t="str">
        <f>"42901"</f>
        <v>42901</v>
      </c>
      <c r="B291" s="14" t="str">
        <f>"05160"</f>
        <v>05160</v>
      </c>
      <c r="C291" s="14" t="str">
        <f>"1400"</f>
        <v>1400</v>
      </c>
      <c r="D291" s="14" t="str">
        <f>""</f>
        <v/>
      </c>
      <c r="E291" s="14" t="s">
        <v>1000</v>
      </c>
      <c r="F291" s="14" t="s">
        <v>406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318</v>
      </c>
      <c r="L291" s="14" t="s">
        <v>319</v>
      </c>
      <c r="M291" s="14" t="s">
        <v>90</v>
      </c>
      <c r="P291" s="14" t="s">
        <v>260</v>
      </c>
      <c r="Q291" s="14" t="s">
        <v>260</v>
      </c>
      <c r="R291" s="14" t="s">
        <v>318</v>
      </c>
    </row>
    <row r="292" spans="1:18" s="14" customFormat="1" x14ac:dyDescent="0.25">
      <c r="A292" s="14" t="str">
        <f>"83001"</f>
        <v>83001</v>
      </c>
      <c r="B292" s="14" t="str">
        <f>"07010"</f>
        <v>07010</v>
      </c>
      <c r="C292" s="14" t="str">
        <f>"1800"</f>
        <v>1800</v>
      </c>
      <c r="D292" s="14" t="str">
        <f>""</f>
        <v/>
      </c>
      <c r="E292" s="14" t="s">
        <v>1001</v>
      </c>
      <c r="F292" s="14" t="s">
        <v>1002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228</v>
      </c>
      <c r="P292" s="14" t="s">
        <v>260</v>
      </c>
      <c r="Q292" s="14" t="s">
        <v>260</v>
      </c>
      <c r="R292" s="14" t="s">
        <v>229</v>
      </c>
    </row>
    <row r="293" spans="1:18" s="14" customFormat="1" x14ac:dyDescent="0.25">
      <c r="A293" s="14" t="str">
        <f>"83003"</f>
        <v>83003</v>
      </c>
      <c r="B293" s="14" t="str">
        <f>"07010"</f>
        <v>07010</v>
      </c>
      <c r="C293" s="14" t="str">
        <f>"1800"</f>
        <v>1800</v>
      </c>
      <c r="D293" s="14" t="str">
        <f>""</f>
        <v/>
      </c>
      <c r="E293" s="14" t="s">
        <v>1003</v>
      </c>
      <c r="F293" s="14" t="s">
        <v>1002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228</v>
      </c>
      <c r="P293" s="14" t="s">
        <v>260</v>
      </c>
      <c r="Q293" s="14" t="s">
        <v>260</v>
      </c>
      <c r="R293" s="14" t="s">
        <v>229</v>
      </c>
    </row>
    <row r="294" spans="1:18" s="14" customFormat="1" x14ac:dyDescent="0.25">
      <c r="A294" s="14" t="str">
        <f>"83005"</f>
        <v>83005</v>
      </c>
      <c r="B294" s="14" t="str">
        <f>"07010"</f>
        <v>07010</v>
      </c>
      <c r="C294" s="14" t="str">
        <f>"1800"</f>
        <v>1800</v>
      </c>
      <c r="D294" s="14" t="str">
        <f>""</f>
        <v/>
      </c>
      <c r="E294" s="14" t="s">
        <v>1004</v>
      </c>
      <c r="F294" s="14" t="s">
        <v>1002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228</v>
      </c>
      <c r="P294" s="14" t="s">
        <v>260</v>
      </c>
      <c r="Q294" s="14" t="s">
        <v>260</v>
      </c>
      <c r="R294" s="14" t="s">
        <v>229</v>
      </c>
    </row>
    <row r="295" spans="1:18" s="14" customFormat="1" x14ac:dyDescent="0.25">
      <c r="A295" s="14" t="str">
        <f>"83006"</f>
        <v>83006</v>
      </c>
      <c r="B295" s="14" t="str">
        <f>"07010"</f>
        <v>07010</v>
      </c>
      <c r="C295" s="14" t="str">
        <f>"1800"</f>
        <v>1800</v>
      </c>
      <c r="D295" s="14" t="str">
        <f>""</f>
        <v/>
      </c>
      <c r="E295" s="14" t="s">
        <v>1005</v>
      </c>
      <c r="F295" s="14" t="s">
        <v>1002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228</v>
      </c>
      <c r="P295" s="14" t="s">
        <v>260</v>
      </c>
      <c r="Q295" s="14" t="s">
        <v>260</v>
      </c>
      <c r="R295" s="14" t="s">
        <v>229</v>
      </c>
    </row>
    <row r="296" spans="1:18" s="14" customFormat="1" x14ac:dyDescent="0.25">
      <c r="A296" s="14" t="str">
        <f>"83007"</f>
        <v>83007</v>
      </c>
      <c r="B296" s="14" t="str">
        <f>"07010"</f>
        <v>07010</v>
      </c>
      <c r="C296" s="14" t="str">
        <f>"1800"</f>
        <v>1800</v>
      </c>
      <c r="D296" s="14" t="str">
        <f>""</f>
        <v/>
      </c>
      <c r="E296" s="14" t="s">
        <v>1006</v>
      </c>
      <c r="F296" s="14" t="s">
        <v>1002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228</v>
      </c>
      <c r="P296" s="14" t="s">
        <v>260</v>
      </c>
      <c r="Q296" s="14" t="s">
        <v>260</v>
      </c>
      <c r="R296" s="14" t="s">
        <v>229</v>
      </c>
    </row>
    <row r="297" spans="1:18" s="14" customFormat="1" x14ac:dyDescent="0.25">
      <c r="A297" s="14" t="str">
        <f>"83013"</f>
        <v>83013</v>
      </c>
      <c r="B297" s="14" t="str">
        <f>"07010"</f>
        <v>07010</v>
      </c>
      <c r="C297" s="14" t="str">
        <f>"1800"</f>
        <v>1800</v>
      </c>
      <c r="D297" s="14" t="str">
        <f>""</f>
        <v/>
      </c>
      <c r="E297" s="14" t="s">
        <v>1007</v>
      </c>
      <c r="F297" s="14" t="s">
        <v>1002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228</v>
      </c>
      <c r="P297" s="14" t="s">
        <v>260</v>
      </c>
      <c r="Q297" s="14" t="s">
        <v>260</v>
      </c>
      <c r="R297" s="14" t="s">
        <v>229</v>
      </c>
    </row>
    <row r="298" spans="1:18" s="14" customFormat="1" x14ac:dyDescent="0.25">
      <c r="A298" s="14" t="str">
        <f>"83014"</f>
        <v>83014</v>
      </c>
      <c r="B298" s="14" t="str">
        <f>"07010"</f>
        <v>07010</v>
      </c>
      <c r="C298" s="14" t="str">
        <f>"1800"</f>
        <v>1800</v>
      </c>
      <c r="D298" s="14" t="str">
        <f>""</f>
        <v/>
      </c>
      <c r="E298" s="14" t="s">
        <v>1008</v>
      </c>
      <c r="F298" s="14" t="s">
        <v>1002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228</v>
      </c>
      <c r="P298" s="14" t="s">
        <v>260</v>
      </c>
      <c r="Q298" s="14" t="s">
        <v>260</v>
      </c>
      <c r="R298" s="14" t="s">
        <v>229</v>
      </c>
    </row>
    <row r="299" spans="1:18" s="14" customFormat="1" x14ac:dyDescent="0.25">
      <c r="A299" s="14" t="str">
        <f>"83015"</f>
        <v>83015</v>
      </c>
      <c r="B299" s="14" t="str">
        <f>"07010"</f>
        <v>07010</v>
      </c>
      <c r="C299" s="14" t="str">
        <f>"1800"</f>
        <v>1800</v>
      </c>
      <c r="D299" s="14" t="str">
        <f>""</f>
        <v/>
      </c>
      <c r="E299" s="14" t="s">
        <v>1009</v>
      </c>
      <c r="F299" s="14" t="s">
        <v>1002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228</v>
      </c>
      <c r="P299" s="14" t="s">
        <v>260</v>
      </c>
      <c r="Q299" s="14" t="s">
        <v>260</v>
      </c>
      <c r="R299" s="14" t="s">
        <v>229</v>
      </c>
    </row>
    <row r="300" spans="1:18" s="14" customFormat="1" x14ac:dyDescent="0.25">
      <c r="A300" s="14" t="str">
        <f>"83016"</f>
        <v>83016</v>
      </c>
      <c r="B300" s="14" t="str">
        <f>"07010"</f>
        <v>07010</v>
      </c>
      <c r="C300" s="14" t="str">
        <f>"1800"</f>
        <v>1800</v>
      </c>
      <c r="D300" s="14" t="str">
        <f>""</f>
        <v/>
      </c>
      <c r="E300" s="14" t="s">
        <v>1010</v>
      </c>
      <c r="F300" s="14" t="s">
        <v>1002</v>
      </c>
      <c r="G300" s="14" t="str">
        <f>""</f>
        <v/>
      </c>
      <c r="H300" s="14" t="str">
        <f>" 00"</f>
        <v xml:space="preserve"> 00</v>
      </c>
      <c r="I300" s="14">
        <v>0.01</v>
      </c>
      <c r="J300" s="14">
        <v>9999999.9900000002</v>
      </c>
      <c r="K300" s="14" t="s">
        <v>228</v>
      </c>
      <c r="P300" s="14" t="s">
        <v>260</v>
      </c>
      <c r="Q300" s="14" t="s">
        <v>260</v>
      </c>
      <c r="R300" s="14" t="s">
        <v>229</v>
      </c>
    </row>
    <row r="301" spans="1:18" s="14" customFormat="1" x14ac:dyDescent="0.25">
      <c r="A301" s="14" t="str">
        <f>"83017"</f>
        <v>83017</v>
      </c>
      <c r="B301" s="14" t="str">
        <f>"07010"</f>
        <v>07010</v>
      </c>
      <c r="C301" s="14" t="str">
        <f>"1800"</f>
        <v>1800</v>
      </c>
      <c r="D301" s="14" t="str">
        <f>""</f>
        <v/>
      </c>
      <c r="E301" s="14" t="s">
        <v>1011</v>
      </c>
      <c r="F301" s="14" t="s">
        <v>1002</v>
      </c>
      <c r="G301" s="14" t="str">
        <f>""</f>
        <v/>
      </c>
      <c r="H301" s="14" t="str">
        <f>" 00"</f>
        <v xml:space="preserve"> 00</v>
      </c>
      <c r="I301" s="14">
        <v>0.01</v>
      </c>
      <c r="J301" s="14">
        <v>9999999.9900000002</v>
      </c>
      <c r="K301" s="14" t="s">
        <v>228</v>
      </c>
      <c r="P301" s="14" t="s">
        <v>260</v>
      </c>
      <c r="Q301" s="14" t="s">
        <v>260</v>
      </c>
      <c r="R301" s="14" t="s">
        <v>229</v>
      </c>
    </row>
    <row r="302" spans="1:18" s="14" customFormat="1" x14ac:dyDescent="0.25">
      <c r="A302" s="14" t="str">
        <f>"83019"</f>
        <v>83019</v>
      </c>
      <c r="B302" s="14" t="str">
        <f>"07010"</f>
        <v>07010</v>
      </c>
      <c r="C302" s="14" t="str">
        <f>"1800"</f>
        <v>1800</v>
      </c>
      <c r="D302" s="14" t="str">
        <f>""</f>
        <v/>
      </c>
      <c r="E302" s="14" t="s">
        <v>1012</v>
      </c>
      <c r="F302" s="14" t="s">
        <v>1002</v>
      </c>
      <c r="G302" s="14" t="str">
        <f>""</f>
        <v/>
      </c>
      <c r="H302" s="14" t="str">
        <f>" 00"</f>
        <v xml:space="preserve"> 00</v>
      </c>
      <c r="I302" s="14">
        <v>0.01</v>
      </c>
      <c r="J302" s="14">
        <v>9999999.9900000002</v>
      </c>
      <c r="K302" s="14" t="s">
        <v>228</v>
      </c>
      <c r="P302" s="14" t="s">
        <v>260</v>
      </c>
      <c r="Q302" s="14" t="s">
        <v>260</v>
      </c>
      <c r="R302" s="14" t="s">
        <v>229</v>
      </c>
    </row>
    <row r="303" spans="1:18" s="14" customFormat="1" x14ac:dyDescent="0.25">
      <c r="A303" s="14" t="str">
        <f>"83020"</f>
        <v>83020</v>
      </c>
      <c r="B303" s="14" t="str">
        <f>"07010"</f>
        <v>07010</v>
      </c>
      <c r="C303" s="14" t="str">
        <f>"1800"</f>
        <v>1800</v>
      </c>
      <c r="D303" s="14" t="str">
        <f>""</f>
        <v/>
      </c>
      <c r="E303" s="14" t="s">
        <v>1013</v>
      </c>
      <c r="F303" s="14" t="s">
        <v>1002</v>
      </c>
      <c r="G303" s="14" t="str">
        <f>""</f>
        <v/>
      </c>
      <c r="H303" s="14" t="str">
        <f>" 00"</f>
        <v xml:space="preserve"> 00</v>
      </c>
      <c r="I303" s="14">
        <v>0.01</v>
      </c>
      <c r="J303" s="14">
        <v>9999999.9900000002</v>
      </c>
      <c r="K303" s="14" t="s">
        <v>228</v>
      </c>
      <c r="P303" s="14" t="s">
        <v>260</v>
      </c>
      <c r="Q303" s="14" t="s">
        <v>260</v>
      </c>
      <c r="R303" s="14" t="s">
        <v>229</v>
      </c>
    </row>
    <row r="304" spans="1:18" s="14" customFormat="1" x14ac:dyDescent="0.25">
      <c r="A304" s="14" t="str">
        <f>"83021"</f>
        <v>83021</v>
      </c>
      <c r="B304" s="14" t="str">
        <f>"07010"</f>
        <v>07010</v>
      </c>
      <c r="C304" s="14" t="str">
        <f>"1800"</f>
        <v>1800</v>
      </c>
      <c r="D304" s="14" t="str">
        <f>""</f>
        <v/>
      </c>
      <c r="E304" s="14" t="s">
        <v>1014</v>
      </c>
      <c r="F304" s="14" t="s">
        <v>1002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228</v>
      </c>
      <c r="P304" s="14" t="s">
        <v>260</v>
      </c>
      <c r="Q304" s="14" t="s">
        <v>260</v>
      </c>
      <c r="R304" s="14" t="s">
        <v>229</v>
      </c>
    </row>
    <row r="305" spans="1:18" s="14" customFormat="1" x14ac:dyDescent="0.25">
      <c r="A305" s="14" t="str">
        <f>"83023"</f>
        <v>83023</v>
      </c>
      <c r="B305" s="14" t="str">
        <f>"07010"</f>
        <v>07010</v>
      </c>
      <c r="C305" s="14" t="str">
        <f>"1800"</f>
        <v>1800</v>
      </c>
      <c r="D305" s="14" t="str">
        <f>""</f>
        <v/>
      </c>
      <c r="E305" s="14" t="s">
        <v>1015</v>
      </c>
      <c r="F305" s="14" t="s">
        <v>1002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228</v>
      </c>
      <c r="P305" s="14" t="s">
        <v>260</v>
      </c>
      <c r="Q305" s="14" t="s">
        <v>260</v>
      </c>
      <c r="R305" s="14" t="s">
        <v>229</v>
      </c>
    </row>
    <row r="306" spans="1:18" s="14" customFormat="1" x14ac:dyDescent="0.25">
      <c r="A306" s="14" t="str">
        <f>"83025"</f>
        <v>83025</v>
      </c>
      <c r="B306" s="14" t="str">
        <f>"07010"</f>
        <v>07010</v>
      </c>
      <c r="C306" s="14" t="str">
        <f>"1800"</f>
        <v>1800</v>
      </c>
      <c r="D306" s="14" t="str">
        <f>""</f>
        <v/>
      </c>
      <c r="E306" s="14" t="s">
        <v>1016</v>
      </c>
      <c r="F306" s="14" t="s">
        <v>1002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228</v>
      </c>
      <c r="P306" s="14" t="s">
        <v>260</v>
      </c>
      <c r="Q306" s="14" t="s">
        <v>260</v>
      </c>
      <c r="R306" s="14" t="s">
        <v>229</v>
      </c>
    </row>
    <row r="307" spans="1:18" s="14" customFormat="1" x14ac:dyDescent="0.25">
      <c r="A307" s="14" t="str">
        <f>"83026"</f>
        <v>83026</v>
      </c>
      <c r="B307" s="14" t="str">
        <f>"07010"</f>
        <v>07010</v>
      </c>
      <c r="C307" s="14" t="str">
        <f>"1800"</f>
        <v>1800</v>
      </c>
      <c r="D307" s="14" t="str">
        <f>""</f>
        <v/>
      </c>
      <c r="E307" s="14" t="s">
        <v>1017</v>
      </c>
      <c r="F307" s="14" t="s">
        <v>1002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228</v>
      </c>
      <c r="P307" s="14" t="s">
        <v>260</v>
      </c>
      <c r="Q307" s="14" t="s">
        <v>260</v>
      </c>
      <c r="R307" s="14" t="s">
        <v>229</v>
      </c>
    </row>
    <row r="308" spans="1:18" s="14" customFormat="1" x14ac:dyDescent="0.25">
      <c r="A308" s="14" t="str">
        <f>"83027"</f>
        <v>83027</v>
      </c>
      <c r="B308" s="14" t="str">
        <f>"07010"</f>
        <v>07010</v>
      </c>
      <c r="C308" s="14" t="str">
        <f>"1800"</f>
        <v>1800</v>
      </c>
      <c r="D308" s="14" t="str">
        <f>""</f>
        <v/>
      </c>
      <c r="E308" s="14" t="s">
        <v>1018</v>
      </c>
      <c r="F308" s="14" t="s">
        <v>1002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228</v>
      </c>
      <c r="P308" s="14" t="s">
        <v>260</v>
      </c>
      <c r="Q308" s="14" t="s">
        <v>260</v>
      </c>
      <c r="R308" s="14" t="s">
        <v>229</v>
      </c>
    </row>
    <row r="309" spans="1:18" s="14" customFormat="1" x14ac:dyDescent="0.25">
      <c r="A309" s="14" t="str">
        <f>"83031"</f>
        <v>83031</v>
      </c>
      <c r="B309" s="14" t="str">
        <f>"07010"</f>
        <v>07010</v>
      </c>
      <c r="C309" s="14" t="str">
        <f>"1800"</f>
        <v>1800</v>
      </c>
      <c r="D309" s="14" t="str">
        <f>""</f>
        <v/>
      </c>
      <c r="E309" s="14" t="s">
        <v>1019</v>
      </c>
      <c r="F309" s="14" t="s">
        <v>1002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228</v>
      </c>
      <c r="P309" s="14" t="s">
        <v>260</v>
      </c>
      <c r="Q309" s="14" t="s">
        <v>260</v>
      </c>
      <c r="R309" s="14" t="s">
        <v>229</v>
      </c>
    </row>
    <row r="310" spans="1:18" s="14" customFormat="1" x14ac:dyDescent="0.25">
      <c r="A310" s="14" t="str">
        <f>"83032"</f>
        <v>83032</v>
      </c>
      <c r="B310" s="14" t="str">
        <f>"07010"</f>
        <v>07010</v>
      </c>
      <c r="C310" s="14" t="str">
        <f>"1800"</f>
        <v>1800</v>
      </c>
      <c r="D310" s="14" t="str">
        <f>""</f>
        <v/>
      </c>
      <c r="E310" s="14" t="s">
        <v>1020</v>
      </c>
      <c r="F310" s="14" t="s">
        <v>1002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228</v>
      </c>
      <c r="P310" s="14" t="s">
        <v>260</v>
      </c>
      <c r="Q310" s="14" t="s">
        <v>260</v>
      </c>
      <c r="R310" s="14" t="s">
        <v>229</v>
      </c>
    </row>
    <row r="311" spans="1:18" s="14" customFormat="1" x14ac:dyDescent="0.25">
      <c r="A311" s="14" t="str">
        <f>"83034"</f>
        <v>83034</v>
      </c>
      <c r="B311" s="14" t="str">
        <f>"07010"</f>
        <v>07010</v>
      </c>
      <c r="C311" s="14" t="str">
        <f>"1800"</f>
        <v>1800</v>
      </c>
      <c r="D311" s="14" t="str">
        <f>""</f>
        <v/>
      </c>
      <c r="E311" s="14" t="s">
        <v>1021</v>
      </c>
      <c r="F311" s="14" t="s">
        <v>1002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228</v>
      </c>
      <c r="P311" s="14" t="s">
        <v>260</v>
      </c>
      <c r="Q311" s="14" t="s">
        <v>260</v>
      </c>
      <c r="R311" s="14" t="s">
        <v>229</v>
      </c>
    </row>
    <row r="312" spans="1:18" s="14" customFormat="1" x14ac:dyDescent="0.25">
      <c r="A312" s="14" t="str">
        <f>"83035"</f>
        <v>83035</v>
      </c>
      <c r="B312" s="14" t="str">
        <f>"07010"</f>
        <v>07010</v>
      </c>
      <c r="C312" s="14" t="str">
        <f>"1800"</f>
        <v>1800</v>
      </c>
      <c r="D312" s="14" t="str">
        <f>""</f>
        <v/>
      </c>
      <c r="E312" s="14" t="s">
        <v>1022</v>
      </c>
      <c r="F312" s="14" t="s">
        <v>1002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228</v>
      </c>
      <c r="P312" s="14" t="s">
        <v>260</v>
      </c>
      <c r="Q312" s="14" t="s">
        <v>260</v>
      </c>
      <c r="R312" s="14" t="s">
        <v>229</v>
      </c>
    </row>
    <row r="313" spans="1:18" s="14" customFormat="1" x14ac:dyDescent="0.25">
      <c r="A313" s="14" t="str">
        <f>"83036"</f>
        <v>83036</v>
      </c>
      <c r="B313" s="14" t="str">
        <f>"07010"</f>
        <v>07010</v>
      </c>
      <c r="C313" s="14" t="str">
        <f>"1800"</f>
        <v>1800</v>
      </c>
      <c r="D313" s="14" t="str">
        <f>""</f>
        <v/>
      </c>
      <c r="E313" s="14" t="s">
        <v>1023</v>
      </c>
      <c r="F313" s="14" t="s">
        <v>1002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228</v>
      </c>
      <c r="P313" s="14" t="s">
        <v>260</v>
      </c>
      <c r="Q313" s="14" t="s">
        <v>260</v>
      </c>
      <c r="R313" s="14" t="s">
        <v>229</v>
      </c>
    </row>
    <row r="314" spans="1:18" s="14" customFormat="1" x14ac:dyDescent="0.25">
      <c r="A314" s="14" t="str">
        <f>"83042"</f>
        <v>83042</v>
      </c>
      <c r="B314" s="14" t="str">
        <f>"07010"</f>
        <v>07010</v>
      </c>
      <c r="C314" s="14" t="str">
        <f>"1800"</f>
        <v>1800</v>
      </c>
      <c r="D314" s="14" t="str">
        <f>""</f>
        <v/>
      </c>
      <c r="E314" s="14" t="s">
        <v>1024</v>
      </c>
      <c r="F314" s="14" t="s">
        <v>1002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228</v>
      </c>
      <c r="P314" s="14" t="s">
        <v>260</v>
      </c>
      <c r="Q314" s="14" t="s">
        <v>260</v>
      </c>
      <c r="R314" s="14" t="s">
        <v>229</v>
      </c>
    </row>
    <row r="315" spans="1:18" s="14" customFormat="1" x14ac:dyDescent="0.25">
      <c r="A315" s="14" t="str">
        <f>"83050"</f>
        <v>83050</v>
      </c>
      <c r="B315" s="14" t="str">
        <f>"07010"</f>
        <v>07010</v>
      </c>
      <c r="C315" s="14" t="str">
        <f>"1800"</f>
        <v>1800</v>
      </c>
      <c r="D315" s="14" t="str">
        <f>""</f>
        <v/>
      </c>
      <c r="E315" s="14" t="s">
        <v>1025</v>
      </c>
      <c r="F315" s="14" t="s">
        <v>1002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228</v>
      </c>
      <c r="P315" s="14" t="s">
        <v>260</v>
      </c>
      <c r="Q315" s="14" t="s">
        <v>260</v>
      </c>
      <c r="R315" s="14" t="s">
        <v>229</v>
      </c>
    </row>
    <row r="316" spans="1:18" s="14" customFormat="1" x14ac:dyDescent="0.25">
      <c r="A316" s="14" t="str">
        <f>"83051"</f>
        <v>83051</v>
      </c>
      <c r="B316" s="14" t="str">
        <f>"07010"</f>
        <v>07010</v>
      </c>
      <c r="C316" s="14" t="str">
        <f>"1800"</f>
        <v>1800</v>
      </c>
      <c r="D316" s="14" t="str">
        <f>""</f>
        <v/>
      </c>
      <c r="E316" s="14" t="s">
        <v>1026</v>
      </c>
      <c r="F316" s="14" t="s">
        <v>1002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228</v>
      </c>
      <c r="P316" s="14" t="s">
        <v>260</v>
      </c>
      <c r="Q316" s="14" t="s">
        <v>260</v>
      </c>
      <c r="R316" s="14" t="s">
        <v>229</v>
      </c>
    </row>
    <row r="317" spans="1:18" s="14" customFormat="1" x14ac:dyDescent="0.25">
      <c r="A317" s="14" t="str">
        <f>"83054"</f>
        <v>83054</v>
      </c>
      <c r="B317" s="14" t="str">
        <f>"07010"</f>
        <v>07010</v>
      </c>
      <c r="C317" s="14" t="str">
        <f>"1800"</f>
        <v>1800</v>
      </c>
      <c r="D317" s="14" t="str">
        <f>""</f>
        <v/>
      </c>
      <c r="E317" s="14" t="s">
        <v>1027</v>
      </c>
      <c r="F317" s="14" t="s">
        <v>1002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228</v>
      </c>
      <c r="P317" s="14" t="s">
        <v>260</v>
      </c>
      <c r="Q317" s="14" t="s">
        <v>260</v>
      </c>
      <c r="R317" s="14" t="s">
        <v>229</v>
      </c>
    </row>
    <row r="318" spans="1:18" s="14" customFormat="1" x14ac:dyDescent="0.25">
      <c r="A318" s="14" t="str">
        <f>"83058"</f>
        <v>83058</v>
      </c>
      <c r="B318" s="14" t="str">
        <f>"07010"</f>
        <v>07010</v>
      </c>
      <c r="C318" s="14" t="str">
        <f>"1800"</f>
        <v>1800</v>
      </c>
      <c r="D318" s="14" t="str">
        <f>""</f>
        <v/>
      </c>
      <c r="E318" s="14" t="s">
        <v>1028</v>
      </c>
      <c r="F318" s="14" t="s">
        <v>1002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228</v>
      </c>
      <c r="P318" s="14" t="s">
        <v>260</v>
      </c>
      <c r="Q318" s="14" t="s">
        <v>260</v>
      </c>
      <c r="R318" s="14" t="s">
        <v>229</v>
      </c>
    </row>
    <row r="319" spans="1:18" s="14" customFormat="1" x14ac:dyDescent="0.25">
      <c r="A319" s="14" t="str">
        <f>"83060"</f>
        <v>83060</v>
      </c>
      <c r="B319" s="14" t="str">
        <f>"07010"</f>
        <v>07010</v>
      </c>
      <c r="C319" s="14" t="str">
        <f>"1800"</f>
        <v>1800</v>
      </c>
      <c r="D319" s="14" t="str">
        <f>""</f>
        <v/>
      </c>
      <c r="E319" s="14" t="s">
        <v>1029</v>
      </c>
      <c r="F319" s="14" t="s">
        <v>1002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228</v>
      </c>
      <c r="P319" s="14" t="s">
        <v>260</v>
      </c>
      <c r="Q319" s="14" t="s">
        <v>260</v>
      </c>
      <c r="R319" s="14" t="s">
        <v>229</v>
      </c>
    </row>
    <row r="320" spans="1:18" s="14" customFormat="1" x14ac:dyDescent="0.25">
      <c r="A320" s="14" t="str">
        <f>"83061"</f>
        <v>83061</v>
      </c>
      <c r="B320" s="14" t="str">
        <f>"07010"</f>
        <v>07010</v>
      </c>
      <c r="C320" s="14" t="str">
        <f>"1800"</f>
        <v>1800</v>
      </c>
      <c r="D320" s="14" t="str">
        <f>""</f>
        <v/>
      </c>
      <c r="E320" s="14" t="s">
        <v>1030</v>
      </c>
      <c r="F320" s="14" t="s">
        <v>1002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228</v>
      </c>
      <c r="P320" s="14" t="s">
        <v>260</v>
      </c>
      <c r="Q320" s="14" t="s">
        <v>260</v>
      </c>
      <c r="R320" s="14" t="s">
        <v>229</v>
      </c>
    </row>
    <row r="321" spans="1:18" s="14" customFormat="1" x14ac:dyDescent="0.25">
      <c r="A321" s="14" t="str">
        <f>"83062"</f>
        <v>83062</v>
      </c>
      <c r="B321" s="14" t="str">
        <f>"07010"</f>
        <v>07010</v>
      </c>
      <c r="C321" s="14" t="str">
        <f>"1800"</f>
        <v>1800</v>
      </c>
      <c r="D321" s="14" t="str">
        <f>""</f>
        <v/>
      </c>
      <c r="E321" s="14" t="s">
        <v>1031</v>
      </c>
      <c r="F321" s="14" t="s">
        <v>1002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228</v>
      </c>
      <c r="P321" s="14" t="s">
        <v>260</v>
      </c>
      <c r="Q321" s="14" t="s">
        <v>260</v>
      </c>
      <c r="R321" s="14" t="s">
        <v>229</v>
      </c>
    </row>
    <row r="322" spans="1:18" s="14" customFormat="1" x14ac:dyDescent="0.25">
      <c r="A322" s="14" t="str">
        <f>"83063"</f>
        <v>83063</v>
      </c>
      <c r="B322" s="14" t="str">
        <f>"07010"</f>
        <v>07010</v>
      </c>
      <c r="C322" s="14" t="str">
        <f>"1800"</f>
        <v>1800</v>
      </c>
      <c r="D322" s="14" t="str">
        <f>""</f>
        <v/>
      </c>
      <c r="E322" s="14" t="s">
        <v>1032</v>
      </c>
      <c r="F322" s="14" t="s">
        <v>1002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228</v>
      </c>
      <c r="P322" s="14" t="s">
        <v>260</v>
      </c>
      <c r="Q322" s="14" t="s">
        <v>260</v>
      </c>
      <c r="R322" s="14" t="s">
        <v>229</v>
      </c>
    </row>
    <row r="323" spans="1:18" s="14" customFormat="1" x14ac:dyDescent="0.25">
      <c r="A323" s="14" t="str">
        <f>"83068"</f>
        <v>83068</v>
      </c>
      <c r="B323" s="14" t="str">
        <f>"07010"</f>
        <v>07010</v>
      </c>
      <c r="C323" s="14" t="str">
        <f>"1800"</f>
        <v>1800</v>
      </c>
      <c r="D323" s="14" t="str">
        <f>""</f>
        <v/>
      </c>
      <c r="E323" s="14" t="s">
        <v>1033</v>
      </c>
      <c r="F323" s="14" t="s">
        <v>1002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228</v>
      </c>
      <c r="P323" s="14" t="s">
        <v>260</v>
      </c>
      <c r="Q323" s="14" t="s">
        <v>260</v>
      </c>
      <c r="R323" s="14" t="s">
        <v>229</v>
      </c>
    </row>
    <row r="324" spans="1:18" s="14" customFormat="1" x14ac:dyDescent="0.25">
      <c r="A324" s="14" t="str">
        <f>"83071"</f>
        <v>83071</v>
      </c>
      <c r="B324" s="14" t="str">
        <f>"07010"</f>
        <v>07010</v>
      </c>
      <c r="C324" s="14" t="str">
        <f>"1800"</f>
        <v>1800</v>
      </c>
      <c r="D324" s="14" t="str">
        <f>""</f>
        <v/>
      </c>
      <c r="E324" s="14" t="s">
        <v>1034</v>
      </c>
      <c r="F324" s="14" t="s">
        <v>1002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228</v>
      </c>
      <c r="P324" s="14" t="s">
        <v>260</v>
      </c>
      <c r="Q324" s="14" t="s">
        <v>260</v>
      </c>
      <c r="R324" s="14" t="s">
        <v>229</v>
      </c>
    </row>
    <row r="325" spans="1:18" s="14" customFormat="1" x14ac:dyDescent="0.25">
      <c r="A325" s="14" t="str">
        <f>"83073"</f>
        <v>83073</v>
      </c>
      <c r="B325" s="14" t="str">
        <f>"07010"</f>
        <v>07010</v>
      </c>
      <c r="C325" s="14" t="str">
        <f>"1800"</f>
        <v>1800</v>
      </c>
      <c r="D325" s="14" t="str">
        <f>""</f>
        <v/>
      </c>
      <c r="E325" s="14" t="s">
        <v>1035</v>
      </c>
      <c r="F325" s="14" t="s">
        <v>1002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228</v>
      </c>
      <c r="P325" s="14" t="s">
        <v>260</v>
      </c>
      <c r="Q325" s="14" t="s">
        <v>260</v>
      </c>
      <c r="R325" s="14" t="s">
        <v>229</v>
      </c>
    </row>
    <row r="326" spans="1:18" s="14" customFormat="1" x14ac:dyDescent="0.25">
      <c r="A326" s="14" t="str">
        <f>"83075"</f>
        <v>83075</v>
      </c>
      <c r="B326" s="14" t="str">
        <f>"07010"</f>
        <v>07010</v>
      </c>
      <c r="C326" s="14" t="str">
        <f>"1800"</f>
        <v>1800</v>
      </c>
      <c r="D326" s="14" t="str">
        <f>""</f>
        <v/>
      </c>
      <c r="E326" s="14" t="s">
        <v>1036</v>
      </c>
      <c r="F326" s="14" t="s">
        <v>1002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228</v>
      </c>
      <c r="P326" s="14" t="s">
        <v>260</v>
      </c>
      <c r="Q326" s="14" t="s">
        <v>260</v>
      </c>
      <c r="R326" s="14" t="s">
        <v>229</v>
      </c>
    </row>
    <row r="327" spans="1:18" s="14" customFormat="1" x14ac:dyDescent="0.25">
      <c r="A327" s="14" t="str">
        <f>"83076"</f>
        <v>83076</v>
      </c>
      <c r="B327" s="14" t="str">
        <f>"07010"</f>
        <v>07010</v>
      </c>
      <c r="C327" s="14" t="str">
        <f>"1800"</f>
        <v>1800</v>
      </c>
      <c r="D327" s="14" t="str">
        <f>""</f>
        <v/>
      </c>
      <c r="E327" s="14" t="s">
        <v>1037</v>
      </c>
      <c r="F327" s="14" t="s">
        <v>1002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228</v>
      </c>
      <c r="P327" s="14" t="s">
        <v>260</v>
      </c>
      <c r="Q327" s="14" t="s">
        <v>260</v>
      </c>
      <c r="R327" s="14" t="s">
        <v>229</v>
      </c>
    </row>
    <row r="328" spans="1:18" s="14" customFormat="1" x14ac:dyDescent="0.25">
      <c r="A328" s="14" t="str">
        <f>"83079"</f>
        <v>83079</v>
      </c>
      <c r="B328" s="14" t="str">
        <f>"07010"</f>
        <v>07010</v>
      </c>
      <c r="C328" s="14" t="str">
        <f>"1800"</f>
        <v>1800</v>
      </c>
      <c r="D328" s="14" t="str">
        <f>""</f>
        <v/>
      </c>
      <c r="E328" s="14" t="s">
        <v>1038</v>
      </c>
      <c r="F328" s="14" t="s">
        <v>1002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228</v>
      </c>
      <c r="P328" s="14" t="s">
        <v>260</v>
      </c>
      <c r="Q328" s="14" t="s">
        <v>260</v>
      </c>
      <c r="R328" s="14" t="s">
        <v>229</v>
      </c>
    </row>
    <row r="329" spans="1:18" s="14" customFormat="1" x14ac:dyDescent="0.25">
      <c r="A329" s="14" t="str">
        <f>"83080"</f>
        <v>83080</v>
      </c>
      <c r="B329" s="14" t="str">
        <f>"07010"</f>
        <v>07010</v>
      </c>
      <c r="C329" s="14" t="str">
        <f>"1800"</f>
        <v>1800</v>
      </c>
      <c r="D329" s="14" t="str">
        <f>""</f>
        <v/>
      </c>
      <c r="E329" s="14" t="s">
        <v>1039</v>
      </c>
      <c r="F329" s="14" t="s">
        <v>1002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228</v>
      </c>
      <c r="P329" s="14" t="s">
        <v>260</v>
      </c>
      <c r="Q329" s="14" t="s">
        <v>260</v>
      </c>
      <c r="R329" s="14" t="s">
        <v>229</v>
      </c>
    </row>
    <row r="330" spans="1:18" s="14" customFormat="1" x14ac:dyDescent="0.25">
      <c r="A330" s="14" t="str">
        <f>"83081"</f>
        <v>83081</v>
      </c>
      <c r="B330" s="14" t="str">
        <f>"07010"</f>
        <v>07010</v>
      </c>
      <c r="C330" s="14" t="str">
        <f>"1800"</f>
        <v>1800</v>
      </c>
      <c r="D330" s="14" t="str">
        <f>""</f>
        <v/>
      </c>
      <c r="E330" s="14" t="s">
        <v>1040</v>
      </c>
      <c r="F330" s="14" t="s">
        <v>1002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228</v>
      </c>
      <c r="P330" s="14" t="s">
        <v>260</v>
      </c>
      <c r="Q330" s="14" t="s">
        <v>260</v>
      </c>
      <c r="R330" s="14" t="s">
        <v>229</v>
      </c>
    </row>
    <row r="331" spans="1:18" s="14" customFormat="1" x14ac:dyDescent="0.25">
      <c r="A331" s="14" t="str">
        <f>"83082"</f>
        <v>83082</v>
      </c>
      <c r="B331" s="14" t="str">
        <f>"07010"</f>
        <v>07010</v>
      </c>
      <c r="C331" s="14" t="str">
        <f>"1800"</f>
        <v>1800</v>
      </c>
      <c r="D331" s="14" t="str">
        <f>""</f>
        <v/>
      </c>
      <c r="E331" s="14" t="s">
        <v>1041</v>
      </c>
      <c r="F331" s="14" t="s">
        <v>1002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228</v>
      </c>
      <c r="P331" s="14" t="s">
        <v>260</v>
      </c>
      <c r="Q331" s="14" t="s">
        <v>260</v>
      </c>
      <c r="R331" s="14" t="s">
        <v>229</v>
      </c>
    </row>
    <row r="332" spans="1:18" s="14" customFormat="1" x14ac:dyDescent="0.25">
      <c r="A332" s="14" t="str">
        <f>"83084"</f>
        <v>83084</v>
      </c>
      <c r="B332" s="14" t="str">
        <f>"07010"</f>
        <v>07010</v>
      </c>
      <c r="C332" s="14" t="str">
        <f>"1800"</f>
        <v>1800</v>
      </c>
      <c r="D332" s="14" t="str">
        <f>""</f>
        <v/>
      </c>
      <c r="E332" s="14" t="s">
        <v>1042</v>
      </c>
      <c r="F332" s="14" t="s">
        <v>1002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228</v>
      </c>
      <c r="P332" s="14" t="s">
        <v>260</v>
      </c>
      <c r="Q332" s="14" t="s">
        <v>260</v>
      </c>
      <c r="R332" s="14" t="s">
        <v>229</v>
      </c>
    </row>
    <row r="333" spans="1:18" s="14" customFormat="1" x14ac:dyDescent="0.25">
      <c r="A333" s="14" t="str">
        <f>"83086"</f>
        <v>83086</v>
      </c>
      <c r="B333" s="14" t="str">
        <f>"07010"</f>
        <v>07010</v>
      </c>
      <c r="C333" s="14" t="str">
        <f>"1800"</f>
        <v>1800</v>
      </c>
      <c r="D333" s="14" t="str">
        <f>""</f>
        <v/>
      </c>
      <c r="E333" s="14" t="s">
        <v>1043</v>
      </c>
      <c r="F333" s="14" t="s">
        <v>1002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228</v>
      </c>
      <c r="P333" s="14" t="s">
        <v>260</v>
      </c>
      <c r="Q333" s="14" t="s">
        <v>260</v>
      </c>
      <c r="R333" s="14" t="s">
        <v>229</v>
      </c>
    </row>
    <row r="334" spans="1:18" s="14" customFormat="1" x14ac:dyDescent="0.25">
      <c r="A334" s="14" t="str">
        <f>"83087"</f>
        <v>83087</v>
      </c>
      <c r="B334" s="14" t="str">
        <f>"07010"</f>
        <v>07010</v>
      </c>
      <c r="C334" s="14" t="str">
        <f>"1800"</f>
        <v>1800</v>
      </c>
      <c r="D334" s="14" t="str">
        <f>""</f>
        <v/>
      </c>
      <c r="E334" s="14" t="s">
        <v>1044</v>
      </c>
      <c r="F334" s="14" t="s">
        <v>1002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228</v>
      </c>
      <c r="P334" s="14" t="s">
        <v>260</v>
      </c>
      <c r="Q334" s="14" t="s">
        <v>260</v>
      </c>
      <c r="R334" s="14" t="s">
        <v>229</v>
      </c>
    </row>
    <row r="335" spans="1:18" s="14" customFormat="1" x14ac:dyDescent="0.25">
      <c r="A335" s="14" t="str">
        <f>"83088"</f>
        <v>83088</v>
      </c>
      <c r="B335" s="14" t="str">
        <f>"07010"</f>
        <v>07010</v>
      </c>
      <c r="C335" s="14" t="str">
        <f>"1800"</f>
        <v>1800</v>
      </c>
      <c r="D335" s="14" t="str">
        <f>""</f>
        <v/>
      </c>
      <c r="E335" s="14" t="s">
        <v>1045</v>
      </c>
      <c r="F335" s="14" t="s">
        <v>1002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228</v>
      </c>
      <c r="P335" s="14" t="s">
        <v>260</v>
      </c>
      <c r="Q335" s="14" t="s">
        <v>260</v>
      </c>
      <c r="R335" s="14" t="s">
        <v>229</v>
      </c>
    </row>
    <row r="336" spans="1:18" s="14" customFormat="1" x14ac:dyDescent="0.25">
      <c r="A336" s="14" t="str">
        <f>"83093"</f>
        <v>83093</v>
      </c>
      <c r="B336" s="14" t="str">
        <f>"07010"</f>
        <v>07010</v>
      </c>
      <c r="C336" s="14" t="str">
        <f>"1800"</f>
        <v>1800</v>
      </c>
      <c r="D336" s="14" t="str">
        <f>""</f>
        <v/>
      </c>
      <c r="E336" s="14" t="s">
        <v>1046</v>
      </c>
      <c r="F336" s="14" t="s">
        <v>1002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228</v>
      </c>
      <c r="P336" s="14" t="s">
        <v>260</v>
      </c>
      <c r="Q336" s="14" t="s">
        <v>260</v>
      </c>
      <c r="R336" s="14" t="s">
        <v>229</v>
      </c>
    </row>
    <row r="337" spans="1:18" s="14" customFormat="1" x14ac:dyDescent="0.25">
      <c r="A337" s="14" t="str">
        <f>"83094"</f>
        <v>83094</v>
      </c>
      <c r="B337" s="14" t="str">
        <f>"07010"</f>
        <v>07010</v>
      </c>
      <c r="C337" s="14" t="str">
        <f>"1800"</f>
        <v>1800</v>
      </c>
      <c r="D337" s="14" t="str">
        <f>""</f>
        <v/>
      </c>
      <c r="E337" s="14" t="s">
        <v>1047</v>
      </c>
      <c r="F337" s="14" t="s">
        <v>1002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228</v>
      </c>
      <c r="P337" s="14" t="s">
        <v>260</v>
      </c>
      <c r="Q337" s="14" t="s">
        <v>260</v>
      </c>
      <c r="R337" s="14" t="s">
        <v>229</v>
      </c>
    </row>
    <row r="338" spans="1:18" s="14" customFormat="1" x14ac:dyDescent="0.25">
      <c r="A338" s="14" t="str">
        <f>"83099"</f>
        <v>83099</v>
      </c>
      <c r="B338" s="14" t="str">
        <f>"07010"</f>
        <v>07010</v>
      </c>
      <c r="C338" s="14" t="str">
        <f>"1800"</f>
        <v>1800</v>
      </c>
      <c r="D338" s="14" t="str">
        <f>""</f>
        <v/>
      </c>
      <c r="E338" s="14" t="s">
        <v>1048</v>
      </c>
      <c r="F338" s="14" t="s">
        <v>1002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228</v>
      </c>
      <c r="P338" s="14" t="s">
        <v>260</v>
      </c>
      <c r="Q338" s="14" t="s">
        <v>260</v>
      </c>
      <c r="R338" s="14" t="s">
        <v>229</v>
      </c>
    </row>
    <row r="339" spans="1:18" s="14" customFormat="1" x14ac:dyDescent="0.25">
      <c r="A339" s="14" t="str">
        <f>"83100"</f>
        <v>83100</v>
      </c>
      <c r="B339" s="14" t="str">
        <f>"07010"</f>
        <v>07010</v>
      </c>
      <c r="C339" s="14" t="str">
        <f>"1800"</f>
        <v>1800</v>
      </c>
      <c r="D339" s="14" t="str">
        <f>""</f>
        <v/>
      </c>
      <c r="E339" s="14" t="s">
        <v>1049</v>
      </c>
      <c r="F339" s="14" t="s">
        <v>1002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228</v>
      </c>
      <c r="P339" s="14" t="s">
        <v>260</v>
      </c>
      <c r="Q339" s="14" t="s">
        <v>260</v>
      </c>
      <c r="R339" s="14" t="s">
        <v>229</v>
      </c>
    </row>
    <row r="340" spans="1:18" s="14" customFormat="1" x14ac:dyDescent="0.25">
      <c r="A340" s="14" t="str">
        <f>"83102"</f>
        <v>83102</v>
      </c>
      <c r="B340" s="14" t="str">
        <f>"07010"</f>
        <v>07010</v>
      </c>
      <c r="C340" s="14" t="str">
        <f>"1800"</f>
        <v>1800</v>
      </c>
      <c r="D340" s="14" t="str">
        <f>""</f>
        <v/>
      </c>
      <c r="E340" s="14" t="s">
        <v>1050</v>
      </c>
      <c r="F340" s="14" t="s">
        <v>1002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228</v>
      </c>
      <c r="P340" s="14" t="s">
        <v>260</v>
      </c>
      <c r="Q340" s="14" t="s">
        <v>260</v>
      </c>
      <c r="R340" s="14" t="s">
        <v>229</v>
      </c>
    </row>
    <row r="341" spans="1:18" s="14" customFormat="1" x14ac:dyDescent="0.25">
      <c r="A341" s="14" t="str">
        <f>"83103"</f>
        <v>83103</v>
      </c>
      <c r="B341" s="14" t="str">
        <f>"07010"</f>
        <v>07010</v>
      </c>
      <c r="C341" s="14" t="str">
        <f>"1800"</f>
        <v>1800</v>
      </c>
      <c r="D341" s="14" t="str">
        <f>""</f>
        <v/>
      </c>
      <c r="E341" s="14" t="s">
        <v>1051</v>
      </c>
      <c r="F341" s="14" t="s">
        <v>1002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228</v>
      </c>
      <c r="P341" s="14" t="s">
        <v>260</v>
      </c>
      <c r="Q341" s="14" t="s">
        <v>260</v>
      </c>
      <c r="R341" s="14" t="s">
        <v>229</v>
      </c>
    </row>
    <row r="342" spans="1:18" s="14" customFormat="1" x14ac:dyDescent="0.25">
      <c r="A342" s="14" t="str">
        <f>"83109"</f>
        <v>83109</v>
      </c>
      <c r="B342" s="14" t="str">
        <f>"07010"</f>
        <v>07010</v>
      </c>
      <c r="C342" s="14" t="str">
        <f>"1800"</f>
        <v>1800</v>
      </c>
      <c r="D342" s="14" t="str">
        <f>""</f>
        <v/>
      </c>
      <c r="E342" s="14" t="s">
        <v>1052</v>
      </c>
      <c r="F342" s="14" t="s">
        <v>1002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228</v>
      </c>
      <c r="P342" s="14" t="s">
        <v>260</v>
      </c>
      <c r="Q342" s="14" t="s">
        <v>260</v>
      </c>
      <c r="R342" s="14" t="s">
        <v>229</v>
      </c>
    </row>
    <row r="343" spans="1:18" s="14" customFormat="1" x14ac:dyDescent="0.25">
      <c r="A343" s="14" t="str">
        <f>"83111"</f>
        <v>83111</v>
      </c>
      <c r="B343" s="14" t="str">
        <f>"07010"</f>
        <v>07010</v>
      </c>
      <c r="C343" s="14" t="str">
        <f>"1800"</f>
        <v>1800</v>
      </c>
      <c r="D343" s="14" t="str">
        <f>""</f>
        <v/>
      </c>
      <c r="E343" s="14" t="s">
        <v>1053</v>
      </c>
      <c r="F343" s="14" t="s">
        <v>1002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228</v>
      </c>
      <c r="P343" s="14" t="s">
        <v>260</v>
      </c>
      <c r="Q343" s="14" t="s">
        <v>260</v>
      </c>
      <c r="R343" s="14" t="s">
        <v>229</v>
      </c>
    </row>
    <row r="344" spans="1:18" s="14" customFormat="1" x14ac:dyDescent="0.25">
      <c r="A344" s="14" t="str">
        <f>"83113"</f>
        <v>83113</v>
      </c>
      <c r="B344" s="14" t="str">
        <f>"07010"</f>
        <v>07010</v>
      </c>
      <c r="C344" s="14" t="str">
        <f>"1800"</f>
        <v>1800</v>
      </c>
      <c r="D344" s="14" t="str">
        <f>""</f>
        <v/>
      </c>
      <c r="E344" s="14" t="s">
        <v>1054</v>
      </c>
      <c r="F344" s="14" t="s">
        <v>1002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228</v>
      </c>
      <c r="P344" s="14" t="s">
        <v>260</v>
      </c>
      <c r="Q344" s="14" t="s">
        <v>260</v>
      </c>
      <c r="R344" s="14" t="s">
        <v>229</v>
      </c>
    </row>
    <row r="345" spans="1:18" s="14" customFormat="1" x14ac:dyDescent="0.25">
      <c r="A345" s="14" t="str">
        <f>"83115"</f>
        <v>83115</v>
      </c>
      <c r="B345" s="14" t="str">
        <f>"07010"</f>
        <v>07010</v>
      </c>
      <c r="C345" s="14" t="str">
        <f>"1800"</f>
        <v>1800</v>
      </c>
      <c r="D345" s="14" t="str">
        <f>""</f>
        <v/>
      </c>
      <c r="E345" s="14" t="s">
        <v>1055</v>
      </c>
      <c r="F345" s="14" t="s">
        <v>1002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228</v>
      </c>
      <c r="P345" s="14" t="s">
        <v>260</v>
      </c>
      <c r="Q345" s="14" t="s">
        <v>260</v>
      </c>
      <c r="R345" s="14" t="s">
        <v>229</v>
      </c>
    </row>
    <row r="346" spans="1:18" s="14" customFormat="1" x14ac:dyDescent="0.25">
      <c r="A346" s="14" t="str">
        <f>"83120"</f>
        <v>83120</v>
      </c>
      <c r="B346" s="14" t="str">
        <f>"07010"</f>
        <v>07010</v>
      </c>
      <c r="C346" s="14" t="str">
        <f>"1800"</f>
        <v>1800</v>
      </c>
      <c r="D346" s="14" t="str">
        <f>""</f>
        <v/>
      </c>
      <c r="E346" s="14" t="s">
        <v>1056</v>
      </c>
      <c r="F346" s="14" t="s">
        <v>1002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228</v>
      </c>
      <c r="P346" s="14" t="s">
        <v>260</v>
      </c>
      <c r="Q346" s="14" t="s">
        <v>260</v>
      </c>
      <c r="R346" s="14" t="s">
        <v>229</v>
      </c>
    </row>
    <row r="347" spans="1:18" s="14" customFormat="1" x14ac:dyDescent="0.25">
      <c r="A347" s="14" t="str">
        <f>"83122"</f>
        <v>83122</v>
      </c>
      <c r="B347" s="14" t="str">
        <f>"07010"</f>
        <v>07010</v>
      </c>
      <c r="C347" s="14" t="str">
        <f>"1800"</f>
        <v>1800</v>
      </c>
      <c r="D347" s="14" t="str">
        <f>""</f>
        <v/>
      </c>
      <c r="E347" s="14" t="s">
        <v>1057</v>
      </c>
      <c r="F347" s="14" t="s">
        <v>1002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228</v>
      </c>
      <c r="P347" s="14" t="s">
        <v>260</v>
      </c>
      <c r="Q347" s="14" t="s">
        <v>260</v>
      </c>
      <c r="R347" s="14" t="s">
        <v>229</v>
      </c>
    </row>
    <row r="348" spans="1:18" s="14" customFormat="1" x14ac:dyDescent="0.25">
      <c r="A348" s="14" t="str">
        <f>"83125"</f>
        <v>83125</v>
      </c>
      <c r="B348" s="14" t="str">
        <f>"07010"</f>
        <v>07010</v>
      </c>
      <c r="C348" s="14" t="str">
        <f>"1800"</f>
        <v>1800</v>
      </c>
      <c r="D348" s="14" t="str">
        <f>""</f>
        <v/>
      </c>
      <c r="E348" s="14" t="s">
        <v>1058</v>
      </c>
      <c r="F348" s="14" t="s">
        <v>1002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228</v>
      </c>
      <c r="P348" s="14" t="s">
        <v>260</v>
      </c>
      <c r="Q348" s="14" t="s">
        <v>260</v>
      </c>
      <c r="R348" s="14" t="s">
        <v>229</v>
      </c>
    </row>
    <row r="349" spans="1:18" s="14" customFormat="1" x14ac:dyDescent="0.25">
      <c r="A349" s="14" t="str">
        <f>"83130"</f>
        <v>83130</v>
      </c>
      <c r="B349" s="14" t="str">
        <f>"07010"</f>
        <v>07010</v>
      </c>
      <c r="C349" s="14" t="str">
        <f>"1800"</f>
        <v>1800</v>
      </c>
      <c r="D349" s="14" t="str">
        <f>""</f>
        <v/>
      </c>
      <c r="E349" s="14" t="s">
        <v>1059</v>
      </c>
      <c r="F349" s="14" t="s">
        <v>1002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228</v>
      </c>
      <c r="P349" s="14" t="s">
        <v>260</v>
      </c>
      <c r="Q349" s="14" t="s">
        <v>260</v>
      </c>
      <c r="R349" s="14" t="s">
        <v>229</v>
      </c>
    </row>
    <row r="350" spans="1:18" s="14" customFormat="1" x14ac:dyDescent="0.25">
      <c r="A350" s="14" t="str">
        <f>"83131"</f>
        <v>83131</v>
      </c>
      <c r="B350" s="14" t="str">
        <f>"07010"</f>
        <v>07010</v>
      </c>
      <c r="C350" s="14" t="str">
        <f>"1800"</f>
        <v>1800</v>
      </c>
      <c r="D350" s="14" t="str">
        <f>""</f>
        <v/>
      </c>
      <c r="E350" s="14" t="s">
        <v>1060</v>
      </c>
      <c r="F350" s="14" t="s">
        <v>1002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228</v>
      </c>
      <c r="P350" s="14" t="s">
        <v>260</v>
      </c>
      <c r="Q350" s="14" t="s">
        <v>260</v>
      </c>
      <c r="R350" s="14" t="s">
        <v>229</v>
      </c>
    </row>
    <row r="351" spans="1:18" s="14" customFormat="1" x14ac:dyDescent="0.25">
      <c r="A351" s="14" t="str">
        <f>"83132"</f>
        <v>83132</v>
      </c>
      <c r="B351" s="14" t="str">
        <f>"07010"</f>
        <v>07010</v>
      </c>
      <c r="C351" s="14" t="str">
        <f>"1800"</f>
        <v>1800</v>
      </c>
      <c r="D351" s="14" t="str">
        <f>""</f>
        <v/>
      </c>
      <c r="E351" s="14" t="s">
        <v>1061</v>
      </c>
      <c r="F351" s="14" t="s">
        <v>1002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228</v>
      </c>
      <c r="P351" s="14" t="s">
        <v>260</v>
      </c>
      <c r="Q351" s="14" t="s">
        <v>260</v>
      </c>
      <c r="R351" s="14" t="s">
        <v>229</v>
      </c>
    </row>
    <row r="352" spans="1:18" s="14" customFormat="1" x14ac:dyDescent="0.25">
      <c r="A352" s="14" t="str">
        <f>"83135"</f>
        <v>83135</v>
      </c>
      <c r="B352" s="14" t="str">
        <f>"07010"</f>
        <v>07010</v>
      </c>
      <c r="C352" s="14" t="str">
        <f>"1800"</f>
        <v>1800</v>
      </c>
      <c r="D352" s="14" t="str">
        <f>""</f>
        <v/>
      </c>
      <c r="E352" s="14" t="s">
        <v>1062</v>
      </c>
      <c r="F352" s="14" t="s">
        <v>1002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228</v>
      </c>
      <c r="P352" s="14" t="s">
        <v>260</v>
      </c>
      <c r="Q352" s="14" t="s">
        <v>260</v>
      </c>
      <c r="R352" s="14" t="s">
        <v>229</v>
      </c>
    </row>
    <row r="353" spans="1:18" s="14" customFormat="1" x14ac:dyDescent="0.25">
      <c r="A353" s="14" t="str">
        <f>"83137"</f>
        <v>83137</v>
      </c>
      <c r="B353" s="14" t="str">
        <f>"07010"</f>
        <v>07010</v>
      </c>
      <c r="C353" s="14" t="str">
        <f>"1800"</f>
        <v>1800</v>
      </c>
      <c r="D353" s="14" t="str">
        <f>""</f>
        <v/>
      </c>
      <c r="E353" s="14" t="s">
        <v>1063</v>
      </c>
      <c r="F353" s="14" t="s">
        <v>1002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228</v>
      </c>
      <c r="P353" s="14" t="s">
        <v>260</v>
      </c>
      <c r="Q353" s="14" t="s">
        <v>260</v>
      </c>
      <c r="R353" s="14" t="s">
        <v>229</v>
      </c>
    </row>
    <row r="354" spans="1:18" s="14" customFormat="1" x14ac:dyDescent="0.25">
      <c r="A354" s="14" t="str">
        <f>"83138"</f>
        <v>83138</v>
      </c>
      <c r="B354" s="14" t="str">
        <f>"07010"</f>
        <v>07010</v>
      </c>
      <c r="C354" s="14" t="str">
        <f>"1800"</f>
        <v>1800</v>
      </c>
      <c r="D354" s="14" t="str">
        <f>""</f>
        <v/>
      </c>
      <c r="E354" s="14" t="s">
        <v>1064</v>
      </c>
      <c r="F354" s="14" t="s">
        <v>1002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228</v>
      </c>
      <c r="P354" s="14" t="s">
        <v>260</v>
      </c>
      <c r="Q354" s="14" t="s">
        <v>260</v>
      </c>
      <c r="R354" s="14" t="s">
        <v>229</v>
      </c>
    </row>
    <row r="355" spans="1:18" s="14" customFormat="1" x14ac:dyDescent="0.25">
      <c r="A355" s="14" t="str">
        <f>"83139"</f>
        <v>83139</v>
      </c>
      <c r="B355" s="14" t="str">
        <f>"07010"</f>
        <v>07010</v>
      </c>
      <c r="C355" s="14" t="str">
        <f>"1800"</f>
        <v>1800</v>
      </c>
      <c r="D355" s="14" t="str">
        <f>""</f>
        <v/>
      </c>
      <c r="E355" s="14" t="s">
        <v>1065</v>
      </c>
      <c r="F355" s="14" t="s">
        <v>1002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228</v>
      </c>
      <c r="P355" s="14" t="s">
        <v>260</v>
      </c>
      <c r="Q355" s="14" t="s">
        <v>260</v>
      </c>
      <c r="R355" s="14" t="s">
        <v>229</v>
      </c>
    </row>
    <row r="356" spans="1:18" s="14" customFormat="1" x14ac:dyDescent="0.25">
      <c r="A356" s="14" t="str">
        <f>"83140"</f>
        <v>83140</v>
      </c>
      <c r="B356" s="14" t="str">
        <f>"07010"</f>
        <v>07010</v>
      </c>
      <c r="C356" s="14" t="str">
        <f>"1800"</f>
        <v>1800</v>
      </c>
      <c r="D356" s="14" t="str">
        <f>""</f>
        <v/>
      </c>
      <c r="E356" s="14" t="s">
        <v>1066</v>
      </c>
      <c r="F356" s="14" t="s">
        <v>1002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228</v>
      </c>
      <c r="P356" s="14" t="s">
        <v>260</v>
      </c>
      <c r="Q356" s="14" t="s">
        <v>260</v>
      </c>
      <c r="R356" s="14" t="s">
        <v>229</v>
      </c>
    </row>
    <row r="357" spans="1:18" s="14" customFormat="1" x14ac:dyDescent="0.25">
      <c r="A357" s="14" t="str">
        <f>"83141"</f>
        <v>83141</v>
      </c>
      <c r="B357" s="14" t="str">
        <f>"07010"</f>
        <v>07010</v>
      </c>
      <c r="C357" s="14" t="str">
        <f>"1800"</f>
        <v>1800</v>
      </c>
      <c r="D357" s="14" t="str">
        <f>""</f>
        <v/>
      </c>
      <c r="E357" s="14" t="s">
        <v>1067</v>
      </c>
      <c r="F357" s="14" t="s">
        <v>1002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228</v>
      </c>
      <c r="P357" s="14" t="s">
        <v>260</v>
      </c>
      <c r="Q357" s="14" t="s">
        <v>260</v>
      </c>
      <c r="R357" s="14" t="s">
        <v>229</v>
      </c>
    </row>
    <row r="358" spans="1:18" s="14" customFormat="1" x14ac:dyDescent="0.25">
      <c r="A358" s="14" t="str">
        <f>"83142"</f>
        <v>83142</v>
      </c>
      <c r="B358" s="14" t="str">
        <f>"07010"</f>
        <v>07010</v>
      </c>
      <c r="C358" s="14" t="str">
        <f>"1800"</f>
        <v>1800</v>
      </c>
      <c r="D358" s="14" t="str">
        <f>""</f>
        <v/>
      </c>
      <c r="E358" s="14" t="s">
        <v>1068</v>
      </c>
      <c r="F358" s="14" t="s">
        <v>1002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228</v>
      </c>
      <c r="P358" s="14" t="s">
        <v>260</v>
      </c>
      <c r="Q358" s="14" t="s">
        <v>260</v>
      </c>
      <c r="R358" s="14" t="s">
        <v>229</v>
      </c>
    </row>
    <row r="359" spans="1:18" s="14" customFormat="1" x14ac:dyDescent="0.25">
      <c r="A359" s="14" t="str">
        <f>"83147"</f>
        <v>83147</v>
      </c>
      <c r="B359" s="14" t="str">
        <f>"07010"</f>
        <v>07010</v>
      </c>
      <c r="C359" s="14" t="str">
        <f>"1800"</f>
        <v>1800</v>
      </c>
      <c r="D359" s="14" t="str">
        <f>""</f>
        <v/>
      </c>
      <c r="E359" s="14" t="s">
        <v>1069</v>
      </c>
      <c r="F359" s="14" t="s">
        <v>1002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228</v>
      </c>
      <c r="P359" s="14" t="s">
        <v>260</v>
      </c>
      <c r="Q359" s="14" t="s">
        <v>260</v>
      </c>
      <c r="R359" s="14" t="s">
        <v>229</v>
      </c>
    </row>
    <row r="360" spans="1:18" s="14" customFormat="1" x14ac:dyDescent="0.25">
      <c r="A360" s="14" t="str">
        <f>"83150"</f>
        <v>83150</v>
      </c>
      <c r="B360" s="14" t="str">
        <f>"07010"</f>
        <v>07010</v>
      </c>
      <c r="C360" s="14" t="str">
        <f>"1800"</f>
        <v>1800</v>
      </c>
      <c r="D360" s="14" t="str">
        <f>""</f>
        <v/>
      </c>
      <c r="E360" s="14" t="s">
        <v>1070</v>
      </c>
      <c r="F360" s="14" t="s">
        <v>1002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228</v>
      </c>
      <c r="P360" s="14" t="s">
        <v>260</v>
      </c>
      <c r="Q360" s="14" t="s">
        <v>260</v>
      </c>
      <c r="R360" s="14" t="s">
        <v>229</v>
      </c>
    </row>
    <row r="361" spans="1:18" s="14" customFormat="1" x14ac:dyDescent="0.25">
      <c r="A361" s="14" t="str">
        <f>"83154"</f>
        <v>83154</v>
      </c>
      <c r="B361" s="14" t="str">
        <f>"07010"</f>
        <v>07010</v>
      </c>
      <c r="C361" s="14" t="str">
        <f>"1800"</f>
        <v>1800</v>
      </c>
      <c r="D361" s="14" t="str">
        <f>""</f>
        <v/>
      </c>
      <c r="E361" s="14" t="s">
        <v>1071</v>
      </c>
      <c r="F361" s="14" t="s">
        <v>1002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228</v>
      </c>
      <c r="P361" s="14" t="s">
        <v>260</v>
      </c>
      <c r="Q361" s="14" t="s">
        <v>260</v>
      </c>
      <c r="R361" s="14" t="s">
        <v>229</v>
      </c>
    </row>
    <row r="362" spans="1:18" s="14" customFormat="1" x14ac:dyDescent="0.25">
      <c r="A362" s="14" t="str">
        <f>"83156"</f>
        <v>83156</v>
      </c>
      <c r="B362" s="14" t="str">
        <f>"07010"</f>
        <v>07010</v>
      </c>
      <c r="C362" s="14" t="str">
        <f>"1800"</f>
        <v>1800</v>
      </c>
      <c r="D362" s="14" t="str">
        <f>""</f>
        <v/>
      </c>
      <c r="E362" s="14" t="s">
        <v>1072</v>
      </c>
      <c r="F362" s="14" t="s">
        <v>1002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228</v>
      </c>
      <c r="P362" s="14" t="s">
        <v>260</v>
      </c>
      <c r="Q362" s="14" t="s">
        <v>260</v>
      </c>
      <c r="R362" s="14" t="s">
        <v>229</v>
      </c>
    </row>
    <row r="363" spans="1:18" s="14" customFormat="1" x14ac:dyDescent="0.25">
      <c r="A363" s="14" t="str">
        <f>"83159"</f>
        <v>83159</v>
      </c>
      <c r="B363" s="14" t="str">
        <f>"07010"</f>
        <v>07010</v>
      </c>
      <c r="C363" s="14" t="str">
        <f>"1800"</f>
        <v>1800</v>
      </c>
      <c r="D363" s="14" t="str">
        <f>""</f>
        <v/>
      </c>
      <c r="E363" s="14" t="s">
        <v>1073</v>
      </c>
      <c r="F363" s="14" t="s">
        <v>1002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228</v>
      </c>
      <c r="P363" s="14" t="s">
        <v>260</v>
      </c>
      <c r="Q363" s="14" t="s">
        <v>260</v>
      </c>
      <c r="R363" s="14" t="s">
        <v>229</v>
      </c>
    </row>
    <row r="364" spans="1:18" s="14" customFormat="1" x14ac:dyDescent="0.25">
      <c r="A364" s="14" t="str">
        <f>"83160"</f>
        <v>83160</v>
      </c>
      <c r="B364" s="14" t="str">
        <f>"07010"</f>
        <v>07010</v>
      </c>
      <c r="C364" s="14" t="str">
        <f>"1800"</f>
        <v>1800</v>
      </c>
      <c r="D364" s="14" t="str">
        <f>""</f>
        <v/>
      </c>
      <c r="E364" s="14" t="s">
        <v>1074</v>
      </c>
      <c r="F364" s="14" t="s">
        <v>1002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228</v>
      </c>
      <c r="P364" s="14" t="s">
        <v>260</v>
      </c>
      <c r="Q364" s="14" t="s">
        <v>260</v>
      </c>
      <c r="R364" s="14" t="s">
        <v>229</v>
      </c>
    </row>
    <row r="365" spans="1:18" s="14" customFormat="1" x14ac:dyDescent="0.25">
      <c r="A365" s="14" t="str">
        <f>"83161"</f>
        <v>83161</v>
      </c>
      <c r="B365" s="14" t="str">
        <f>"07010"</f>
        <v>07010</v>
      </c>
      <c r="C365" s="14" t="str">
        <f>"1800"</f>
        <v>1800</v>
      </c>
      <c r="D365" s="14" t="str">
        <f>""</f>
        <v/>
      </c>
      <c r="E365" s="14" t="s">
        <v>1075</v>
      </c>
      <c r="F365" s="14" t="s">
        <v>1002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228</v>
      </c>
      <c r="P365" s="14" t="s">
        <v>260</v>
      </c>
      <c r="Q365" s="14" t="s">
        <v>260</v>
      </c>
      <c r="R365" s="14" t="s">
        <v>229</v>
      </c>
    </row>
    <row r="366" spans="1:18" s="14" customFormat="1" x14ac:dyDescent="0.25">
      <c r="A366" s="14" t="str">
        <f>"83164"</f>
        <v>83164</v>
      </c>
      <c r="B366" s="14" t="str">
        <f>"07010"</f>
        <v>07010</v>
      </c>
      <c r="C366" s="14" t="str">
        <f>"1800"</f>
        <v>1800</v>
      </c>
      <c r="D366" s="14" t="str">
        <f>""</f>
        <v/>
      </c>
      <c r="E366" s="14" t="s">
        <v>1076</v>
      </c>
      <c r="F366" s="14" t="s">
        <v>1002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228</v>
      </c>
      <c r="P366" s="14" t="s">
        <v>260</v>
      </c>
      <c r="Q366" s="14" t="s">
        <v>260</v>
      </c>
      <c r="R366" s="14" t="s">
        <v>229</v>
      </c>
    </row>
    <row r="367" spans="1:18" s="14" customFormat="1" x14ac:dyDescent="0.25">
      <c r="A367" s="14" t="str">
        <f>"83167"</f>
        <v>83167</v>
      </c>
      <c r="B367" s="14" t="str">
        <f>"07010"</f>
        <v>07010</v>
      </c>
      <c r="C367" s="14" t="str">
        <f>"1800"</f>
        <v>1800</v>
      </c>
      <c r="D367" s="14" t="str">
        <f>""</f>
        <v/>
      </c>
      <c r="E367" s="14" t="s">
        <v>1077</v>
      </c>
      <c r="F367" s="14" t="s">
        <v>1002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228</v>
      </c>
      <c r="P367" s="14" t="s">
        <v>260</v>
      </c>
      <c r="Q367" s="14" t="s">
        <v>260</v>
      </c>
      <c r="R367" s="14" t="s">
        <v>229</v>
      </c>
    </row>
    <row r="368" spans="1:18" s="14" customFormat="1" x14ac:dyDescent="0.25">
      <c r="A368" s="14" t="str">
        <f>"83168"</f>
        <v>83168</v>
      </c>
      <c r="B368" s="14" t="str">
        <f>"07010"</f>
        <v>07010</v>
      </c>
      <c r="C368" s="14" t="str">
        <f>"1800"</f>
        <v>1800</v>
      </c>
      <c r="D368" s="14" t="str">
        <f>""</f>
        <v/>
      </c>
      <c r="E368" s="14" t="s">
        <v>1078</v>
      </c>
      <c r="F368" s="14" t="s">
        <v>1002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228</v>
      </c>
      <c r="P368" s="14" t="s">
        <v>260</v>
      </c>
      <c r="Q368" s="14" t="s">
        <v>260</v>
      </c>
      <c r="R368" s="14" t="s">
        <v>229</v>
      </c>
    </row>
    <row r="369" spans="1:18" s="14" customFormat="1" x14ac:dyDescent="0.25">
      <c r="A369" s="14" t="str">
        <f>"83172"</f>
        <v>83172</v>
      </c>
      <c r="B369" s="14" t="str">
        <f>"07010"</f>
        <v>07010</v>
      </c>
      <c r="C369" s="14" t="str">
        <f>"1800"</f>
        <v>1800</v>
      </c>
      <c r="D369" s="14" t="str">
        <f>""</f>
        <v/>
      </c>
      <c r="E369" s="14" t="s">
        <v>1079</v>
      </c>
      <c r="F369" s="14" t="s">
        <v>1002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228</v>
      </c>
      <c r="P369" s="14" t="s">
        <v>260</v>
      </c>
      <c r="Q369" s="14" t="s">
        <v>260</v>
      </c>
      <c r="R369" s="14" t="s">
        <v>229</v>
      </c>
    </row>
    <row r="370" spans="1:18" s="14" customFormat="1" x14ac:dyDescent="0.25">
      <c r="A370" s="14" t="str">
        <f>"83175"</f>
        <v>83175</v>
      </c>
      <c r="B370" s="14" t="str">
        <f>"07010"</f>
        <v>07010</v>
      </c>
      <c r="C370" s="14" t="str">
        <f>"1800"</f>
        <v>1800</v>
      </c>
      <c r="D370" s="14" t="str">
        <f>""</f>
        <v/>
      </c>
      <c r="E370" s="14" t="s">
        <v>1080</v>
      </c>
      <c r="F370" s="14" t="s">
        <v>1002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228</v>
      </c>
      <c r="P370" s="14" t="s">
        <v>260</v>
      </c>
      <c r="Q370" s="14" t="s">
        <v>260</v>
      </c>
      <c r="R370" s="14" t="s">
        <v>229</v>
      </c>
    </row>
    <row r="371" spans="1:18" s="14" customFormat="1" x14ac:dyDescent="0.25">
      <c r="A371" s="14" t="str">
        <f>"83177"</f>
        <v>83177</v>
      </c>
      <c r="B371" s="14" t="str">
        <f>"07010"</f>
        <v>07010</v>
      </c>
      <c r="C371" s="14" t="str">
        <f>"1800"</f>
        <v>1800</v>
      </c>
      <c r="D371" s="14" t="str">
        <f>""</f>
        <v/>
      </c>
      <c r="E371" s="14" t="s">
        <v>1081</v>
      </c>
      <c r="F371" s="14" t="s">
        <v>1002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228</v>
      </c>
      <c r="P371" s="14" t="s">
        <v>260</v>
      </c>
      <c r="Q371" s="14" t="s">
        <v>260</v>
      </c>
      <c r="R371" s="14" t="s">
        <v>229</v>
      </c>
    </row>
    <row r="372" spans="1:18" s="14" customFormat="1" x14ac:dyDescent="0.25">
      <c r="A372" s="14" t="str">
        <f>"83178"</f>
        <v>83178</v>
      </c>
      <c r="B372" s="14" t="str">
        <f>"07010"</f>
        <v>07010</v>
      </c>
      <c r="C372" s="14" t="str">
        <f>"1800"</f>
        <v>1800</v>
      </c>
      <c r="D372" s="14" t="str">
        <f>""</f>
        <v/>
      </c>
      <c r="E372" s="14" t="s">
        <v>1082</v>
      </c>
      <c r="F372" s="14" t="s">
        <v>1002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228</v>
      </c>
      <c r="P372" s="14" t="s">
        <v>260</v>
      </c>
      <c r="Q372" s="14" t="s">
        <v>260</v>
      </c>
      <c r="R372" s="14" t="s">
        <v>229</v>
      </c>
    </row>
    <row r="373" spans="1:18" s="14" customFormat="1" x14ac:dyDescent="0.25">
      <c r="A373" s="14" t="str">
        <f>"83179"</f>
        <v>83179</v>
      </c>
      <c r="B373" s="14" t="str">
        <f>"07010"</f>
        <v>07010</v>
      </c>
      <c r="C373" s="14" t="str">
        <f>"1800"</f>
        <v>1800</v>
      </c>
      <c r="D373" s="14" t="str">
        <f>""</f>
        <v/>
      </c>
      <c r="E373" s="14" t="s">
        <v>1083</v>
      </c>
      <c r="F373" s="14" t="s">
        <v>1002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228</v>
      </c>
      <c r="P373" s="14" t="s">
        <v>260</v>
      </c>
      <c r="Q373" s="14" t="s">
        <v>260</v>
      </c>
      <c r="R373" s="14" t="s">
        <v>229</v>
      </c>
    </row>
    <row r="374" spans="1:18" s="14" customFormat="1" x14ac:dyDescent="0.25">
      <c r="A374" s="14" t="str">
        <f>"83186"</f>
        <v>83186</v>
      </c>
      <c r="B374" s="14" t="str">
        <f>"07010"</f>
        <v>07010</v>
      </c>
      <c r="C374" s="14" t="str">
        <f>"1800"</f>
        <v>1800</v>
      </c>
      <c r="D374" s="14" t="str">
        <f>""</f>
        <v/>
      </c>
      <c r="E374" s="14" t="s">
        <v>1084</v>
      </c>
      <c r="F374" s="14" t="s">
        <v>1002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228</v>
      </c>
      <c r="P374" s="14" t="s">
        <v>260</v>
      </c>
      <c r="Q374" s="14" t="s">
        <v>260</v>
      </c>
      <c r="R374" s="14" t="s">
        <v>229</v>
      </c>
    </row>
    <row r="375" spans="1:18" s="14" customFormat="1" x14ac:dyDescent="0.25">
      <c r="A375" s="14" t="str">
        <f>"83188"</f>
        <v>83188</v>
      </c>
      <c r="B375" s="14" t="str">
        <f>"07010"</f>
        <v>07010</v>
      </c>
      <c r="C375" s="14" t="str">
        <f>"1800"</f>
        <v>1800</v>
      </c>
      <c r="D375" s="14" t="str">
        <f>""</f>
        <v/>
      </c>
      <c r="E375" s="14" t="s">
        <v>1085</v>
      </c>
      <c r="F375" s="14" t="s">
        <v>1002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228</v>
      </c>
      <c r="P375" s="14" t="s">
        <v>260</v>
      </c>
      <c r="Q375" s="14" t="s">
        <v>260</v>
      </c>
      <c r="R375" s="14" t="s">
        <v>229</v>
      </c>
    </row>
    <row r="376" spans="1:18" s="14" customFormat="1" x14ac:dyDescent="0.25">
      <c r="A376" s="14" t="str">
        <f>"83189"</f>
        <v>83189</v>
      </c>
      <c r="B376" s="14" t="str">
        <f>"07010"</f>
        <v>07010</v>
      </c>
      <c r="C376" s="14" t="str">
        <f>"1800"</f>
        <v>1800</v>
      </c>
      <c r="D376" s="14" t="str">
        <f>""</f>
        <v/>
      </c>
      <c r="E376" s="14" t="s">
        <v>1086</v>
      </c>
      <c r="F376" s="14" t="s">
        <v>1002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228</v>
      </c>
      <c r="P376" s="14" t="s">
        <v>260</v>
      </c>
      <c r="Q376" s="14" t="s">
        <v>260</v>
      </c>
      <c r="R376" s="14" t="s">
        <v>229</v>
      </c>
    </row>
    <row r="377" spans="1:18" s="14" customFormat="1" x14ac:dyDescent="0.25">
      <c r="A377" s="14" t="str">
        <f>"83191"</f>
        <v>83191</v>
      </c>
      <c r="B377" s="14" t="str">
        <f>"07010"</f>
        <v>07010</v>
      </c>
      <c r="C377" s="14" t="str">
        <f>"1800"</f>
        <v>1800</v>
      </c>
      <c r="D377" s="14" t="str">
        <f>""</f>
        <v/>
      </c>
      <c r="E377" s="14" t="s">
        <v>1087</v>
      </c>
      <c r="F377" s="14" t="s">
        <v>1002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228</v>
      </c>
      <c r="P377" s="14" t="s">
        <v>260</v>
      </c>
      <c r="Q377" s="14" t="s">
        <v>260</v>
      </c>
      <c r="R377" s="14" t="s">
        <v>229</v>
      </c>
    </row>
    <row r="378" spans="1:18" s="14" customFormat="1" x14ac:dyDescent="0.25">
      <c r="A378" s="14" t="str">
        <f>"83193"</f>
        <v>83193</v>
      </c>
      <c r="B378" s="14" t="str">
        <f>"07010"</f>
        <v>07010</v>
      </c>
      <c r="C378" s="14" t="str">
        <f>"1800"</f>
        <v>1800</v>
      </c>
      <c r="D378" s="14" t="str">
        <f>""</f>
        <v/>
      </c>
      <c r="E378" s="14" t="s">
        <v>1088</v>
      </c>
      <c r="F378" s="14" t="s">
        <v>1002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228</v>
      </c>
      <c r="P378" s="14" t="s">
        <v>260</v>
      </c>
      <c r="Q378" s="14" t="s">
        <v>260</v>
      </c>
      <c r="R378" s="14" t="s">
        <v>229</v>
      </c>
    </row>
    <row r="379" spans="1:18" s="14" customFormat="1" x14ac:dyDescent="0.25">
      <c r="A379" s="14" t="str">
        <f>"83194"</f>
        <v>83194</v>
      </c>
      <c r="B379" s="14" t="str">
        <f>"07010"</f>
        <v>07010</v>
      </c>
      <c r="C379" s="14" t="str">
        <f>"1800"</f>
        <v>1800</v>
      </c>
      <c r="D379" s="14" t="str">
        <f>""</f>
        <v/>
      </c>
      <c r="E379" s="14" t="s">
        <v>1089</v>
      </c>
      <c r="F379" s="14" t="s">
        <v>1002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228</v>
      </c>
      <c r="P379" s="14" t="s">
        <v>260</v>
      </c>
      <c r="Q379" s="14" t="s">
        <v>260</v>
      </c>
      <c r="R379" s="14" t="s">
        <v>229</v>
      </c>
    </row>
    <row r="380" spans="1:18" s="14" customFormat="1" x14ac:dyDescent="0.25">
      <c r="A380" s="14" t="str">
        <f>"83197"</f>
        <v>83197</v>
      </c>
      <c r="B380" s="14" t="str">
        <f>"07010"</f>
        <v>07010</v>
      </c>
      <c r="C380" s="14" t="str">
        <f>"1800"</f>
        <v>1800</v>
      </c>
      <c r="D380" s="14" t="str">
        <f>""</f>
        <v/>
      </c>
      <c r="E380" s="14" t="s">
        <v>1090</v>
      </c>
      <c r="F380" s="14" t="s">
        <v>1002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228</v>
      </c>
      <c r="P380" s="14" t="s">
        <v>260</v>
      </c>
      <c r="Q380" s="14" t="s">
        <v>260</v>
      </c>
      <c r="R380" s="14" t="s">
        <v>229</v>
      </c>
    </row>
    <row r="381" spans="1:18" s="14" customFormat="1" x14ac:dyDescent="0.25">
      <c r="A381" s="14" t="str">
        <f>"83200"</f>
        <v>83200</v>
      </c>
      <c r="B381" s="14" t="str">
        <f>"07010"</f>
        <v>07010</v>
      </c>
      <c r="C381" s="14" t="str">
        <f>"1800"</f>
        <v>1800</v>
      </c>
      <c r="D381" s="14" t="str">
        <f>""</f>
        <v/>
      </c>
      <c r="E381" s="14" t="s">
        <v>1091</v>
      </c>
      <c r="F381" s="14" t="s">
        <v>1002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228</v>
      </c>
      <c r="P381" s="14" t="s">
        <v>260</v>
      </c>
      <c r="Q381" s="14" t="s">
        <v>260</v>
      </c>
      <c r="R381" s="14" t="s">
        <v>229</v>
      </c>
    </row>
    <row r="382" spans="1:18" s="14" customFormat="1" x14ac:dyDescent="0.25">
      <c r="A382" s="14" t="str">
        <f>"83202"</f>
        <v>83202</v>
      </c>
      <c r="B382" s="14" t="str">
        <f>"07010"</f>
        <v>07010</v>
      </c>
      <c r="C382" s="14" t="str">
        <f>"1800"</f>
        <v>1800</v>
      </c>
      <c r="D382" s="14" t="str">
        <f>""</f>
        <v/>
      </c>
      <c r="E382" s="14" t="s">
        <v>1092</v>
      </c>
      <c r="F382" s="14" t="s">
        <v>1002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228</v>
      </c>
      <c r="P382" s="14" t="s">
        <v>260</v>
      </c>
      <c r="Q382" s="14" t="s">
        <v>260</v>
      </c>
      <c r="R382" s="14" t="s">
        <v>229</v>
      </c>
    </row>
    <row r="383" spans="1:18" s="14" customFormat="1" x14ac:dyDescent="0.25">
      <c r="A383" s="14" t="str">
        <f>"83204"</f>
        <v>83204</v>
      </c>
      <c r="B383" s="14" t="str">
        <f>"07010"</f>
        <v>07010</v>
      </c>
      <c r="C383" s="14" t="str">
        <f>"1800"</f>
        <v>1800</v>
      </c>
      <c r="D383" s="14" t="str">
        <f>""</f>
        <v/>
      </c>
      <c r="E383" s="14" t="s">
        <v>1093</v>
      </c>
      <c r="F383" s="14" t="s">
        <v>1002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228</v>
      </c>
      <c r="P383" s="14" t="s">
        <v>260</v>
      </c>
      <c r="Q383" s="14" t="s">
        <v>260</v>
      </c>
      <c r="R383" s="14" t="s">
        <v>229</v>
      </c>
    </row>
    <row r="384" spans="1:18" s="14" customFormat="1" x14ac:dyDescent="0.25">
      <c r="A384" s="14" t="str">
        <f>"83205"</f>
        <v>83205</v>
      </c>
      <c r="B384" s="14" t="str">
        <f>"07010"</f>
        <v>07010</v>
      </c>
      <c r="C384" s="14" t="str">
        <f>"1800"</f>
        <v>1800</v>
      </c>
      <c r="D384" s="14" t="str">
        <f>""</f>
        <v/>
      </c>
      <c r="E384" s="14" t="s">
        <v>1094</v>
      </c>
      <c r="F384" s="14" t="s">
        <v>1002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228</v>
      </c>
      <c r="P384" s="14" t="s">
        <v>260</v>
      </c>
      <c r="Q384" s="14" t="s">
        <v>260</v>
      </c>
      <c r="R384" s="14" t="s">
        <v>229</v>
      </c>
    </row>
    <row r="385" spans="1:18" s="14" customFormat="1" x14ac:dyDescent="0.25">
      <c r="A385" s="14" t="str">
        <f>"83206"</f>
        <v>83206</v>
      </c>
      <c r="B385" s="14" t="str">
        <f>"07010"</f>
        <v>07010</v>
      </c>
      <c r="C385" s="14" t="str">
        <f>"1800"</f>
        <v>1800</v>
      </c>
      <c r="D385" s="14" t="str">
        <f>""</f>
        <v/>
      </c>
      <c r="E385" s="14" t="s">
        <v>1095</v>
      </c>
      <c r="F385" s="14" t="s">
        <v>1002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228</v>
      </c>
      <c r="P385" s="14" t="s">
        <v>260</v>
      </c>
      <c r="Q385" s="14" t="s">
        <v>260</v>
      </c>
      <c r="R385" s="14" t="s">
        <v>229</v>
      </c>
    </row>
    <row r="386" spans="1:18" s="14" customFormat="1" x14ac:dyDescent="0.25">
      <c r="A386" s="14" t="str">
        <f>"83207"</f>
        <v>83207</v>
      </c>
      <c r="B386" s="14" t="str">
        <f>"07010"</f>
        <v>07010</v>
      </c>
      <c r="C386" s="14" t="str">
        <f>"1800"</f>
        <v>1800</v>
      </c>
      <c r="D386" s="14" t="str">
        <f>""</f>
        <v/>
      </c>
      <c r="E386" s="14" t="s">
        <v>1096</v>
      </c>
      <c r="F386" s="14" t="s">
        <v>1002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228</v>
      </c>
      <c r="P386" s="14" t="s">
        <v>260</v>
      </c>
      <c r="Q386" s="14" t="s">
        <v>260</v>
      </c>
      <c r="R386" s="14" t="s">
        <v>229</v>
      </c>
    </row>
    <row r="387" spans="1:18" s="14" customFormat="1" x14ac:dyDescent="0.25">
      <c r="A387" s="14" t="str">
        <f>"83210"</f>
        <v>83210</v>
      </c>
      <c r="B387" s="14" t="str">
        <f>"07010"</f>
        <v>07010</v>
      </c>
      <c r="C387" s="14" t="str">
        <f>"1800"</f>
        <v>1800</v>
      </c>
      <c r="D387" s="14" t="str">
        <f>""</f>
        <v/>
      </c>
      <c r="E387" s="14" t="s">
        <v>1097</v>
      </c>
      <c r="F387" s="14" t="s">
        <v>1002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228</v>
      </c>
      <c r="P387" s="14" t="s">
        <v>260</v>
      </c>
      <c r="Q387" s="14" t="s">
        <v>260</v>
      </c>
      <c r="R387" s="14" t="s">
        <v>229</v>
      </c>
    </row>
    <row r="388" spans="1:18" s="14" customFormat="1" x14ac:dyDescent="0.25">
      <c r="A388" s="14" t="str">
        <f>"83214"</f>
        <v>83214</v>
      </c>
      <c r="B388" s="14" t="str">
        <f>"07010"</f>
        <v>07010</v>
      </c>
      <c r="C388" s="14" t="str">
        <f>"1800"</f>
        <v>1800</v>
      </c>
      <c r="D388" s="14" t="str">
        <f>""</f>
        <v/>
      </c>
      <c r="E388" s="14" t="s">
        <v>1098</v>
      </c>
      <c r="F388" s="14" t="s">
        <v>1002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228</v>
      </c>
      <c r="P388" s="14" t="s">
        <v>260</v>
      </c>
      <c r="Q388" s="14" t="s">
        <v>260</v>
      </c>
      <c r="R388" s="14" t="s">
        <v>229</v>
      </c>
    </row>
    <row r="389" spans="1:18" s="14" customFormat="1" x14ac:dyDescent="0.25">
      <c r="A389" s="14" t="str">
        <f>"83215"</f>
        <v>83215</v>
      </c>
      <c r="B389" s="14" t="str">
        <f>"07010"</f>
        <v>07010</v>
      </c>
      <c r="C389" s="14" t="str">
        <f>"1800"</f>
        <v>1800</v>
      </c>
      <c r="D389" s="14" t="str">
        <f>""</f>
        <v/>
      </c>
      <c r="E389" s="14" t="s">
        <v>1099</v>
      </c>
      <c r="F389" s="14" t="s">
        <v>1002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228</v>
      </c>
      <c r="P389" s="14" t="s">
        <v>260</v>
      </c>
      <c r="Q389" s="14" t="s">
        <v>260</v>
      </c>
      <c r="R389" s="14" t="s">
        <v>229</v>
      </c>
    </row>
    <row r="390" spans="1:18" s="14" customFormat="1" x14ac:dyDescent="0.25">
      <c r="A390" s="14" t="str">
        <f>"83216"</f>
        <v>83216</v>
      </c>
      <c r="B390" s="14" t="str">
        <f>"07010"</f>
        <v>07010</v>
      </c>
      <c r="C390" s="14" t="str">
        <f>"1800"</f>
        <v>1800</v>
      </c>
      <c r="D390" s="14" t="str">
        <f>""</f>
        <v/>
      </c>
      <c r="E390" s="14" t="s">
        <v>1100</v>
      </c>
      <c r="F390" s="14" t="s">
        <v>1002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228</v>
      </c>
      <c r="P390" s="14" t="s">
        <v>260</v>
      </c>
      <c r="Q390" s="14" t="s">
        <v>260</v>
      </c>
      <c r="R390" s="14" t="s">
        <v>229</v>
      </c>
    </row>
    <row r="391" spans="1:18" s="14" customFormat="1" x14ac:dyDescent="0.25">
      <c r="A391" s="14" t="str">
        <f>"83217"</f>
        <v>83217</v>
      </c>
      <c r="B391" s="14" t="str">
        <f>"07010"</f>
        <v>07010</v>
      </c>
      <c r="C391" s="14" t="str">
        <f>"1800"</f>
        <v>1800</v>
      </c>
      <c r="D391" s="14" t="str">
        <f>""</f>
        <v/>
      </c>
      <c r="E391" s="14" t="s">
        <v>1101</v>
      </c>
      <c r="F391" s="14" t="s">
        <v>1002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228</v>
      </c>
      <c r="P391" s="14" t="s">
        <v>260</v>
      </c>
      <c r="Q391" s="14" t="s">
        <v>260</v>
      </c>
      <c r="R391" s="14" t="s">
        <v>229</v>
      </c>
    </row>
    <row r="392" spans="1:18" s="14" customFormat="1" x14ac:dyDescent="0.25">
      <c r="A392" s="14" t="str">
        <f>"83218"</f>
        <v>83218</v>
      </c>
      <c r="B392" s="14" t="str">
        <f>"07010"</f>
        <v>07010</v>
      </c>
      <c r="C392" s="14" t="str">
        <f>"1800"</f>
        <v>1800</v>
      </c>
      <c r="D392" s="14" t="str">
        <f>""</f>
        <v/>
      </c>
      <c r="E392" s="14" t="s">
        <v>1102</v>
      </c>
      <c r="F392" s="14" t="s">
        <v>1002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228</v>
      </c>
      <c r="P392" s="14" t="s">
        <v>260</v>
      </c>
      <c r="Q392" s="14" t="s">
        <v>260</v>
      </c>
      <c r="R392" s="14" t="s">
        <v>229</v>
      </c>
    </row>
    <row r="393" spans="1:18" s="14" customFormat="1" x14ac:dyDescent="0.25">
      <c r="A393" s="14" t="str">
        <f>"83219"</f>
        <v>83219</v>
      </c>
      <c r="B393" s="14" t="str">
        <f>"07010"</f>
        <v>07010</v>
      </c>
      <c r="C393" s="14" t="str">
        <f>"1800"</f>
        <v>1800</v>
      </c>
      <c r="D393" s="14" t="str">
        <f>""</f>
        <v/>
      </c>
      <c r="E393" s="14" t="s">
        <v>1103</v>
      </c>
      <c r="F393" s="14" t="s">
        <v>1002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228</v>
      </c>
      <c r="P393" s="14" t="s">
        <v>260</v>
      </c>
      <c r="Q393" s="14" t="s">
        <v>260</v>
      </c>
      <c r="R393" s="14" t="s">
        <v>229</v>
      </c>
    </row>
    <row r="394" spans="1:18" s="14" customFormat="1" x14ac:dyDescent="0.25">
      <c r="A394" s="14" t="str">
        <f>"83220"</f>
        <v>83220</v>
      </c>
      <c r="B394" s="14" t="str">
        <f>"07010"</f>
        <v>07010</v>
      </c>
      <c r="C394" s="14" t="str">
        <f>"1800"</f>
        <v>1800</v>
      </c>
      <c r="D394" s="14" t="str">
        <f>""</f>
        <v/>
      </c>
      <c r="E394" s="14" t="s">
        <v>1104</v>
      </c>
      <c r="F394" s="14" t="s">
        <v>1002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228</v>
      </c>
      <c r="P394" s="14" t="s">
        <v>260</v>
      </c>
      <c r="Q394" s="14" t="s">
        <v>260</v>
      </c>
      <c r="R394" s="14" t="s">
        <v>229</v>
      </c>
    </row>
    <row r="395" spans="1:18" s="14" customFormat="1" x14ac:dyDescent="0.25">
      <c r="A395" s="14" t="str">
        <f>"83221"</f>
        <v>83221</v>
      </c>
      <c r="B395" s="14" t="str">
        <f>"07010"</f>
        <v>07010</v>
      </c>
      <c r="C395" s="14" t="str">
        <f>"1800"</f>
        <v>1800</v>
      </c>
      <c r="D395" s="14" t="str">
        <f>""</f>
        <v/>
      </c>
      <c r="E395" s="14" t="s">
        <v>1105</v>
      </c>
      <c r="F395" s="14" t="s">
        <v>1002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228</v>
      </c>
      <c r="P395" s="14" t="s">
        <v>260</v>
      </c>
      <c r="Q395" s="14" t="s">
        <v>260</v>
      </c>
      <c r="R395" s="14" t="s">
        <v>229</v>
      </c>
    </row>
    <row r="396" spans="1:18" s="14" customFormat="1" x14ac:dyDescent="0.25">
      <c r="A396" s="14" t="str">
        <f>"83222"</f>
        <v>83222</v>
      </c>
      <c r="B396" s="14" t="str">
        <f>"07010"</f>
        <v>07010</v>
      </c>
      <c r="C396" s="14" t="str">
        <f>"1800"</f>
        <v>1800</v>
      </c>
      <c r="D396" s="14" t="str">
        <f>""</f>
        <v/>
      </c>
      <c r="E396" s="14" t="s">
        <v>1106</v>
      </c>
      <c r="F396" s="14" t="s">
        <v>1002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228</v>
      </c>
      <c r="P396" s="14" t="s">
        <v>260</v>
      </c>
      <c r="Q396" s="14" t="s">
        <v>260</v>
      </c>
      <c r="R396" s="14" t="s">
        <v>229</v>
      </c>
    </row>
    <row r="397" spans="1:18" s="14" customFormat="1" x14ac:dyDescent="0.25">
      <c r="A397" s="14" t="str">
        <f>"83225"</f>
        <v>83225</v>
      </c>
      <c r="B397" s="14" t="str">
        <f>"07010"</f>
        <v>07010</v>
      </c>
      <c r="C397" s="14" t="str">
        <f>"1800"</f>
        <v>1800</v>
      </c>
      <c r="D397" s="14" t="str">
        <f>""</f>
        <v/>
      </c>
      <c r="E397" s="14" t="s">
        <v>1107</v>
      </c>
      <c r="F397" s="14" t="s">
        <v>1002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228</v>
      </c>
      <c r="P397" s="14" t="s">
        <v>260</v>
      </c>
      <c r="Q397" s="14" t="s">
        <v>260</v>
      </c>
      <c r="R397" s="14" t="s">
        <v>229</v>
      </c>
    </row>
    <row r="398" spans="1:18" s="14" customFormat="1" x14ac:dyDescent="0.25">
      <c r="A398" s="14" t="str">
        <f>"83226"</f>
        <v>83226</v>
      </c>
      <c r="B398" s="14" t="str">
        <f>"07010"</f>
        <v>07010</v>
      </c>
      <c r="C398" s="14" t="str">
        <f>"1800"</f>
        <v>1800</v>
      </c>
      <c r="D398" s="14" t="str">
        <f>""</f>
        <v/>
      </c>
      <c r="E398" s="14" t="s">
        <v>1108</v>
      </c>
      <c r="F398" s="14" t="s">
        <v>1002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228</v>
      </c>
      <c r="P398" s="14" t="s">
        <v>260</v>
      </c>
      <c r="Q398" s="14" t="s">
        <v>260</v>
      </c>
      <c r="R398" s="14" t="s">
        <v>229</v>
      </c>
    </row>
    <row r="399" spans="1:18" s="14" customFormat="1" x14ac:dyDescent="0.25">
      <c r="A399" s="14" t="str">
        <f>"83228"</f>
        <v>83228</v>
      </c>
      <c r="B399" s="14" t="str">
        <f>"07010"</f>
        <v>07010</v>
      </c>
      <c r="C399" s="14" t="str">
        <f>"1800"</f>
        <v>1800</v>
      </c>
      <c r="D399" s="14" t="str">
        <f>""</f>
        <v/>
      </c>
      <c r="E399" s="14" t="s">
        <v>1109</v>
      </c>
      <c r="F399" s="14" t="s">
        <v>1002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228</v>
      </c>
      <c r="P399" s="14" t="s">
        <v>260</v>
      </c>
      <c r="Q399" s="14" t="s">
        <v>260</v>
      </c>
      <c r="R399" s="14" t="s">
        <v>229</v>
      </c>
    </row>
    <row r="400" spans="1:18" s="14" customFormat="1" x14ac:dyDescent="0.25">
      <c r="A400" s="14" t="str">
        <f>"83229"</f>
        <v>83229</v>
      </c>
      <c r="B400" s="14" t="str">
        <f>"07010"</f>
        <v>07010</v>
      </c>
      <c r="C400" s="14" t="str">
        <f>"1800"</f>
        <v>1800</v>
      </c>
      <c r="D400" s="14" t="str">
        <f>""</f>
        <v/>
      </c>
      <c r="E400" s="14" t="s">
        <v>1110</v>
      </c>
      <c r="F400" s="14" t="s">
        <v>1002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228</v>
      </c>
      <c r="P400" s="14" t="s">
        <v>260</v>
      </c>
      <c r="Q400" s="14" t="s">
        <v>260</v>
      </c>
      <c r="R400" s="14" t="s">
        <v>229</v>
      </c>
    </row>
    <row r="401" spans="1:18" s="14" customFormat="1" x14ac:dyDescent="0.25">
      <c r="A401" s="14" t="str">
        <f>"83230"</f>
        <v>83230</v>
      </c>
      <c r="B401" s="14" t="str">
        <f>"07010"</f>
        <v>07010</v>
      </c>
      <c r="C401" s="14" t="str">
        <f>"1800"</f>
        <v>1800</v>
      </c>
      <c r="D401" s="14" t="str">
        <f>""</f>
        <v/>
      </c>
      <c r="E401" s="14" t="s">
        <v>1111</v>
      </c>
      <c r="F401" s="14" t="s">
        <v>1002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228</v>
      </c>
      <c r="P401" s="14" t="s">
        <v>260</v>
      </c>
      <c r="Q401" s="14" t="s">
        <v>260</v>
      </c>
      <c r="R401" s="14" t="s">
        <v>229</v>
      </c>
    </row>
    <row r="402" spans="1:18" s="14" customFormat="1" x14ac:dyDescent="0.25">
      <c r="A402" s="14" t="str">
        <f>"83231"</f>
        <v>83231</v>
      </c>
      <c r="B402" s="14" t="str">
        <f>"07010"</f>
        <v>07010</v>
      </c>
      <c r="C402" s="14" t="str">
        <f>"1800"</f>
        <v>1800</v>
      </c>
      <c r="D402" s="14" t="str">
        <f>""</f>
        <v/>
      </c>
      <c r="E402" s="14" t="s">
        <v>1112</v>
      </c>
      <c r="F402" s="14" t="s">
        <v>1002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228</v>
      </c>
      <c r="P402" s="14" t="s">
        <v>260</v>
      </c>
      <c r="Q402" s="14" t="s">
        <v>260</v>
      </c>
      <c r="R402" s="14" t="s">
        <v>229</v>
      </c>
    </row>
    <row r="403" spans="1:18" s="14" customFormat="1" x14ac:dyDescent="0.25">
      <c r="A403" s="14" t="str">
        <f>"83232"</f>
        <v>83232</v>
      </c>
      <c r="B403" s="14" t="str">
        <f>"07010"</f>
        <v>07010</v>
      </c>
      <c r="C403" s="14" t="str">
        <f>"1800"</f>
        <v>1800</v>
      </c>
      <c r="D403" s="14" t="str">
        <f>""</f>
        <v/>
      </c>
      <c r="E403" s="14" t="s">
        <v>1113</v>
      </c>
      <c r="F403" s="14" t="s">
        <v>1002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228</v>
      </c>
      <c r="P403" s="14" t="s">
        <v>260</v>
      </c>
      <c r="Q403" s="14" t="s">
        <v>260</v>
      </c>
      <c r="R403" s="14" t="s">
        <v>229</v>
      </c>
    </row>
    <row r="404" spans="1:18" s="14" customFormat="1" x14ac:dyDescent="0.25">
      <c r="A404" s="14" t="str">
        <f>"83233"</f>
        <v>83233</v>
      </c>
      <c r="B404" s="14" t="str">
        <f>"07010"</f>
        <v>07010</v>
      </c>
      <c r="C404" s="14" t="str">
        <f>"1800"</f>
        <v>1800</v>
      </c>
      <c r="D404" s="14" t="str">
        <f>""</f>
        <v/>
      </c>
      <c r="E404" s="14" t="s">
        <v>1114</v>
      </c>
      <c r="F404" s="14" t="s">
        <v>1002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228</v>
      </c>
      <c r="P404" s="14" t="s">
        <v>260</v>
      </c>
      <c r="Q404" s="14" t="s">
        <v>260</v>
      </c>
      <c r="R404" s="14" t="s">
        <v>229</v>
      </c>
    </row>
    <row r="405" spans="1:18" s="14" customFormat="1" x14ac:dyDescent="0.25">
      <c r="A405" s="14" t="str">
        <f>"83234"</f>
        <v>83234</v>
      </c>
      <c r="B405" s="14" t="str">
        <f>"07010"</f>
        <v>07010</v>
      </c>
      <c r="C405" s="14" t="str">
        <f>"1800"</f>
        <v>1800</v>
      </c>
      <c r="D405" s="14" t="str">
        <f>""</f>
        <v/>
      </c>
      <c r="E405" s="14" t="s">
        <v>1115</v>
      </c>
      <c r="F405" s="14" t="s">
        <v>1002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228</v>
      </c>
      <c r="P405" s="14" t="s">
        <v>260</v>
      </c>
      <c r="Q405" s="14" t="s">
        <v>260</v>
      </c>
      <c r="R405" s="14" t="s">
        <v>229</v>
      </c>
    </row>
    <row r="406" spans="1:18" s="14" customFormat="1" x14ac:dyDescent="0.25">
      <c r="A406" s="14" t="str">
        <f>"83237"</f>
        <v>83237</v>
      </c>
      <c r="B406" s="14" t="str">
        <f>"07010"</f>
        <v>07010</v>
      </c>
      <c r="C406" s="14" t="str">
        <f>"1800"</f>
        <v>1800</v>
      </c>
      <c r="D406" s="14" t="str">
        <f>""</f>
        <v/>
      </c>
      <c r="E406" s="14" t="s">
        <v>1116</v>
      </c>
      <c r="F406" s="14" t="s">
        <v>1002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228</v>
      </c>
      <c r="P406" s="14" t="s">
        <v>260</v>
      </c>
      <c r="Q406" s="14" t="s">
        <v>260</v>
      </c>
      <c r="R406" s="14" t="s">
        <v>229</v>
      </c>
    </row>
    <row r="407" spans="1:18" s="14" customFormat="1" x14ac:dyDescent="0.25">
      <c r="A407" s="14" t="str">
        <f>"83241"</f>
        <v>83241</v>
      </c>
      <c r="B407" s="14" t="str">
        <f>"07010"</f>
        <v>07010</v>
      </c>
      <c r="C407" s="14" t="str">
        <f>"1800"</f>
        <v>1800</v>
      </c>
      <c r="D407" s="14" t="str">
        <f>""</f>
        <v/>
      </c>
      <c r="E407" s="14" t="s">
        <v>1117</v>
      </c>
      <c r="F407" s="14" t="s">
        <v>1002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228</v>
      </c>
      <c r="P407" s="14" t="s">
        <v>260</v>
      </c>
      <c r="Q407" s="14" t="s">
        <v>260</v>
      </c>
      <c r="R407" s="14" t="s">
        <v>229</v>
      </c>
    </row>
    <row r="408" spans="1:18" s="14" customFormat="1" x14ac:dyDescent="0.25">
      <c r="A408" s="14" t="str">
        <f>"83243"</f>
        <v>83243</v>
      </c>
      <c r="B408" s="14" t="str">
        <f>"07010"</f>
        <v>07010</v>
      </c>
      <c r="C408" s="14" t="str">
        <f>"1800"</f>
        <v>1800</v>
      </c>
      <c r="D408" s="14" t="str">
        <f>""</f>
        <v/>
      </c>
      <c r="E408" s="14" t="s">
        <v>1118</v>
      </c>
      <c r="F408" s="14" t="s">
        <v>1002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228</v>
      </c>
      <c r="P408" s="14" t="s">
        <v>260</v>
      </c>
      <c r="Q408" s="14" t="s">
        <v>260</v>
      </c>
      <c r="R408" s="14" t="s">
        <v>229</v>
      </c>
    </row>
    <row r="409" spans="1:18" s="14" customFormat="1" x14ac:dyDescent="0.25">
      <c r="A409" s="14" t="str">
        <f>"83244"</f>
        <v>83244</v>
      </c>
      <c r="B409" s="14" t="str">
        <f>"07010"</f>
        <v>07010</v>
      </c>
      <c r="C409" s="14" t="str">
        <f>"1800"</f>
        <v>1800</v>
      </c>
      <c r="D409" s="14" t="str">
        <f>""</f>
        <v/>
      </c>
      <c r="E409" s="14" t="s">
        <v>1119</v>
      </c>
      <c r="F409" s="14" t="s">
        <v>1002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228</v>
      </c>
      <c r="P409" s="14" t="s">
        <v>260</v>
      </c>
      <c r="Q409" s="14" t="s">
        <v>260</v>
      </c>
      <c r="R409" s="14" t="s">
        <v>229</v>
      </c>
    </row>
    <row r="410" spans="1:18" s="14" customFormat="1" x14ac:dyDescent="0.25">
      <c r="A410" s="14" t="str">
        <f>"83247"</f>
        <v>83247</v>
      </c>
      <c r="B410" s="14" t="str">
        <f>"07010"</f>
        <v>07010</v>
      </c>
      <c r="C410" s="14" t="str">
        <f>"1800"</f>
        <v>1800</v>
      </c>
      <c r="D410" s="14" t="str">
        <f>""</f>
        <v/>
      </c>
      <c r="E410" s="14" t="s">
        <v>1120</v>
      </c>
      <c r="F410" s="14" t="s">
        <v>1002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228</v>
      </c>
      <c r="P410" s="14" t="s">
        <v>260</v>
      </c>
      <c r="Q410" s="14" t="s">
        <v>260</v>
      </c>
      <c r="R410" s="14" t="s">
        <v>229</v>
      </c>
    </row>
    <row r="411" spans="1:18" s="14" customFormat="1" x14ac:dyDescent="0.25">
      <c r="A411" s="14" t="str">
        <f>"83248"</f>
        <v>83248</v>
      </c>
      <c r="B411" s="14" t="str">
        <f>"07010"</f>
        <v>07010</v>
      </c>
      <c r="C411" s="14" t="str">
        <f>"1800"</f>
        <v>1800</v>
      </c>
      <c r="D411" s="14" t="str">
        <f>""</f>
        <v/>
      </c>
      <c r="E411" s="14" t="s">
        <v>1121</v>
      </c>
      <c r="F411" s="14" t="s">
        <v>1002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228</v>
      </c>
      <c r="P411" s="14" t="s">
        <v>260</v>
      </c>
      <c r="Q411" s="14" t="s">
        <v>260</v>
      </c>
      <c r="R411" s="14" t="s">
        <v>229</v>
      </c>
    </row>
    <row r="412" spans="1:18" s="14" customFormat="1" x14ac:dyDescent="0.25">
      <c r="A412" s="14" t="str">
        <f>"83251"</f>
        <v>83251</v>
      </c>
      <c r="B412" s="14" t="str">
        <f>"07010"</f>
        <v>07010</v>
      </c>
      <c r="C412" s="14" t="str">
        <f>"1800"</f>
        <v>1800</v>
      </c>
      <c r="D412" s="14" t="str">
        <f>""</f>
        <v/>
      </c>
      <c r="E412" s="14" t="s">
        <v>1122</v>
      </c>
      <c r="F412" s="14" t="s">
        <v>1002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228</v>
      </c>
      <c r="P412" s="14" t="s">
        <v>260</v>
      </c>
      <c r="Q412" s="14" t="s">
        <v>260</v>
      </c>
      <c r="R412" s="14" t="s">
        <v>229</v>
      </c>
    </row>
    <row r="413" spans="1:18" s="14" customFormat="1" x14ac:dyDescent="0.25">
      <c r="A413" s="14" t="str">
        <f>"83257"</f>
        <v>83257</v>
      </c>
      <c r="B413" s="14" t="str">
        <f>"07010"</f>
        <v>07010</v>
      </c>
      <c r="C413" s="14" t="str">
        <f>"1800"</f>
        <v>1800</v>
      </c>
      <c r="D413" s="14" t="str">
        <f>""</f>
        <v/>
      </c>
      <c r="E413" s="14" t="s">
        <v>1123</v>
      </c>
      <c r="F413" s="14" t="s">
        <v>1002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228</v>
      </c>
      <c r="P413" s="14" t="s">
        <v>260</v>
      </c>
      <c r="Q413" s="14" t="s">
        <v>260</v>
      </c>
      <c r="R413" s="14" t="s">
        <v>229</v>
      </c>
    </row>
    <row r="414" spans="1:18" s="14" customFormat="1" x14ac:dyDescent="0.25">
      <c r="A414" s="14" t="str">
        <f>"83258"</f>
        <v>83258</v>
      </c>
      <c r="B414" s="14" t="str">
        <f>"07010"</f>
        <v>07010</v>
      </c>
      <c r="C414" s="14" t="str">
        <f>"1800"</f>
        <v>1800</v>
      </c>
      <c r="D414" s="14" t="str">
        <f>""</f>
        <v/>
      </c>
      <c r="E414" s="14" t="s">
        <v>1124</v>
      </c>
      <c r="F414" s="14" t="s">
        <v>1002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228</v>
      </c>
      <c r="P414" s="14" t="s">
        <v>260</v>
      </c>
      <c r="Q414" s="14" t="s">
        <v>260</v>
      </c>
      <c r="R414" s="14" t="s">
        <v>229</v>
      </c>
    </row>
    <row r="415" spans="1:18" s="14" customFormat="1" x14ac:dyDescent="0.25">
      <c r="A415" s="14" t="str">
        <f>"83259"</f>
        <v>83259</v>
      </c>
      <c r="B415" s="14" t="str">
        <f>"07010"</f>
        <v>07010</v>
      </c>
      <c r="C415" s="14" t="str">
        <f>"1800"</f>
        <v>1800</v>
      </c>
      <c r="D415" s="14" t="str">
        <f>""</f>
        <v/>
      </c>
      <c r="E415" s="14" t="s">
        <v>1125</v>
      </c>
      <c r="F415" s="14" t="s">
        <v>1002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228</v>
      </c>
      <c r="P415" s="14" t="s">
        <v>260</v>
      </c>
      <c r="Q415" s="14" t="s">
        <v>260</v>
      </c>
      <c r="R415" s="14" t="s">
        <v>229</v>
      </c>
    </row>
    <row r="416" spans="1:18" s="14" customFormat="1" x14ac:dyDescent="0.25">
      <c r="A416" s="14" t="str">
        <f>"83260"</f>
        <v>83260</v>
      </c>
      <c r="B416" s="14" t="str">
        <f>"07010"</f>
        <v>07010</v>
      </c>
      <c r="C416" s="14" t="str">
        <f>"1800"</f>
        <v>1800</v>
      </c>
      <c r="D416" s="14" t="str">
        <f>""</f>
        <v/>
      </c>
      <c r="E416" s="14" t="s">
        <v>1126</v>
      </c>
      <c r="F416" s="14" t="s">
        <v>1002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228</v>
      </c>
      <c r="P416" s="14" t="s">
        <v>260</v>
      </c>
      <c r="Q416" s="14" t="s">
        <v>260</v>
      </c>
      <c r="R416" s="14" t="s">
        <v>229</v>
      </c>
    </row>
    <row r="417" spans="1:18" s="14" customFormat="1" x14ac:dyDescent="0.25">
      <c r="A417" s="14" t="str">
        <f>"83261"</f>
        <v>83261</v>
      </c>
      <c r="B417" s="14" t="str">
        <f>"07010"</f>
        <v>07010</v>
      </c>
      <c r="C417" s="14" t="str">
        <f>"1800"</f>
        <v>1800</v>
      </c>
      <c r="D417" s="14" t="str">
        <f>""</f>
        <v/>
      </c>
      <c r="E417" s="14" t="s">
        <v>1127</v>
      </c>
      <c r="F417" s="14" t="s">
        <v>1002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228</v>
      </c>
      <c r="P417" s="14" t="s">
        <v>260</v>
      </c>
      <c r="Q417" s="14" t="s">
        <v>260</v>
      </c>
      <c r="R417" s="14" t="s">
        <v>229</v>
      </c>
    </row>
    <row r="418" spans="1:18" s="14" customFormat="1" x14ac:dyDescent="0.25">
      <c r="A418" s="14" t="str">
        <f>"83262"</f>
        <v>83262</v>
      </c>
      <c r="B418" s="14" t="str">
        <f>"07010"</f>
        <v>07010</v>
      </c>
      <c r="C418" s="14" t="str">
        <f>"1800"</f>
        <v>1800</v>
      </c>
      <c r="D418" s="14" t="str">
        <f>""</f>
        <v/>
      </c>
      <c r="E418" s="14" t="s">
        <v>1128</v>
      </c>
      <c r="F418" s="14" t="s">
        <v>1002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228</v>
      </c>
      <c r="P418" s="14" t="s">
        <v>260</v>
      </c>
      <c r="Q418" s="14" t="s">
        <v>260</v>
      </c>
      <c r="R418" s="14" t="s">
        <v>229</v>
      </c>
    </row>
    <row r="419" spans="1:18" s="14" customFormat="1" x14ac:dyDescent="0.25">
      <c r="A419" s="14" t="str">
        <f>"83265"</f>
        <v>83265</v>
      </c>
      <c r="B419" s="14" t="str">
        <f>"07010"</f>
        <v>07010</v>
      </c>
      <c r="C419" s="14" t="str">
        <f>"1800"</f>
        <v>1800</v>
      </c>
      <c r="D419" s="14" t="str">
        <f>""</f>
        <v/>
      </c>
      <c r="E419" s="14" t="s">
        <v>1129</v>
      </c>
      <c r="F419" s="14" t="s">
        <v>1002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228</v>
      </c>
      <c r="P419" s="14" t="s">
        <v>260</v>
      </c>
      <c r="Q419" s="14" t="s">
        <v>260</v>
      </c>
      <c r="R419" s="14" t="s">
        <v>229</v>
      </c>
    </row>
    <row r="420" spans="1:18" s="14" customFormat="1" x14ac:dyDescent="0.25">
      <c r="A420" s="14" t="str">
        <f>"83269"</f>
        <v>83269</v>
      </c>
      <c r="B420" s="14" t="str">
        <f>"07010"</f>
        <v>07010</v>
      </c>
      <c r="C420" s="14" t="str">
        <f>"1800"</f>
        <v>1800</v>
      </c>
      <c r="D420" s="14" t="str">
        <f>""</f>
        <v/>
      </c>
      <c r="E420" s="14" t="s">
        <v>1130</v>
      </c>
      <c r="F420" s="14" t="s">
        <v>1002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228</v>
      </c>
      <c r="P420" s="14" t="s">
        <v>260</v>
      </c>
      <c r="Q420" s="14" t="s">
        <v>260</v>
      </c>
      <c r="R420" s="14" t="s">
        <v>229</v>
      </c>
    </row>
    <row r="421" spans="1:18" s="14" customFormat="1" x14ac:dyDescent="0.25">
      <c r="A421" s="14" t="str">
        <f>"83270"</f>
        <v>83270</v>
      </c>
      <c r="B421" s="14" t="str">
        <f>"07010"</f>
        <v>07010</v>
      </c>
      <c r="C421" s="14" t="str">
        <f>"1800"</f>
        <v>1800</v>
      </c>
      <c r="D421" s="14" t="str">
        <f>""</f>
        <v/>
      </c>
      <c r="E421" s="14" t="s">
        <v>1131</v>
      </c>
      <c r="F421" s="14" t="s">
        <v>1002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228</v>
      </c>
      <c r="P421" s="14" t="s">
        <v>260</v>
      </c>
      <c r="Q421" s="14" t="s">
        <v>260</v>
      </c>
      <c r="R421" s="14" t="s">
        <v>229</v>
      </c>
    </row>
    <row r="422" spans="1:18" s="14" customFormat="1" x14ac:dyDescent="0.25">
      <c r="A422" s="14" t="str">
        <f>"83273"</f>
        <v>83273</v>
      </c>
      <c r="B422" s="14" t="str">
        <f>"07010"</f>
        <v>07010</v>
      </c>
      <c r="C422" s="14" t="str">
        <f>"1800"</f>
        <v>1800</v>
      </c>
      <c r="D422" s="14" t="str">
        <f>""</f>
        <v/>
      </c>
      <c r="E422" s="14" t="s">
        <v>1132</v>
      </c>
      <c r="F422" s="14" t="s">
        <v>1002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228</v>
      </c>
      <c r="P422" s="14" t="s">
        <v>260</v>
      </c>
      <c r="Q422" s="14" t="s">
        <v>260</v>
      </c>
      <c r="R422" s="14" t="s">
        <v>229</v>
      </c>
    </row>
    <row r="423" spans="1:18" s="14" customFormat="1" x14ac:dyDescent="0.25">
      <c r="A423" s="14" t="str">
        <f>"83275"</f>
        <v>83275</v>
      </c>
      <c r="B423" s="14" t="str">
        <f>"07010"</f>
        <v>07010</v>
      </c>
      <c r="C423" s="14" t="str">
        <f>"1800"</f>
        <v>1800</v>
      </c>
      <c r="D423" s="14" t="str">
        <f>""</f>
        <v/>
      </c>
      <c r="E423" s="14" t="s">
        <v>1133</v>
      </c>
      <c r="F423" s="14" t="s">
        <v>1002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228</v>
      </c>
      <c r="P423" s="14" t="s">
        <v>260</v>
      </c>
      <c r="Q423" s="14" t="s">
        <v>260</v>
      </c>
      <c r="R423" s="14" t="s">
        <v>229</v>
      </c>
    </row>
    <row r="424" spans="1:18" s="14" customFormat="1" x14ac:dyDescent="0.25">
      <c r="A424" s="14" t="str">
        <f>"83278"</f>
        <v>83278</v>
      </c>
      <c r="B424" s="14" t="str">
        <f>"07010"</f>
        <v>07010</v>
      </c>
      <c r="C424" s="14" t="str">
        <f>"1800"</f>
        <v>1800</v>
      </c>
      <c r="D424" s="14" t="str">
        <f>""</f>
        <v/>
      </c>
      <c r="E424" s="14" t="s">
        <v>1134</v>
      </c>
      <c r="F424" s="14" t="s">
        <v>1002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228</v>
      </c>
      <c r="P424" s="14" t="s">
        <v>260</v>
      </c>
      <c r="Q424" s="14" t="s">
        <v>260</v>
      </c>
      <c r="R424" s="14" t="s">
        <v>229</v>
      </c>
    </row>
    <row r="425" spans="1:18" s="14" customFormat="1" x14ac:dyDescent="0.25">
      <c r="A425" s="14" t="str">
        <f>"83279"</f>
        <v>83279</v>
      </c>
      <c r="B425" s="14" t="str">
        <f>"07010"</f>
        <v>07010</v>
      </c>
      <c r="C425" s="14" t="str">
        <f>"1800"</f>
        <v>1800</v>
      </c>
      <c r="D425" s="14" t="str">
        <f>""</f>
        <v/>
      </c>
      <c r="E425" s="14" t="s">
        <v>1135</v>
      </c>
      <c r="F425" s="14" t="s">
        <v>1002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228</v>
      </c>
      <c r="P425" s="14" t="s">
        <v>260</v>
      </c>
      <c r="Q425" s="14" t="s">
        <v>260</v>
      </c>
      <c r="R425" s="14" t="s">
        <v>229</v>
      </c>
    </row>
    <row r="426" spans="1:18" s="14" customFormat="1" x14ac:dyDescent="0.25">
      <c r="A426" s="14" t="str">
        <f>"83280"</f>
        <v>83280</v>
      </c>
      <c r="B426" s="14" t="str">
        <f>"07010"</f>
        <v>07010</v>
      </c>
      <c r="C426" s="14" t="str">
        <f>"1800"</f>
        <v>1800</v>
      </c>
      <c r="D426" s="14" t="str">
        <f>""</f>
        <v/>
      </c>
      <c r="E426" s="14" t="s">
        <v>1136</v>
      </c>
      <c r="F426" s="14" t="s">
        <v>1002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228</v>
      </c>
      <c r="P426" s="14" t="s">
        <v>260</v>
      </c>
      <c r="Q426" s="14" t="s">
        <v>260</v>
      </c>
      <c r="R426" s="14" t="s">
        <v>229</v>
      </c>
    </row>
    <row r="427" spans="1:18" s="14" customFormat="1" x14ac:dyDescent="0.25">
      <c r="A427" s="14" t="str">
        <f>"83283"</f>
        <v>83283</v>
      </c>
      <c r="B427" s="14" t="str">
        <f>"07010"</f>
        <v>07010</v>
      </c>
      <c r="C427" s="14" t="str">
        <f>"1800"</f>
        <v>1800</v>
      </c>
      <c r="D427" s="14" t="str">
        <f>""</f>
        <v/>
      </c>
      <c r="E427" s="14" t="s">
        <v>1137</v>
      </c>
      <c r="F427" s="14" t="s">
        <v>1002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228</v>
      </c>
      <c r="P427" s="14" t="s">
        <v>260</v>
      </c>
      <c r="Q427" s="14" t="s">
        <v>260</v>
      </c>
      <c r="R427" s="14" t="s">
        <v>229</v>
      </c>
    </row>
    <row r="428" spans="1:18" s="14" customFormat="1" x14ac:dyDescent="0.25">
      <c r="A428" s="14" t="str">
        <f>"83284"</f>
        <v>83284</v>
      </c>
      <c r="B428" s="14" t="str">
        <f>"07010"</f>
        <v>07010</v>
      </c>
      <c r="C428" s="14" t="str">
        <f>"1800"</f>
        <v>1800</v>
      </c>
      <c r="D428" s="14" t="str">
        <f>""</f>
        <v/>
      </c>
      <c r="E428" s="14" t="s">
        <v>1138</v>
      </c>
      <c r="F428" s="14" t="s">
        <v>1002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228</v>
      </c>
      <c r="P428" s="14" t="s">
        <v>260</v>
      </c>
      <c r="Q428" s="14" t="s">
        <v>260</v>
      </c>
      <c r="R428" s="14" t="s">
        <v>229</v>
      </c>
    </row>
    <row r="429" spans="1:18" s="14" customFormat="1" x14ac:dyDescent="0.25">
      <c r="A429" s="14" t="str">
        <f>"83287"</f>
        <v>83287</v>
      </c>
      <c r="B429" s="14" t="str">
        <f>"07010"</f>
        <v>07010</v>
      </c>
      <c r="C429" s="14" t="str">
        <f>"1800"</f>
        <v>1800</v>
      </c>
      <c r="D429" s="14" t="str">
        <f>""</f>
        <v/>
      </c>
      <c r="E429" s="14" t="s">
        <v>1139</v>
      </c>
      <c r="F429" s="14" t="s">
        <v>1002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228</v>
      </c>
      <c r="P429" s="14" t="s">
        <v>260</v>
      </c>
      <c r="Q429" s="14" t="s">
        <v>260</v>
      </c>
      <c r="R429" s="14" t="s">
        <v>229</v>
      </c>
    </row>
    <row r="430" spans="1:18" s="14" customFormat="1" x14ac:dyDescent="0.25">
      <c r="A430" s="14" t="str">
        <f>"83288"</f>
        <v>83288</v>
      </c>
      <c r="B430" s="14" t="str">
        <f>"07010"</f>
        <v>07010</v>
      </c>
      <c r="C430" s="14" t="str">
        <f>"1800"</f>
        <v>1800</v>
      </c>
      <c r="D430" s="14" t="str">
        <f>""</f>
        <v/>
      </c>
      <c r="E430" s="14" t="s">
        <v>1140</v>
      </c>
      <c r="F430" s="14" t="s">
        <v>1002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228</v>
      </c>
      <c r="P430" s="14" t="s">
        <v>260</v>
      </c>
      <c r="Q430" s="14" t="s">
        <v>260</v>
      </c>
      <c r="R430" s="14" t="s">
        <v>229</v>
      </c>
    </row>
    <row r="431" spans="1:18" s="14" customFormat="1" x14ac:dyDescent="0.25">
      <c r="A431" s="14" t="str">
        <f>"83289"</f>
        <v>83289</v>
      </c>
      <c r="B431" s="14" t="str">
        <f>"07010"</f>
        <v>07010</v>
      </c>
      <c r="C431" s="14" t="str">
        <f>"1800"</f>
        <v>1800</v>
      </c>
      <c r="D431" s="14" t="str">
        <f>""</f>
        <v/>
      </c>
      <c r="E431" s="14" t="s">
        <v>1141</v>
      </c>
      <c r="F431" s="14" t="s">
        <v>1002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228</v>
      </c>
      <c r="P431" s="14" t="s">
        <v>260</v>
      </c>
      <c r="Q431" s="14" t="s">
        <v>260</v>
      </c>
      <c r="R431" s="14" t="s">
        <v>229</v>
      </c>
    </row>
    <row r="432" spans="1:18" s="14" customFormat="1" x14ac:dyDescent="0.25">
      <c r="A432" s="14" t="str">
        <f>"83290"</f>
        <v>83290</v>
      </c>
      <c r="B432" s="14" t="str">
        <f>"07010"</f>
        <v>07010</v>
      </c>
      <c r="C432" s="14" t="str">
        <f>"1800"</f>
        <v>1800</v>
      </c>
      <c r="D432" s="14" t="str">
        <f>""</f>
        <v/>
      </c>
      <c r="E432" s="14" t="s">
        <v>1142</v>
      </c>
      <c r="F432" s="14" t="s">
        <v>1002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228</v>
      </c>
      <c r="P432" s="14" t="s">
        <v>260</v>
      </c>
      <c r="Q432" s="14" t="s">
        <v>260</v>
      </c>
      <c r="R432" s="14" t="s">
        <v>229</v>
      </c>
    </row>
    <row r="433" spans="1:18" s="14" customFormat="1" x14ac:dyDescent="0.25">
      <c r="A433" s="14" t="str">
        <f>"83291"</f>
        <v>83291</v>
      </c>
      <c r="B433" s="14" t="str">
        <f>"07010"</f>
        <v>07010</v>
      </c>
      <c r="C433" s="14" t="str">
        <f>"1800"</f>
        <v>1800</v>
      </c>
      <c r="D433" s="14" t="str">
        <f>""</f>
        <v/>
      </c>
      <c r="E433" s="14" t="s">
        <v>1143</v>
      </c>
      <c r="F433" s="14" t="s">
        <v>1002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228</v>
      </c>
      <c r="P433" s="14" t="s">
        <v>260</v>
      </c>
      <c r="Q433" s="14" t="s">
        <v>260</v>
      </c>
      <c r="R433" s="14" t="s">
        <v>229</v>
      </c>
    </row>
    <row r="434" spans="1:18" s="14" customFormat="1" x14ac:dyDescent="0.25">
      <c r="A434" s="14" t="str">
        <f>"83293"</f>
        <v>83293</v>
      </c>
      <c r="B434" s="14" t="str">
        <f>"07010"</f>
        <v>07010</v>
      </c>
      <c r="C434" s="14" t="str">
        <f>"1800"</f>
        <v>1800</v>
      </c>
      <c r="D434" s="14" t="str">
        <f>""</f>
        <v/>
      </c>
      <c r="E434" s="14" t="s">
        <v>1144</v>
      </c>
      <c r="F434" s="14" t="s">
        <v>1002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228</v>
      </c>
      <c r="P434" s="14" t="s">
        <v>260</v>
      </c>
      <c r="Q434" s="14" t="s">
        <v>260</v>
      </c>
      <c r="R434" s="14" t="s">
        <v>229</v>
      </c>
    </row>
    <row r="435" spans="1:18" s="14" customFormat="1" x14ac:dyDescent="0.25">
      <c r="A435" s="14" t="str">
        <f>"83294"</f>
        <v>83294</v>
      </c>
      <c r="B435" s="14" t="str">
        <f>"07010"</f>
        <v>07010</v>
      </c>
      <c r="C435" s="14" t="str">
        <f>"1800"</f>
        <v>1800</v>
      </c>
      <c r="D435" s="14" t="str">
        <f>""</f>
        <v/>
      </c>
      <c r="E435" s="14" t="s">
        <v>1145</v>
      </c>
      <c r="F435" s="14" t="s">
        <v>1002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228</v>
      </c>
      <c r="P435" s="14" t="s">
        <v>260</v>
      </c>
      <c r="Q435" s="14" t="s">
        <v>260</v>
      </c>
      <c r="R435" s="14" t="s">
        <v>229</v>
      </c>
    </row>
    <row r="436" spans="1:18" s="14" customFormat="1" x14ac:dyDescent="0.25">
      <c r="A436" s="14" t="str">
        <f>"83296"</f>
        <v>83296</v>
      </c>
      <c r="B436" s="14" t="str">
        <f>"07010"</f>
        <v>07010</v>
      </c>
      <c r="C436" s="14" t="str">
        <f>"1800"</f>
        <v>1800</v>
      </c>
      <c r="D436" s="14" t="str">
        <f>""</f>
        <v/>
      </c>
      <c r="E436" s="14" t="s">
        <v>1146</v>
      </c>
      <c r="F436" s="14" t="s">
        <v>1002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228</v>
      </c>
      <c r="P436" s="14" t="s">
        <v>260</v>
      </c>
      <c r="Q436" s="14" t="s">
        <v>260</v>
      </c>
      <c r="R436" s="14" t="s">
        <v>229</v>
      </c>
    </row>
    <row r="437" spans="1:18" s="14" customFormat="1" x14ac:dyDescent="0.25">
      <c r="A437" s="14" t="str">
        <f>"83299"</f>
        <v>83299</v>
      </c>
      <c r="B437" s="14" t="str">
        <f>"07010"</f>
        <v>07010</v>
      </c>
      <c r="C437" s="14" t="str">
        <f>"1800"</f>
        <v>1800</v>
      </c>
      <c r="D437" s="14" t="str">
        <f>""</f>
        <v/>
      </c>
      <c r="E437" s="14" t="s">
        <v>1147</v>
      </c>
      <c r="F437" s="14" t="s">
        <v>1002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228</v>
      </c>
      <c r="P437" s="14" t="s">
        <v>260</v>
      </c>
      <c r="Q437" s="14" t="s">
        <v>260</v>
      </c>
      <c r="R437" s="14" t="s">
        <v>229</v>
      </c>
    </row>
    <row r="438" spans="1:18" s="14" customFormat="1" x14ac:dyDescent="0.25">
      <c r="A438" s="14" t="str">
        <f>"83300"</f>
        <v>83300</v>
      </c>
      <c r="B438" s="14" t="str">
        <f>"07010"</f>
        <v>07010</v>
      </c>
      <c r="C438" s="14" t="str">
        <f>"1800"</f>
        <v>1800</v>
      </c>
      <c r="D438" s="14" t="str">
        <f>""</f>
        <v/>
      </c>
      <c r="E438" s="14" t="s">
        <v>1148</v>
      </c>
      <c r="F438" s="14" t="s">
        <v>1002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228</v>
      </c>
      <c r="P438" s="14" t="s">
        <v>260</v>
      </c>
      <c r="Q438" s="14" t="s">
        <v>260</v>
      </c>
      <c r="R438" s="14" t="s">
        <v>229</v>
      </c>
    </row>
    <row r="439" spans="1:18" s="14" customFormat="1" x14ac:dyDescent="0.25">
      <c r="A439" s="14" t="str">
        <f>"83301"</f>
        <v>83301</v>
      </c>
      <c r="B439" s="14" t="str">
        <f>"07010"</f>
        <v>07010</v>
      </c>
      <c r="C439" s="14" t="str">
        <f>"1800"</f>
        <v>1800</v>
      </c>
      <c r="D439" s="14" t="str">
        <f>""</f>
        <v/>
      </c>
      <c r="E439" s="14" t="s">
        <v>1149</v>
      </c>
      <c r="F439" s="14" t="s">
        <v>1002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228</v>
      </c>
      <c r="P439" s="14" t="s">
        <v>260</v>
      </c>
      <c r="Q439" s="14" t="s">
        <v>260</v>
      </c>
      <c r="R439" s="14" t="s">
        <v>229</v>
      </c>
    </row>
    <row r="440" spans="1:18" s="14" customFormat="1" x14ac:dyDescent="0.25">
      <c r="A440" s="14" t="str">
        <f>"83306"</f>
        <v>83306</v>
      </c>
      <c r="B440" s="14" t="str">
        <f>"07010"</f>
        <v>07010</v>
      </c>
      <c r="C440" s="14" t="str">
        <f>"1800"</f>
        <v>1800</v>
      </c>
      <c r="D440" s="14" t="str">
        <f>""</f>
        <v/>
      </c>
      <c r="E440" s="14" t="s">
        <v>1150</v>
      </c>
      <c r="F440" s="14" t="s">
        <v>1002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228</v>
      </c>
      <c r="P440" s="14" t="s">
        <v>260</v>
      </c>
      <c r="Q440" s="14" t="s">
        <v>260</v>
      </c>
      <c r="R440" s="14" t="s">
        <v>229</v>
      </c>
    </row>
    <row r="441" spans="1:18" s="14" customFormat="1" x14ac:dyDescent="0.25">
      <c r="A441" s="14" t="str">
        <f>"83309"</f>
        <v>83309</v>
      </c>
      <c r="B441" s="14" t="str">
        <f>"07010"</f>
        <v>07010</v>
      </c>
      <c r="C441" s="14" t="str">
        <f>"1800"</f>
        <v>1800</v>
      </c>
      <c r="D441" s="14" t="str">
        <f>""</f>
        <v/>
      </c>
      <c r="E441" s="14" t="s">
        <v>1151</v>
      </c>
      <c r="F441" s="14" t="s">
        <v>1002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228</v>
      </c>
      <c r="P441" s="14" t="s">
        <v>260</v>
      </c>
      <c r="Q441" s="14" t="s">
        <v>260</v>
      </c>
      <c r="R441" s="14" t="s">
        <v>229</v>
      </c>
    </row>
    <row r="442" spans="1:18" s="14" customFormat="1" x14ac:dyDescent="0.25">
      <c r="A442" s="14" t="str">
        <f>"83310"</f>
        <v>83310</v>
      </c>
      <c r="B442" s="14" t="str">
        <f>"07010"</f>
        <v>07010</v>
      </c>
      <c r="C442" s="14" t="str">
        <f>"1800"</f>
        <v>1800</v>
      </c>
      <c r="D442" s="14" t="str">
        <f>""</f>
        <v/>
      </c>
      <c r="E442" s="14" t="s">
        <v>1152</v>
      </c>
      <c r="F442" s="14" t="s">
        <v>1002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228</v>
      </c>
      <c r="P442" s="14" t="s">
        <v>260</v>
      </c>
      <c r="Q442" s="14" t="s">
        <v>260</v>
      </c>
      <c r="R442" s="14" t="s">
        <v>229</v>
      </c>
    </row>
    <row r="443" spans="1:18" s="14" customFormat="1" x14ac:dyDescent="0.25">
      <c r="A443" s="14" t="str">
        <f>"83312"</f>
        <v>83312</v>
      </c>
      <c r="B443" s="14" t="str">
        <f>"07010"</f>
        <v>07010</v>
      </c>
      <c r="C443" s="14" t="str">
        <f>"1800"</f>
        <v>1800</v>
      </c>
      <c r="D443" s="14" t="str">
        <f>""</f>
        <v/>
      </c>
      <c r="E443" s="14" t="s">
        <v>1153</v>
      </c>
      <c r="F443" s="14" t="s">
        <v>1002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228</v>
      </c>
      <c r="P443" s="14" t="s">
        <v>260</v>
      </c>
      <c r="Q443" s="14" t="s">
        <v>260</v>
      </c>
      <c r="R443" s="14" t="s">
        <v>229</v>
      </c>
    </row>
    <row r="444" spans="1:18" s="14" customFormat="1" x14ac:dyDescent="0.25">
      <c r="A444" s="14" t="str">
        <f>"83313"</f>
        <v>83313</v>
      </c>
      <c r="B444" s="14" t="str">
        <f>"07010"</f>
        <v>07010</v>
      </c>
      <c r="C444" s="14" t="str">
        <f>"1800"</f>
        <v>1800</v>
      </c>
      <c r="D444" s="14" t="str">
        <f>""</f>
        <v/>
      </c>
      <c r="E444" s="14" t="s">
        <v>1154</v>
      </c>
      <c r="F444" s="14" t="s">
        <v>1002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228</v>
      </c>
      <c r="P444" s="14" t="s">
        <v>260</v>
      </c>
      <c r="Q444" s="14" t="s">
        <v>260</v>
      </c>
      <c r="R444" s="14" t="s">
        <v>229</v>
      </c>
    </row>
    <row r="445" spans="1:18" s="14" customFormat="1" x14ac:dyDescent="0.25">
      <c r="A445" s="14" t="str">
        <f>"83315"</f>
        <v>83315</v>
      </c>
      <c r="B445" s="14" t="str">
        <f>"07010"</f>
        <v>07010</v>
      </c>
      <c r="C445" s="14" t="str">
        <f>"1800"</f>
        <v>1800</v>
      </c>
      <c r="D445" s="14" t="str">
        <f>""</f>
        <v/>
      </c>
      <c r="E445" s="14" t="s">
        <v>1155</v>
      </c>
      <c r="F445" s="14" t="s">
        <v>1002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228</v>
      </c>
      <c r="P445" s="14" t="s">
        <v>260</v>
      </c>
      <c r="Q445" s="14" t="s">
        <v>260</v>
      </c>
      <c r="R445" s="14" t="s">
        <v>229</v>
      </c>
    </row>
    <row r="446" spans="1:18" s="14" customFormat="1" x14ac:dyDescent="0.25">
      <c r="A446" s="14" t="str">
        <f>"83316"</f>
        <v>83316</v>
      </c>
      <c r="B446" s="14" t="str">
        <f>"07010"</f>
        <v>07010</v>
      </c>
      <c r="C446" s="14" t="str">
        <f>"1800"</f>
        <v>1800</v>
      </c>
      <c r="D446" s="14" t="str">
        <f>""</f>
        <v/>
      </c>
      <c r="E446" s="14" t="s">
        <v>1156</v>
      </c>
      <c r="F446" s="14" t="s">
        <v>1002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228</v>
      </c>
      <c r="P446" s="14" t="s">
        <v>260</v>
      </c>
      <c r="Q446" s="14" t="s">
        <v>260</v>
      </c>
      <c r="R446" s="14" t="s">
        <v>229</v>
      </c>
    </row>
    <row r="447" spans="1:18" s="14" customFormat="1" x14ac:dyDescent="0.25">
      <c r="A447" s="14" t="str">
        <f>"83317"</f>
        <v>83317</v>
      </c>
      <c r="B447" s="14" t="str">
        <f>"07010"</f>
        <v>07010</v>
      </c>
      <c r="C447" s="14" t="str">
        <f>"1800"</f>
        <v>1800</v>
      </c>
      <c r="D447" s="14" t="str">
        <f>""</f>
        <v/>
      </c>
      <c r="E447" s="14" t="s">
        <v>1157</v>
      </c>
      <c r="F447" s="14" t="s">
        <v>1002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228</v>
      </c>
      <c r="P447" s="14" t="s">
        <v>260</v>
      </c>
      <c r="Q447" s="14" t="s">
        <v>260</v>
      </c>
      <c r="R447" s="14" t="s">
        <v>229</v>
      </c>
    </row>
    <row r="448" spans="1:18" s="14" customFormat="1" x14ac:dyDescent="0.25">
      <c r="A448" s="14" t="str">
        <f>"83318"</f>
        <v>83318</v>
      </c>
      <c r="B448" s="14" t="str">
        <f>"07010"</f>
        <v>07010</v>
      </c>
      <c r="C448" s="14" t="str">
        <f>"1800"</f>
        <v>1800</v>
      </c>
      <c r="D448" s="14" t="str">
        <f>""</f>
        <v/>
      </c>
      <c r="E448" s="14" t="s">
        <v>1158</v>
      </c>
      <c r="F448" s="14" t="s">
        <v>1002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228</v>
      </c>
      <c r="P448" s="14" t="s">
        <v>260</v>
      </c>
      <c r="Q448" s="14" t="s">
        <v>260</v>
      </c>
      <c r="R448" s="14" t="s">
        <v>229</v>
      </c>
    </row>
    <row r="449" spans="1:18" s="14" customFormat="1" x14ac:dyDescent="0.25">
      <c r="A449" s="14" t="str">
        <f>"83319"</f>
        <v>83319</v>
      </c>
      <c r="B449" s="14" t="str">
        <f>"07010"</f>
        <v>07010</v>
      </c>
      <c r="C449" s="14" t="str">
        <f>"1800"</f>
        <v>1800</v>
      </c>
      <c r="D449" s="14" t="str">
        <f>""</f>
        <v/>
      </c>
      <c r="E449" s="14" t="s">
        <v>1159</v>
      </c>
      <c r="F449" s="14" t="s">
        <v>1002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228</v>
      </c>
      <c r="P449" s="14" t="s">
        <v>260</v>
      </c>
      <c r="Q449" s="14" t="s">
        <v>260</v>
      </c>
      <c r="R449" s="14" t="s">
        <v>229</v>
      </c>
    </row>
    <row r="450" spans="1:18" s="14" customFormat="1" x14ac:dyDescent="0.25">
      <c r="A450" s="14" t="str">
        <f>"83320"</f>
        <v>83320</v>
      </c>
      <c r="B450" s="14" t="str">
        <f>"07010"</f>
        <v>07010</v>
      </c>
      <c r="C450" s="14" t="str">
        <f>"1800"</f>
        <v>1800</v>
      </c>
      <c r="D450" s="14" t="str">
        <f>""</f>
        <v/>
      </c>
      <c r="E450" s="14" t="s">
        <v>1160</v>
      </c>
      <c r="F450" s="14" t="s">
        <v>1002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228</v>
      </c>
      <c r="P450" s="14" t="s">
        <v>260</v>
      </c>
      <c r="Q450" s="14" t="s">
        <v>260</v>
      </c>
      <c r="R450" s="14" t="s">
        <v>229</v>
      </c>
    </row>
    <row r="451" spans="1:18" s="14" customFormat="1" x14ac:dyDescent="0.25">
      <c r="A451" s="14" t="str">
        <f>"83321"</f>
        <v>83321</v>
      </c>
      <c r="B451" s="14" t="str">
        <f>"07010"</f>
        <v>07010</v>
      </c>
      <c r="C451" s="14" t="str">
        <f>"1800"</f>
        <v>1800</v>
      </c>
      <c r="D451" s="14" t="str">
        <f>""</f>
        <v/>
      </c>
      <c r="E451" s="14" t="s">
        <v>1161</v>
      </c>
      <c r="F451" s="14" t="s">
        <v>1002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228</v>
      </c>
      <c r="P451" s="14" t="s">
        <v>260</v>
      </c>
      <c r="Q451" s="14" t="s">
        <v>260</v>
      </c>
      <c r="R451" s="14" t="s">
        <v>229</v>
      </c>
    </row>
    <row r="452" spans="1:18" s="14" customFormat="1" x14ac:dyDescent="0.25">
      <c r="A452" s="14" t="str">
        <f>"83323"</f>
        <v>83323</v>
      </c>
      <c r="B452" s="14" t="str">
        <f>"07010"</f>
        <v>07010</v>
      </c>
      <c r="C452" s="14" t="str">
        <f>"1800"</f>
        <v>1800</v>
      </c>
      <c r="D452" s="14" t="str">
        <f>""</f>
        <v/>
      </c>
      <c r="E452" s="14" t="s">
        <v>1162</v>
      </c>
      <c r="F452" s="14" t="s">
        <v>1002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228</v>
      </c>
      <c r="P452" s="14" t="s">
        <v>260</v>
      </c>
      <c r="Q452" s="14" t="s">
        <v>260</v>
      </c>
      <c r="R452" s="14" t="s">
        <v>229</v>
      </c>
    </row>
    <row r="453" spans="1:18" s="14" customFormat="1" x14ac:dyDescent="0.25">
      <c r="A453" s="14" t="str">
        <f>"83324"</f>
        <v>83324</v>
      </c>
      <c r="B453" s="14" t="str">
        <f>"07010"</f>
        <v>07010</v>
      </c>
      <c r="C453" s="14" t="str">
        <f>"1800"</f>
        <v>1800</v>
      </c>
      <c r="D453" s="14" t="str">
        <f>""</f>
        <v/>
      </c>
      <c r="E453" s="14" t="s">
        <v>1163</v>
      </c>
      <c r="F453" s="14" t="s">
        <v>1002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228</v>
      </c>
      <c r="P453" s="14" t="s">
        <v>260</v>
      </c>
      <c r="Q453" s="14" t="s">
        <v>260</v>
      </c>
      <c r="R453" s="14" t="s">
        <v>229</v>
      </c>
    </row>
    <row r="454" spans="1:18" s="14" customFormat="1" x14ac:dyDescent="0.25">
      <c r="A454" s="14" t="str">
        <f>"83326"</f>
        <v>83326</v>
      </c>
      <c r="B454" s="14" t="str">
        <f>"07010"</f>
        <v>07010</v>
      </c>
      <c r="C454" s="14" t="str">
        <f>"1800"</f>
        <v>1800</v>
      </c>
      <c r="D454" s="14" t="str">
        <f>""</f>
        <v/>
      </c>
      <c r="E454" s="14" t="s">
        <v>1164</v>
      </c>
      <c r="F454" s="14" t="s">
        <v>1002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228</v>
      </c>
      <c r="P454" s="14" t="s">
        <v>260</v>
      </c>
      <c r="Q454" s="14" t="s">
        <v>260</v>
      </c>
      <c r="R454" s="14" t="s">
        <v>229</v>
      </c>
    </row>
    <row r="455" spans="1:18" s="14" customFormat="1" x14ac:dyDescent="0.25">
      <c r="A455" s="14" t="str">
        <f>"83330"</f>
        <v>83330</v>
      </c>
      <c r="B455" s="14" t="str">
        <f>"07010"</f>
        <v>07010</v>
      </c>
      <c r="C455" s="14" t="str">
        <f>"1800"</f>
        <v>1800</v>
      </c>
      <c r="D455" s="14" t="str">
        <f>""</f>
        <v/>
      </c>
      <c r="E455" s="14" t="s">
        <v>1165</v>
      </c>
      <c r="F455" s="14" t="s">
        <v>1002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228</v>
      </c>
      <c r="P455" s="14" t="s">
        <v>260</v>
      </c>
      <c r="Q455" s="14" t="s">
        <v>260</v>
      </c>
      <c r="R455" s="14" t="s">
        <v>229</v>
      </c>
    </row>
    <row r="456" spans="1:18" s="14" customFormat="1" x14ac:dyDescent="0.25">
      <c r="A456" s="14" t="str">
        <f>"83332"</f>
        <v>83332</v>
      </c>
      <c r="B456" s="14" t="str">
        <f>"07010"</f>
        <v>07010</v>
      </c>
      <c r="C456" s="14" t="str">
        <f>"1800"</f>
        <v>1800</v>
      </c>
      <c r="D456" s="14" t="str">
        <f>""</f>
        <v/>
      </c>
      <c r="E456" s="14" t="s">
        <v>1166</v>
      </c>
      <c r="F456" s="14" t="s">
        <v>1002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228</v>
      </c>
      <c r="P456" s="14" t="s">
        <v>260</v>
      </c>
      <c r="Q456" s="14" t="s">
        <v>260</v>
      </c>
      <c r="R456" s="14" t="s">
        <v>229</v>
      </c>
    </row>
    <row r="457" spans="1:18" s="14" customFormat="1" x14ac:dyDescent="0.25">
      <c r="A457" s="14" t="str">
        <f>"83334"</f>
        <v>83334</v>
      </c>
      <c r="B457" s="14" t="str">
        <f>"07010"</f>
        <v>07010</v>
      </c>
      <c r="C457" s="14" t="str">
        <f>"1800"</f>
        <v>1800</v>
      </c>
      <c r="D457" s="14" t="str">
        <f>""</f>
        <v/>
      </c>
      <c r="E457" s="14" t="s">
        <v>1167</v>
      </c>
      <c r="F457" s="14" t="s">
        <v>1002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228</v>
      </c>
      <c r="P457" s="14" t="s">
        <v>260</v>
      </c>
      <c r="Q457" s="14" t="s">
        <v>260</v>
      </c>
      <c r="R457" s="14" t="s">
        <v>229</v>
      </c>
    </row>
    <row r="458" spans="1:18" s="14" customFormat="1" x14ac:dyDescent="0.25">
      <c r="A458" s="14" t="str">
        <f>"83335"</f>
        <v>83335</v>
      </c>
      <c r="B458" s="14" t="str">
        <f>"07010"</f>
        <v>07010</v>
      </c>
      <c r="C458" s="14" t="str">
        <f>"1800"</f>
        <v>1800</v>
      </c>
      <c r="D458" s="14" t="str">
        <f>""</f>
        <v/>
      </c>
      <c r="E458" s="14" t="s">
        <v>1168</v>
      </c>
      <c r="F458" s="14" t="s">
        <v>1002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228</v>
      </c>
      <c r="P458" s="14" t="s">
        <v>260</v>
      </c>
      <c r="Q458" s="14" t="s">
        <v>260</v>
      </c>
      <c r="R458" s="14" t="s">
        <v>229</v>
      </c>
    </row>
    <row r="459" spans="1:18" s="14" customFormat="1" x14ac:dyDescent="0.25">
      <c r="A459" s="14" t="str">
        <f>"83337"</f>
        <v>83337</v>
      </c>
      <c r="B459" s="14" t="str">
        <f>"07010"</f>
        <v>07010</v>
      </c>
      <c r="C459" s="14" t="str">
        <f>"1800"</f>
        <v>1800</v>
      </c>
      <c r="D459" s="14" t="str">
        <f>""</f>
        <v/>
      </c>
      <c r="E459" s="14" t="s">
        <v>1169</v>
      </c>
      <c r="F459" s="14" t="s">
        <v>1002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228</v>
      </c>
      <c r="P459" s="14" t="s">
        <v>260</v>
      </c>
      <c r="Q459" s="14" t="s">
        <v>260</v>
      </c>
      <c r="R459" s="14" t="s">
        <v>229</v>
      </c>
    </row>
    <row r="460" spans="1:18" s="14" customFormat="1" x14ac:dyDescent="0.25">
      <c r="A460" s="14" t="str">
        <f>"83339"</f>
        <v>83339</v>
      </c>
      <c r="B460" s="14" t="str">
        <f>"07010"</f>
        <v>07010</v>
      </c>
      <c r="C460" s="14" t="str">
        <f>"1800"</f>
        <v>1800</v>
      </c>
      <c r="D460" s="14" t="str">
        <f>""</f>
        <v/>
      </c>
      <c r="E460" s="14" t="s">
        <v>1170</v>
      </c>
      <c r="F460" s="14" t="s">
        <v>1002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228</v>
      </c>
      <c r="P460" s="14" t="s">
        <v>260</v>
      </c>
      <c r="Q460" s="14" t="s">
        <v>260</v>
      </c>
      <c r="R460" s="14" t="s">
        <v>229</v>
      </c>
    </row>
    <row r="461" spans="1:18" s="14" customFormat="1" x14ac:dyDescent="0.25">
      <c r="A461" s="14" t="str">
        <f>"83340"</f>
        <v>83340</v>
      </c>
      <c r="B461" s="14" t="str">
        <f>"07010"</f>
        <v>07010</v>
      </c>
      <c r="C461" s="14" t="str">
        <f>"1800"</f>
        <v>1800</v>
      </c>
      <c r="D461" s="14" t="str">
        <f>""</f>
        <v/>
      </c>
      <c r="E461" s="14" t="s">
        <v>1171</v>
      </c>
      <c r="F461" s="14" t="s">
        <v>1002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228</v>
      </c>
      <c r="P461" s="14" t="s">
        <v>260</v>
      </c>
      <c r="Q461" s="14" t="s">
        <v>260</v>
      </c>
      <c r="R461" s="14" t="s">
        <v>229</v>
      </c>
    </row>
    <row r="462" spans="1:18" s="14" customFormat="1" x14ac:dyDescent="0.25">
      <c r="A462" s="14" t="str">
        <f>"83343"</f>
        <v>83343</v>
      </c>
      <c r="B462" s="14" t="str">
        <f>"07010"</f>
        <v>07010</v>
      </c>
      <c r="C462" s="14" t="str">
        <f>"1800"</f>
        <v>1800</v>
      </c>
      <c r="D462" s="14" t="str">
        <f>""</f>
        <v/>
      </c>
      <c r="E462" s="14" t="s">
        <v>1172</v>
      </c>
      <c r="F462" s="14" t="s">
        <v>1002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228</v>
      </c>
      <c r="P462" s="14" t="s">
        <v>260</v>
      </c>
      <c r="Q462" s="14" t="s">
        <v>260</v>
      </c>
      <c r="R462" s="14" t="s">
        <v>229</v>
      </c>
    </row>
    <row r="463" spans="1:18" s="14" customFormat="1" x14ac:dyDescent="0.25">
      <c r="A463" s="14" t="str">
        <f>"83344"</f>
        <v>83344</v>
      </c>
      <c r="B463" s="14" t="str">
        <f>"07010"</f>
        <v>07010</v>
      </c>
      <c r="C463" s="14" t="str">
        <f>"1800"</f>
        <v>1800</v>
      </c>
      <c r="D463" s="14" t="str">
        <f>""</f>
        <v/>
      </c>
      <c r="E463" s="14" t="s">
        <v>1173</v>
      </c>
      <c r="F463" s="14" t="s">
        <v>1002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228</v>
      </c>
      <c r="P463" s="14" t="s">
        <v>260</v>
      </c>
      <c r="Q463" s="14" t="s">
        <v>260</v>
      </c>
      <c r="R463" s="14" t="s">
        <v>229</v>
      </c>
    </row>
    <row r="464" spans="1:18" s="14" customFormat="1" x14ac:dyDescent="0.25">
      <c r="A464" s="14" t="str">
        <f>"83345"</f>
        <v>83345</v>
      </c>
      <c r="B464" s="14" t="str">
        <f>"07010"</f>
        <v>07010</v>
      </c>
      <c r="C464" s="14" t="str">
        <f>"1800"</f>
        <v>1800</v>
      </c>
      <c r="D464" s="14" t="str">
        <f>""</f>
        <v/>
      </c>
      <c r="E464" s="14" t="s">
        <v>1174</v>
      </c>
      <c r="F464" s="14" t="s">
        <v>1002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228</v>
      </c>
      <c r="P464" s="14" t="s">
        <v>260</v>
      </c>
      <c r="Q464" s="14" t="s">
        <v>260</v>
      </c>
      <c r="R464" s="14" t="s">
        <v>229</v>
      </c>
    </row>
    <row r="465" spans="1:18" s="14" customFormat="1" x14ac:dyDescent="0.25">
      <c r="A465" s="14" t="str">
        <f>"83346"</f>
        <v>83346</v>
      </c>
      <c r="B465" s="14" t="str">
        <f>"07010"</f>
        <v>07010</v>
      </c>
      <c r="C465" s="14" t="str">
        <f>"1800"</f>
        <v>1800</v>
      </c>
      <c r="D465" s="14" t="str">
        <f>""</f>
        <v/>
      </c>
      <c r="E465" s="14" t="s">
        <v>1175</v>
      </c>
      <c r="F465" s="14" t="s">
        <v>1002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228</v>
      </c>
      <c r="P465" s="14" t="s">
        <v>260</v>
      </c>
      <c r="Q465" s="14" t="s">
        <v>260</v>
      </c>
      <c r="R465" s="14" t="s">
        <v>229</v>
      </c>
    </row>
    <row r="466" spans="1:18" s="14" customFormat="1" x14ac:dyDescent="0.25">
      <c r="A466" s="14" t="str">
        <f>"83351"</f>
        <v>83351</v>
      </c>
      <c r="B466" s="14" t="str">
        <f>"07010"</f>
        <v>07010</v>
      </c>
      <c r="C466" s="14" t="str">
        <f>"1800"</f>
        <v>1800</v>
      </c>
      <c r="D466" s="14" t="str">
        <f>""</f>
        <v/>
      </c>
      <c r="E466" s="14" t="s">
        <v>1176</v>
      </c>
      <c r="F466" s="14" t="s">
        <v>1002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228</v>
      </c>
      <c r="P466" s="14" t="s">
        <v>260</v>
      </c>
      <c r="Q466" s="14" t="s">
        <v>260</v>
      </c>
      <c r="R466" s="14" t="s">
        <v>229</v>
      </c>
    </row>
    <row r="467" spans="1:18" s="14" customFormat="1" x14ac:dyDescent="0.25">
      <c r="A467" s="14" t="str">
        <f>"83352"</f>
        <v>83352</v>
      </c>
      <c r="B467" s="14" t="str">
        <f>"07010"</f>
        <v>07010</v>
      </c>
      <c r="C467" s="14" t="str">
        <f>"1800"</f>
        <v>1800</v>
      </c>
      <c r="D467" s="14" t="str">
        <f>""</f>
        <v/>
      </c>
      <c r="E467" s="14" t="s">
        <v>1177</v>
      </c>
      <c r="F467" s="14" t="s">
        <v>1002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228</v>
      </c>
      <c r="P467" s="14" t="s">
        <v>260</v>
      </c>
      <c r="Q467" s="14" t="s">
        <v>260</v>
      </c>
      <c r="R467" s="14" t="s">
        <v>229</v>
      </c>
    </row>
    <row r="468" spans="1:18" s="14" customFormat="1" x14ac:dyDescent="0.25">
      <c r="A468" s="14" t="str">
        <f>"83353"</f>
        <v>83353</v>
      </c>
      <c r="B468" s="14" t="str">
        <f>"07010"</f>
        <v>07010</v>
      </c>
      <c r="C468" s="14" t="str">
        <f>"1800"</f>
        <v>1800</v>
      </c>
      <c r="D468" s="14" t="str">
        <f>""</f>
        <v/>
      </c>
      <c r="E468" s="14" t="s">
        <v>1178</v>
      </c>
      <c r="F468" s="14" t="s">
        <v>1002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228</v>
      </c>
      <c r="P468" s="14" t="s">
        <v>260</v>
      </c>
      <c r="Q468" s="14" t="s">
        <v>260</v>
      </c>
      <c r="R468" s="14" t="s">
        <v>229</v>
      </c>
    </row>
    <row r="469" spans="1:18" s="14" customFormat="1" x14ac:dyDescent="0.25">
      <c r="A469" s="14" t="str">
        <f>"83354"</f>
        <v>83354</v>
      </c>
      <c r="B469" s="14" t="str">
        <f>"07010"</f>
        <v>07010</v>
      </c>
      <c r="C469" s="14" t="str">
        <f>"1800"</f>
        <v>1800</v>
      </c>
      <c r="D469" s="14" t="str">
        <f>""</f>
        <v/>
      </c>
      <c r="E469" s="14" t="s">
        <v>1179</v>
      </c>
      <c r="F469" s="14" t="s">
        <v>1002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228</v>
      </c>
      <c r="P469" s="14" t="s">
        <v>260</v>
      </c>
      <c r="Q469" s="14" t="s">
        <v>260</v>
      </c>
      <c r="R469" s="14" t="s">
        <v>229</v>
      </c>
    </row>
    <row r="470" spans="1:18" s="14" customFormat="1" x14ac:dyDescent="0.25">
      <c r="A470" s="14" t="str">
        <f>"83355"</f>
        <v>83355</v>
      </c>
      <c r="B470" s="14" t="str">
        <f>"07010"</f>
        <v>07010</v>
      </c>
      <c r="C470" s="14" t="str">
        <f>"1800"</f>
        <v>1800</v>
      </c>
      <c r="D470" s="14" t="str">
        <f>""</f>
        <v/>
      </c>
      <c r="E470" s="14" t="s">
        <v>1180</v>
      </c>
      <c r="F470" s="14" t="s">
        <v>1002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228</v>
      </c>
      <c r="P470" s="14" t="s">
        <v>260</v>
      </c>
      <c r="Q470" s="14" t="s">
        <v>260</v>
      </c>
      <c r="R470" s="14" t="s">
        <v>229</v>
      </c>
    </row>
    <row r="471" spans="1:18" s="14" customFormat="1" x14ac:dyDescent="0.25">
      <c r="A471" s="14" t="str">
        <f>"83356"</f>
        <v>83356</v>
      </c>
      <c r="B471" s="14" t="str">
        <f>"07010"</f>
        <v>07010</v>
      </c>
      <c r="C471" s="14" t="str">
        <f>"1800"</f>
        <v>1800</v>
      </c>
      <c r="D471" s="14" t="str">
        <f>""</f>
        <v/>
      </c>
      <c r="E471" s="14" t="s">
        <v>1181</v>
      </c>
      <c r="F471" s="14" t="s">
        <v>1002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228</v>
      </c>
      <c r="P471" s="14" t="s">
        <v>260</v>
      </c>
      <c r="Q471" s="14" t="s">
        <v>260</v>
      </c>
      <c r="R471" s="14" t="s">
        <v>229</v>
      </c>
    </row>
    <row r="472" spans="1:18" s="14" customFormat="1" x14ac:dyDescent="0.25">
      <c r="A472" s="14" t="str">
        <f>"83357"</f>
        <v>83357</v>
      </c>
      <c r="B472" s="14" t="str">
        <f>"07010"</f>
        <v>07010</v>
      </c>
      <c r="C472" s="14" t="str">
        <f>"1800"</f>
        <v>1800</v>
      </c>
      <c r="D472" s="14" t="str">
        <f>""</f>
        <v/>
      </c>
      <c r="E472" s="14" t="s">
        <v>1182</v>
      </c>
      <c r="F472" s="14" t="s">
        <v>1002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228</v>
      </c>
      <c r="P472" s="14" t="s">
        <v>260</v>
      </c>
      <c r="Q472" s="14" t="s">
        <v>260</v>
      </c>
      <c r="R472" s="14" t="s">
        <v>229</v>
      </c>
    </row>
    <row r="473" spans="1:18" s="14" customFormat="1" x14ac:dyDescent="0.25">
      <c r="A473" s="14" t="str">
        <f>"83359"</f>
        <v>83359</v>
      </c>
      <c r="B473" s="14" t="str">
        <f>"07010"</f>
        <v>07010</v>
      </c>
      <c r="C473" s="14" t="str">
        <f>"1800"</f>
        <v>1800</v>
      </c>
      <c r="D473" s="14" t="str">
        <f>""</f>
        <v/>
      </c>
      <c r="E473" s="14" t="s">
        <v>1183</v>
      </c>
      <c r="F473" s="14" t="s">
        <v>1002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228</v>
      </c>
      <c r="P473" s="14" t="s">
        <v>260</v>
      </c>
      <c r="Q473" s="14" t="s">
        <v>260</v>
      </c>
      <c r="R473" s="14" t="s">
        <v>229</v>
      </c>
    </row>
    <row r="474" spans="1:18" s="14" customFormat="1" x14ac:dyDescent="0.25">
      <c r="A474" s="14" t="str">
        <f>"83360"</f>
        <v>83360</v>
      </c>
      <c r="B474" s="14" t="str">
        <f>"07010"</f>
        <v>07010</v>
      </c>
      <c r="C474" s="14" t="str">
        <f>"1800"</f>
        <v>1800</v>
      </c>
      <c r="D474" s="14" t="str">
        <f>""</f>
        <v/>
      </c>
      <c r="E474" s="14" t="s">
        <v>1184</v>
      </c>
      <c r="F474" s="14" t="s">
        <v>1002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228</v>
      </c>
      <c r="P474" s="14" t="s">
        <v>260</v>
      </c>
      <c r="Q474" s="14" t="s">
        <v>260</v>
      </c>
      <c r="R474" s="14" t="s">
        <v>229</v>
      </c>
    </row>
    <row r="475" spans="1:18" s="14" customFormat="1" x14ac:dyDescent="0.25">
      <c r="A475" s="14" t="str">
        <f>"83363"</f>
        <v>83363</v>
      </c>
      <c r="B475" s="14" t="str">
        <f>"07010"</f>
        <v>07010</v>
      </c>
      <c r="C475" s="14" t="str">
        <f>"1800"</f>
        <v>1800</v>
      </c>
      <c r="D475" s="14" t="str">
        <f>""</f>
        <v/>
      </c>
      <c r="E475" s="14" t="s">
        <v>1185</v>
      </c>
      <c r="F475" s="14" t="s">
        <v>1002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228</v>
      </c>
      <c r="P475" s="14" t="s">
        <v>260</v>
      </c>
      <c r="Q475" s="14" t="s">
        <v>260</v>
      </c>
      <c r="R475" s="14" t="s">
        <v>229</v>
      </c>
    </row>
    <row r="476" spans="1:18" s="14" customFormat="1" x14ac:dyDescent="0.25">
      <c r="A476" s="14" t="str">
        <f>"83364"</f>
        <v>83364</v>
      </c>
      <c r="B476" s="14" t="str">
        <f>"07010"</f>
        <v>07010</v>
      </c>
      <c r="C476" s="14" t="str">
        <f>"1800"</f>
        <v>1800</v>
      </c>
      <c r="D476" s="14" t="str">
        <f>""</f>
        <v/>
      </c>
      <c r="E476" s="14" t="s">
        <v>1186</v>
      </c>
      <c r="F476" s="14" t="s">
        <v>1002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228</v>
      </c>
      <c r="P476" s="14" t="s">
        <v>260</v>
      </c>
      <c r="Q476" s="14" t="s">
        <v>260</v>
      </c>
      <c r="R476" s="14" t="s">
        <v>229</v>
      </c>
    </row>
    <row r="477" spans="1:18" s="14" customFormat="1" x14ac:dyDescent="0.25">
      <c r="A477" s="14" t="str">
        <f>"83365"</f>
        <v>83365</v>
      </c>
      <c r="B477" s="14" t="str">
        <f>"07010"</f>
        <v>07010</v>
      </c>
      <c r="C477" s="14" t="str">
        <f>"1800"</f>
        <v>1800</v>
      </c>
      <c r="D477" s="14" t="str">
        <f>""</f>
        <v/>
      </c>
      <c r="E477" s="14" t="s">
        <v>1187</v>
      </c>
      <c r="F477" s="14" t="s">
        <v>1002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228</v>
      </c>
      <c r="P477" s="14" t="s">
        <v>260</v>
      </c>
      <c r="Q477" s="14" t="s">
        <v>260</v>
      </c>
      <c r="R477" s="14" t="s">
        <v>229</v>
      </c>
    </row>
    <row r="478" spans="1:18" s="14" customFormat="1" x14ac:dyDescent="0.25">
      <c r="A478" s="14" t="str">
        <f>"83367"</f>
        <v>83367</v>
      </c>
      <c r="B478" s="14" t="str">
        <f>"07010"</f>
        <v>07010</v>
      </c>
      <c r="C478" s="14" t="str">
        <f>"1800"</f>
        <v>1800</v>
      </c>
      <c r="D478" s="14" t="str">
        <f>""</f>
        <v/>
      </c>
      <c r="E478" s="14" t="s">
        <v>1188</v>
      </c>
      <c r="F478" s="14" t="s">
        <v>1002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228</v>
      </c>
      <c r="P478" s="14" t="s">
        <v>260</v>
      </c>
      <c r="Q478" s="14" t="s">
        <v>260</v>
      </c>
      <c r="R478" s="14" t="s">
        <v>229</v>
      </c>
    </row>
    <row r="479" spans="1:18" s="14" customFormat="1" x14ac:dyDescent="0.25">
      <c r="A479" s="14" t="str">
        <f>"83368"</f>
        <v>83368</v>
      </c>
      <c r="B479" s="14" t="str">
        <f>"07010"</f>
        <v>07010</v>
      </c>
      <c r="C479" s="14" t="str">
        <f>"1800"</f>
        <v>1800</v>
      </c>
      <c r="D479" s="14" t="str">
        <f>""</f>
        <v/>
      </c>
      <c r="E479" s="14" t="s">
        <v>1189</v>
      </c>
      <c r="F479" s="14" t="s">
        <v>1002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228</v>
      </c>
      <c r="P479" s="14" t="s">
        <v>260</v>
      </c>
      <c r="Q479" s="14" t="s">
        <v>260</v>
      </c>
      <c r="R479" s="14" t="s">
        <v>229</v>
      </c>
    </row>
    <row r="480" spans="1:18" s="14" customFormat="1" x14ac:dyDescent="0.25">
      <c r="A480" s="14" t="str">
        <f>"83369"</f>
        <v>83369</v>
      </c>
      <c r="B480" s="14" t="str">
        <f>"07010"</f>
        <v>07010</v>
      </c>
      <c r="C480" s="14" t="str">
        <f>"1800"</f>
        <v>1800</v>
      </c>
      <c r="D480" s="14" t="str">
        <f>""</f>
        <v/>
      </c>
      <c r="E480" s="14" t="s">
        <v>1190</v>
      </c>
      <c r="F480" s="14" t="s">
        <v>1002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228</v>
      </c>
      <c r="P480" s="14" t="s">
        <v>260</v>
      </c>
      <c r="Q480" s="14" t="s">
        <v>260</v>
      </c>
      <c r="R480" s="14" t="s">
        <v>229</v>
      </c>
    </row>
    <row r="481" spans="1:18" s="14" customFormat="1" x14ac:dyDescent="0.25">
      <c r="A481" s="14" t="str">
        <f>"83370"</f>
        <v>83370</v>
      </c>
      <c r="B481" s="14" t="str">
        <f>"07010"</f>
        <v>07010</v>
      </c>
      <c r="C481" s="14" t="str">
        <f>"1800"</f>
        <v>1800</v>
      </c>
      <c r="D481" s="14" t="str">
        <f>""</f>
        <v/>
      </c>
      <c r="E481" s="14" t="s">
        <v>1191</v>
      </c>
      <c r="F481" s="14" t="s">
        <v>1002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228</v>
      </c>
      <c r="P481" s="14" t="s">
        <v>260</v>
      </c>
      <c r="Q481" s="14" t="s">
        <v>260</v>
      </c>
      <c r="R481" s="14" t="s">
        <v>229</v>
      </c>
    </row>
    <row r="482" spans="1:18" s="14" customFormat="1" x14ac:dyDescent="0.25">
      <c r="A482" s="14" t="str">
        <f>"83371"</f>
        <v>83371</v>
      </c>
      <c r="B482" s="14" t="str">
        <f>"07010"</f>
        <v>07010</v>
      </c>
      <c r="C482" s="14" t="str">
        <f>"1800"</f>
        <v>1800</v>
      </c>
      <c r="D482" s="14" t="str">
        <f>""</f>
        <v/>
      </c>
      <c r="E482" s="14" t="s">
        <v>1192</v>
      </c>
      <c r="F482" s="14" t="s">
        <v>1002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228</v>
      </c>
      <c r="P482" s="14" t="s">
        <v>260</v>
      </c>
      <c r="Q482" s="14" t="s">
        <v>260</v>
      </c>
      <c r="R482" s="14" t="s">
        <v>229</v>
      </c>
    </row>
    <row r="483" spans="1:18" s="14" customFormat="1" x14ac:dyDescent="0.25">
      <c r="A483" s="14" t="str">
        <f>"83372"</f>
        <v>83372</v>
      </c>
      <c r="B483" s="14" t="str">
        <f>"07010"</f>
        <v>07010</v>
      </c>
      <c r="C483" s="14" t="str">
        <f>"1800"</f>
        <v>1800</v>
      </c>
      <c r="D483" s="14" t="str">
        <f>""</f>
        <v/>
      </c>
      <c r="E483" s="14" t="s">
        <v>1193</v>
      </c>
      <c r="F483" s="14" t="s">
        <v>1002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228</v>
      </c>
      <c r="P483" s="14" t="s">
        <v>260</v>
      </c>
      <c r="Q483" s="14" t="s">
        <v>260</v>
      </c>
      <c r="R483" s="14" t="s">
        <v>229</v>
      </c>
    </row>
    <row r="484" spans="1:18" s="14" customFormat="1" x14ac:dyDescent="0.25">
      <c r="A484" s="14" t="str">
        <f>"83373"</f>
        <v>83373</v>
      </c>
      <c r="B484" s="14" t="str">
        <f>"07010"</f>
        <v>07010</v>
      </c>
      <c r="C484" s="14" t="str">
        <f>"1800"</f>
        <v>1800</v>
      </c>
      <c r="D484" s="14" t="str">
        <f>""</f>
        <v/>
      </c>
      <c r="E484" s="14" t="s">
        <v>1194</v>
      </c>
      <c r="F484" s="14" t="s">
        <v>1002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228</v>
      </c>
      <c r="P484" s="14" t="s">
        <v>260</v>
      </c>
      <c r="Q484" s="14" t="s">
        <v>260</v>
      </c>
      <c r="R484" s="14" t="s">
        <v>229</v>
      </c>
    </row>
    <row r="485" spans="1:18" s="14" customFormat="1" x14ac:dyDescent="0.25">
      <c r="A485" s="14" t="str">
        <f>"83374"</f>
        <v>83374</v>
      </c>
      <c r="B485" s="14" t="str">
        <f>"07010"</f>
        <v>07010</v>
      </c>
      <c r="C485" s="14" t="str">
        <f>"1800"</f>
        <v>1800</v>
      </c>
      <c r="D485" s="14" t="str">
        <f>""</f>
        <v/>
      </c>
      <c r="E485" s="14" t="s">
        <v>1195</v>
      </c>
      <c r="F485" s="14" t="s">
        <v>1002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228</v>
      </c>
      <c r="P485" s="14" t="s">
        <v>260</v>
      </c>
      <c r="Q485" s="14" t="s">
        <v>260</v>
      </c>
      <c r="R485" s="14" t="s">
        <v>229</v>
      </c>
    </row>
    <row r="486" spans="1:18" s="14" customFormat="1" x14ac:dyDescent="0.25">
      <c r="A486" s="14" t="str">
        <f>"83375"</f>
        <v>83375</v>
      </c>
      <c r="B486" s="14" t="str">
        <f>"07010"</f>
        <v>07010</v>
      </c>
      <c r="C486" s="14" t="str">
        <f>"1800"</f>
        <v>1800</v>
      </c>
      <c r="D486" s="14" t="str">
        <f>""</f>
        <v/>
      </c>
      <c r="E486" s="14" t="s">
        <v>1196</v>
      </c>
      <c r="F486" s="14" t="s">
        <v>1002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228</v>
      </c>
      <c r="P486" s="14" t="s">
        <v>260</v>
      </c>
      <c r="Q486" s="14" t="s">
        <v>260</v>
      </c>
      <c r="R486" s="14" t="s">
        <v>229</v>
      </c>
    </row>
    <row r="487" spans="1:18" s="14" customFormat="1" x14ac:dyDescent="0.25">
      <c r="A487" s="14" t="str">
        <f>"83376"</f>
        <v>83376</v>
      </c>
      <c r="B487" s="14" t="str">
        <f>"07010"</f>
        <v>07010</v>
      </c>
      <c r="C487" s="14" t="str">
        <f>"1800"</f>
        <v>1800</v>
      </c>
      <c r="D487" s="14" t="str">
        <f>""</f>
        <v/>
      </c>
      <c r="E487" s="14" t="s">
        <v>1197</v>
      </c>
      <c r="F487" s="14" t="s">
        <v>1002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228</v>
      </c>
      <c r="P487" s="14" t="s">
        <v>260</v>
      </c>
      <c r="Q487" s="14" t="s">
        <v>260</v>
      </c>
      <c r="R487" s="14" t="s">
        <v>229</v>
      </c>
    </row>
    <row r="488" spans="1:18" s="14" customFormat="1" x14ac:dyDescent="0.25">
      <c r="A488" s="14" t="str">
        <f>"83378"</f>
        <v>83378</v>
      </c>
      <c r="B488" s="14" t="str">
        <f>"07010"</f>
        <v>07010</v>
      </c>
      <c r="C488" s="14" t="str">
        <f>"1800"</f>
        <v>1800</v>
      </c>
      <c r="D488" s="14" t="str">
        <f>""</f>
        <v/>
      </c>
      <c r="E488" s="14" t="s">
        <v>1198</v>
      </c>
      <c r="F488" s="14" t="s">
        <v>1002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228</v>
      </c>
      <c r="P488" s="14" t="s">
        <v>260</v>
      </c>
      <c r="Q488" s="14" t="s">
        <v>260</v>
      </c>
      <c r="R488" s="14" t="s">
        <v>229</v>
      </c>
    </row>
    <row r="489" spans="1:18" s="14" customFormat="1" x14ac:dyDescent="0.25">
      <c r="A489" s="14" t="str">
        <f>"83379"</f>
        <v>83379</v>
      </c>
      <c r="B489" s="14" t="str">
        <f>"07010"</f>
        <v>07010</v>
      </c>
      <c r="C489" s="14" t="str">
        <f>"1800"</f>
        <v>1800</v>
      </c>
      <c r="D489" s="14" t="str">
        <f>""</f>
        <v/>
      </c>
      <c r="E489" s="14" t="s">
        <v>1199</v>
      </c>
      <c r="F489" s="14" t="s">
        <v>1002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228</v>
      </c>
      <c r="P489" s="14" t="s">
        <v>260</v>
      </c>
      <c r="Q489" s="14" t="s">
        <v>260</v>
      </c>
      <c r="R489" s="14" t="s">
        <v>229</v>
      </c>
    </row>
    <row r="490" spans="1:18" s="14" customFormat="1" x14ac:dyDescent="0.25">
      <c r="A490" s="14" t="str">
        <f>"83380"</f>
        <v>83380</v>
      </c>
      <c r="B490" s="14" t="str">
        <f>"07010"</f>
        <v>07010</v>
      </c>
      <c r="C490" s="14" t="str">
        <f>"1800"</f>
        <v>1800</v>
      </c>
      <c r="D490" s="14" t="str">
        <f>""</f>
        <v/>
      </c>
      <c r="E490" s="14" t="s">
        <v>1200</v>
      </c>
      <c r="F490" s="14" t="s">
        <v>1002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228</v>
      </c>
      <c r="P490" s="14" t="s">
        <v>260</v>
      </c>
      <c r="Q490" s="14" t="s">
        <v>260</v>
      </c>
      <c r="R490" s="14" t="s">
        <v>229</v>
      </c>
    </row>
    <row r="491" spans="1:18" s="14" customFormat="1" x14ac:dyDescent="0.25">
      <c r="A491" s="14" t="str">
        <f>"83381"</f>
        <v>83381</v>
      </c>
      <c r="B491" s="14" t="str">
        <f>"07010"</f>
        <v>07010</v>
      </c>
      <c r="C491" s="14" t="str">
        <f>"1800"</f>
        <v>1800</v>
      </c>
      <c r="D491" s="14" t="str">
        <f>""</f>
        <v/>
      </c>
      <c r="E491" s="14" t="s">
        <v>1201</v>
      </c>
      <c r="F491" s="14" t="s">
        <v>1002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228</v>
      </c>
      <c r="P491" s="14" t="s">
        <v>260</v>
      </c>
      <c r="Q491" s="14" t="s">
        <v>260</v>
      </c>
      <c r="R491" s="14" t="s">
        <v>229</v>
      </c>
    </row>
    <row r="492" spans="1:18" s="14" customFormat="1" x14ac:dyDescent="0.25">
      <c r="A492" s="14" t="str">
        <f>"83383"</f>
        <v>83383</v>
      </c>
      <c r="B492" s="14" t="str">
        <f>"07010"</f>
        <v>07010</v>
      </c>
      <c r="C492" s="14" t="str">
        <f>"1800"</f>
        <v>1800</v>
      </c>
      <c r="D492" s="14" t="str">
        <f>""</f>
        <v/>
      </c>
      <c r="E492" s="14" t="s">
        <v>1202</v>
      </c>
      <c r="F492" s="14" t="s">
        <v>1002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228</v>
      </c>
      <c r="P492" s="14" t="s">
        <v>260</v>
      </c>
      <c r="Q492" s="14" t="s">
        <v>260</v>
      </c>
      <c r="R492" s="14" t="s">
        <v>229</v>
      </c>
    </row>
    <row r="493" spans="1:18" s="14" customFormat="1" x14ac:dyDescent="0.25">
      <c r="A493" s="14" t="str">
        <f>"83384"</f>
        <v>83384</v>
      </c>
      <c r="B493" s="14" t="str">
        <f>"07010"</f>
        <v>07010</v>
      </c>
      <c r="C493" s="14" t="str">
        <f>"1800"</f>
        <v>1800</v>
      </c>
      <c r="D493" s="14" t="str">
        <f>""</f>
        <v/>
      </c>
      <c r="E493" s="14" t="s">
        <v>1203</v>
      </c>
      <c r="F493" s="14" t="s">
        <v>1002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228</v>
      </c>
      <c r="P493" s="14" t="s">
        <v>260</v>
      </c>
      <c r="Q493" s="14" t="s">
        <v>260</v>
      </c>
      <c r="R493" s="14" t="s">
        <v>229</v>
      </c>
    </row>
    <row r="494" spans="1:18" s="14" customFormat="1" x14ac:dyDescent="0.25">
      <c r="A494" s="14" t="str">
        <f>"83385"</f>
        <v>83385</v>
      </c>
      <c r="B494" s="14" t="str">
        <f>"07010"</f>
        <v>07010</v>
      </c>
      <c r="C494" s="14" t="str">
        <f>"1800"</f>
        <v>1800</v>
      </c>
      <c r="D494" s="14" t="str">
        <f>""</f>
        <v/>
      </c>
      <c r="E494" s="14" t="s">
        <v>1204</v>
      </c>
      <c r="F494" s="14" t="s">
        <v>1002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228</v>
      </c>
      <c r="P494" s="14" t="s">
        <v>260</v>
      </c>
      <c r="Q494" s="14" t="s">
        <v>260</v>
      </c>
      <c r="R494" s="14" t="s">
        <v>229</v>
      </c>
    </row>
    <row r="495" spans="1:18" s="14" customFormat="1" x14ac:dyDescent="0.25">
      <c r="A495" s="14" t="str">
        <f>"83388"</f>
        <v>83388</v>
      </c>
      <c r="B495" s="14" t="str">
        <f>"07010"</f>
        <v>07010</v>
      </c>
      <c r="C495" s="14" t="str">
        <f>"1800"</f>
        <v>1800</v>
      </c>
      <c r="D495" s="14" t="str">
        <f>""</f>
        <v/>
      </c>
      <c r="E495" s="14" t="s">
        <v>1205</v>
      </c>
      <c r="F495" s="14" t="s">
        <v>1002</v>
      </c>
      <c r="G495" s="14" t="str">
        <f>""</f>
        <v/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228</v>
      </c>
      <c r="P495" s="14" t="s">
        <v>260</v>
      </c>
      <c r="Q495" s="14" t="s">
        <v>260</v>
      </c>
      <c r="R495" s="14" t="s">
        <v>229</v>
      </c>
    </row>
    <row r="496" spans="1:18" s="14" customFormat="1" x14ac:dyDescent="0.25">
      <c r="A496" s="14" t="str">
        <f>"83391"</f>
        <v>83391</v>
      </c>
      <c r="B496" s="14" t="str">
        <f>"07010"</f>
        <v>07010</v>
      </c>
      <c r="C496" s="14" t="str">
        <f>"1800"</f>
        <v>1800</v>
      </c>
      <c r="D496" s="14" t="str">
        <f>""</f>
        <v/>
      </c>
      <c r="E496" s="14" t="s">
        <v>1206</v>
      </c>
      <c r="F496" s="14" t="s">
        <v>1002</v>
      </c>
      <c r="G496" s="14" t="str">
        <f>""</f>
        <v/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228</v>
      </c>
      <c r="P496" s="14" t="s">
        <v>260</v>
      </c>
      <c r="Q496" s="14" t="s">
        <v>260</v>
      </c>
      <c r="R496" s="14" t="s">
        <v>229</v>
      </c>
    </row>
    <row r="497" spans="1:18" s="14" customFormat="1" x14ac:dyDescent="0.25">
      <c r="A497" s="14" t="str">
        <f>"83392"</f>
        <v>83392</v>
      </c>
      <c r="B497" s="14" t="str">
        <f>"07010"</f>
        <v>07010</v>
      </c>
      <c r="C497" s="14" t="str">
        <f>"1800"</f>
        <v>1800</v>
      </c>
      <c r="D497" s="14" t="str">
        <f>""</f>
        <v/>
      </c>
      <c r="E497" s="14" t="s">
        <v>1207</v>
      </c>
      <c r="F497" s="14" t="s">
        <v>1002</v>
      </c>
      <c r="G497" s="14" t="str">
        <f>""</f>
        <v/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228</v>
      </c>
      <c r="P497" s="14" t="s">
        <v>260</v>
      </c>
      <c r="Q497" s="14" t="s">
        <v>260</v>
      </c>
      <c r="R497" s="14" t="s">
        <v>229</v>
      </c>
    </row>
    <row r="498" spans="1:18" s="14" customFormat="1" x14ac:dyDescent="0.25">
      <c r="A498" s="14" t="str">
        <f>"83393"</f>
        <v>83393</v>
      </c>
      <c r="B498" s="14" t="str">
        <f>"07010"</f>
        <v>07010</v>
      </c>
      <c r="C498" s="14" t="str">
        <f>"1800"</f>
        <v>1800</v>
      </c>
      <c r="D498" s="14" t="str">
        <f>""</f>
        <v/>
      </c>
      <c r="E498" s="14" t="s">
        <v>1208</v>
      </c>
      <c r="F498" s="14" t="s">
        <v>1002</v>
      </c>
      <c r="G498" s="14" t="str">
        <f>""</f>
        <v/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228</v>
      </c>
      <c r="P498" s="14" t="s">
        <v>260</v>
      </c>
      <c r="Q498" s="14" t="s">
        <v>260</v>
      </c>
      <c r="R498" s="14" t="s">
        <v>229</v>
      </c>
    </row>
    <row r="499" spans="1:18" s="14" customFormat="1" x14ac:dyDescent="0.25">
      <c r="A499" s="14" t="str">
        <f>"83394"</f>
        <v>83394</v>
      </c>
      <c r="B499" s="14" t="str">
        <f>"07010"</f>
        <v>07010</v>
      </c>
      <c r="C499" s="14" t="str">
        <f>"1800"</f>
        <v>1800</v>
      </c>
      <c r="D499" s="14" t="str">
        <f>""</f>
        <v/>
      </c>
      <c r="E499" s="14" t="s">
        <v>1209</v>
      </c>
      <c r="F499" s="14" t="s">
        <v>1002</v>
      </c>
      <c r="G499" s="14" t="str">
        <f>""</f>
        <v/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228</v>
      </c>
      <c r="P499" s="14" t="s">
        <v>260</v>
      </c>
      <c r="Q499" s="14" t="s">
        <v>260</v>
      </c>
      <c r="R499" s="14" t="s">
        <v>229</v>
      </c>
    </row>
    <row r="500" spans="1:18" s="14" customFormat="1" x14ac:dyDescent="0.25">
      <c r="A500" s="14" t="str">
        <f>"83395"</f>
        <v>83395</v>
      </c>
      <c r="B500" s="14" t="str">
        <f>"07010"</f>
        <v>07010</v>
      </c>
      <c r="C500" s="14" t="str">
        <f>"1800"</f>
        <v>1800</v>
      </c>
      <c r="D500" s="14" t="str">
        <f>""</f>
        <v/>
      </c>
      <c r="E500" s="14" t="s">
        <v>1210</v>
      </c>
      <c r="F500" s="14" t="s">
        <v>1002</v>
      </c>
      <c r="G500" s="14" t="str">
        <f>""</f>
        <v/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228</v>
      </c>
      <c r="P500" s="14" t="s">
        <v>260</v>
      </c>
      <c r="Q500" s="14" t="s">
        <v>260</v>
      </c>
      <c r="R500" s="14" t="s">
        <v>229</v>
      </c>
    </row>
    <row r="501" spans="1:18" s="14" customFormat="1" x14ac:dyDescent="0.25">
      <c r="A501" s="14" t="str">
        <f>"83396"</f>
        <v>83396</v>
      </c>
      <c r="B501" s="14" t="str">
        <f>"07010"</f>
        <v>07010</v>
      </c>
      <c r="C501" s="14" t="str">
        <f>"1800"</f>
        <v>1800</v>
      </c>
      <c r="D501" s="14" t="str">
        <f>""</f>
        <v/>
      </c>
      <c r="E501" s="14" t="s">
        <v>1211</v>
      </c>
      <c r="F501" s="14" t="s">
        <v>1002</v>
      </c>
      <c r="G501" s="14" t="str">
        <f>""</f>
        <v/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228</v>
      </c>
      <c r="P501" s="14" t="s">
        <v>260</v>
      </c>
      <c r="Q501" s="14" t="s">
        <v>260</v>
      </c>
      <c r="R501" s="14" t="s">
        <v>229</v>
      </c>
    </row>
    <row r="502" spans="1:18" s="14" customFormat="1" x14ac:dyDescent="0.25">
      <c r="A502" s="14" t="str">
        <f>"83397"</f>
        <v>83397</v>
      </c>
      <c r="B502" s="14" t="str">
        <f>"07010"</f>
        <v>07010</v>
      </c>
      <c r="C502" s="14" t="str">
        <f>"1800"</f>
        <v>1800</v>
      </c>
      <c r="D502" s="14" t="str">
        <f>""</f>
        <v/>
      </c>
      <c r="E502" s="14" t="s">
        <v>1212</v>
      </c>
      <c r="F502" s="14" t="s">
        <v>1002</v>
      </c>
      <c r="G502" s="14" t="str">
        <f>""</f>
        <v/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228</v>
      </c>
      <c r="P502" s="14" t="s">
        <v>260</v>
      </c>
      <c r="Q502" s="14" t="s">
        <v>260</v>
      </c>
      <c r="R502" s="14" t="s">
        <v>229</v>
      </c>
    </row>
    <row r="503" spans="1:18" s="14" customFormat="1" x14ac:dyDescent="0.25">
      <c r="A503" s="14" t="str">
        <f>"83398"</f>
        <v>83398</v>
      </c>
      <c r="B503" s="14" t="str">
        <f>"07010"</f>
        <v>07010</v>
      </c>
      <c r="C503" s="14" t="str">
        <f>"1800"</f>
        <v>1800</v>
      </c>
      <c r="D503" s="14" t="str">
        <f>""</f>
        <v/>
      </c>
      <c r="E503" s="14" t="s">
        <v>1213</v>
      </c>
      <c r="F503" s="14" t="s">
        <v>1002</v>
      </c>
      <c r="G503" s="14" t="str">
        <f>""</f>
        <v/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228</v>
      </c>
      <c r="P503" s="14" t="s">
        <v>260</v>
      </c>
      <c r="Q503" s="14" t="s">
        <v>260</v>
      </c>
      <c r="R503" s="14" t="s">
        <v>229</v>
      </c>
    </row>
    <row r="504" spans="1:18" s="14" customFormat="1" x14ac:dyDescent="0.25">
      <c r="A504" s="14" t="str">
        <f>"83399"</f>
        <v>83399</v>
      </c>
      <c r="B504" s="14" t="str">
        <f>"07010"</f>
        <v>07010</v>
      </c>
      <c r="C504" s="14" t="str">
        <f>"1800"</f>
        <v>1800</v>
      </c>
      <c r="D504" s="14" t="str">
        <f>""</f>
        <v/>
      </c>
      <c r="E504" s="14" t="s">
        <v>1214</v>
      </c>
      <c r="F504" s="14" t="s">
        <v>1002</v>
      </c>
      <c r="G504" s="14" t="str">
        <f>""</f>
        <v/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228</v>
      </c>
      <c r="P504" s="14" t="s">
        <v>260</v>
      </c>
      <c r="Q504" s="14" t="s">
        <v>260</v>
      </c>
      <c r="R504" s="14" t="s">
        <v>229</v>
      </c>
    </row>
    <row r="505" spans="1:18" s="14" customFormat="1" x14ac:dyDescent="0.25">
      <c r="A505" s="14" t="str">
        <f>"83401"</f>
        <v>83401</v>
      </c>
      <c r="B505" s="14" t="str">
        <f>"07010"</f>
        <v>07010</v>
      </c>
      <c r="C505" s="14" t="str">
        <f>"1800"</f>
        <v>1800</v>
      </c>
      <c r="D505" s="14" t="str">
        <f>""</f>
        <v/>
      </c>
      <c r="E505" s="14" t="s">
        <v>1215</v>
      </c>
      <c r="F505" s="14" t="s">
        <v>1002</v>
      </c>
      <c r="G505" s="14" t="str">
        <f>""</f>
        <v/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228</v>
      </c>
      <c r="P505" s="14" t="s">
        <v>260</v>
      </c>
      <c r="Q505" s="14" t="s">
        <v>260</v>
      </c>
      <c r="R505" s="14" t="s">
        <v>229</v>
      </c>
    </row>
    <row r="506" spans="1:18" s="14" customFormat="1" x14ac:dyDescent="0.25">
      <c r="A506" s="14" t="str">
        <f>"83402"</f>
        <v>83402</v>
      </c>
      <c r="B506" s="14" t="str">
        <f>"07010"</f>
        <v>07010</v>
      </c>
      <c r="C506" s="14" t="str">
        <f>"1800"</f>
        <v>1800</v>
      </c>
      <c r="D506" s="14" t="str">
        <f>""</f>
        <v/>
      </c>
      <c r="E506" s="14" t="s">
        <v>1216</v>
      </c>
      <c r="F506" s="14" t="s">
        <v>1002</v>
      </c>
      <c r="G506" s="14" t="str">
        <f>""</f>
        <v/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228</v>
      </c>
      <c r="P506" s="14" t="s">
        <v>260</v>
      </c>
      <c r="Q506" s="14" t="s">
        <v>260</v>
      </c>
      <c r="R506" s="14" t="s">
        <v>229</v>
      </c>
    </row>
    <row r="507" spans="1:18" s="14" customFormat="1" x14ac:dyDescent="0.25">
      <c r="A507" s="14" t="str">
        <f>"83403"</f>
        <v>83403</v>
      </c>
      <c r="B507" s="14" t="str">
        <f>"07010"</f>
        <v>07010</v>
      </c>
      <c r="C507" s="14" t="str">
        <f>"1800"</f>
        <v>1800</v>
      </c>
      <c r="D507" s="14" t="str">
        <f>""</f>
        <v/>
      </c>
      <c r="E507" s="14" t="s">
        <v>1217</v>
      </c>
      <c r="F507" s="14" t="s">
        <v>1002</v>
      </c>
      <c r="G507" s="14" t="str">
        <f>""</f>
        <v/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228</v>
      </c>
      <c r="P507" s="14" t="s">
        <v>260</v>
      </c>
      <c r="Q507" s="14" t="s">
        <v>260</v>
      </c>
      <c r="R507" s="14" t="s">
        <v>229</v>
      </c>
    </row>
    <row r="508" spans="1:18" s="14" customFormat="1" x14ac:dyDescent="0.25">
      <c r="A508" s="14" t="str">
        <f>"83404"</f>
        <v>83404</v>
      </c>
      <c r="B508" s="14" t="str">
        <f>"07010"</f>
        <v>07010</v>
      </c>
      <c r="C508" s="14" t="str">
        <f>"1800"</f>
        <v>1800</v>
      </c>
      <c r="D508" s="14" t="str">
        <f>""</f>
        <v/>
      </c>
      <c r="E508" s="14" t="s">
        <v>1218</v>
      </c>
      <c r="F508" s="14" t="s">
        <v>1002</v>
      </c>
      <c r="G508" s="14" t="str">
        <f>""</f>
        <v/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228</v>
      </c>
      <c r="P508" s="14" t="s">
        <v>260</v>
      </c>
      <c r="Q508" s="14" t="s">
        <v>260</v>
      </c>
      <c r="R508" s="14" t="s">
        <v>229</v>
      </c>
    </row>
    <row r="509" spans="1:18" s="14" customFormat="1" x14ac:dyDescent="0.25">
      <c r="A509" s="14" t="str">
        <f>"83405"</f>
        <v>83405</v>
      </c>
      <c r="B509" s="14" t="str">
        <f>"07010"</f>
        <v>07010</v>
      </c>
      <c r="C509" s="14" t="str">
        <f>"1800"</f>
        <v>1800</v>
      </c>
      <c r="D509" s="14" t="str">
        <f>""</f>
        <v/>
      </c>
      <c r="E509" s="14" t="s">
        <v>1219</v>
      </c>
      <c r="F509" s="14" t="s">
        <v>1002</v>
      </c>
      <c r="G509" s="14" t="str">
        <f>""</f>
        <v/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228</v>
      </c>
      <c r="P509" s="14" t="s">
        <v>260</v>
      </c>
      <c r="Q509" s="14" t="s">
        <v>260</v>
      </c>
      <c r="R509" s="14" t="s">
        <v>229</v>
      </c>
    </row>
    <row r="510" spans="1:18" s="14" customFormat="1" x14ac:dyDescent="0.25">
      <c r="A510" s="14" t="str">
        <f>"83406"</f>
        <v>83406</v>
      </c>
      <c r="B510" s="14" t="str">
        <f>"07010"</f>
        <v>07010</v>
      </c>
      <c r="C510" s="14" t="str">
        <f>"1800"</f>
        <v>1800</v>
      </c>
      <c r="D510" s="14" t="str">
        <f>""</f>
        <v/>
      </c>
      <c r="E510" s="14" t="s">
        <v>1220</v>
      </c>
      <c r="F510" s="14" t="s">
        <v>1002</v>
      </c>
      <c r="G510" s="14" t="str">
        <f>""</f>
        <v/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228</v>
      </c>
      <c r="P510" s="14" t="s">
        <v>260</v>
      </c>
      <c r="Q510" s="14" t="s">
        <v>260</v>
      </c>
      <c r="R510" s="14" t="s">
        <v>229</v>
      </c>
    </row>
    <row r="511" spans="1:18" s="14" customFormat="1" x14ac:dyDescent="0.25">
      <c r="A511" s="14" t="str">
        <f>"83407"</f>
        <v>83407</v>
      </c>
      <c r="B511" s="14" t="str">
        <f>"07010"</f>
        <v>07010</v>
      </c>
      <c r="C511" s="14" t="str">
        <f>"1800"</f>
        <v>1800</v>
      </c>
      <c r="D511" s="14" t="str">
        <f>""</f>
        <v/>
      </c>
      <c r="E511" s="14" t="s">
        <v>1221</v>
      </c>
      <c r="F511" s="14" t="s">
        <v>1002</v>
      </c>
      <c r="G511" s="14" t="str">
        <f>""</f>
        <v/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228</v>
      </c>
      <c r="P511" s="14" t="s">
        <v>260</v>
      </c>
      <c r="Q511" s="14" t="s">
        <v>260</v>
      </c>
      <c r="R511" s="14" t="s">
        <v>229</v>
      </c>
    </row>
    <row r="512" spans="1:18" s="14" customFormat="1" x14ac:dyDescent="0.25">
      <c r="A512" s="14" t="str">
        <f>"83408"</f>
        <v>83408</v>
      </c>
      <c r="B512" s="14" t="str">
        <f>"07010"</f>
        <v>07010</v>
      </c>
      <c r="C512" s="14" t="str">
        <f>"1800"</f>
        <v>1800</v>
      </c>
      <c r="D512" s="14" t="str">
        <f>""</f>
        <v/>
      </c>
      <c r="E512" s="14" t="s">
        <v>1222</v>
      </c>
      <c r="F512" s="14" t="s">
        <v>1002</v>
      </c>
      <c r="G512" s="14" t="str">
        <f>""</f>
        <v/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228</v>
      </c>
      <c r="P512" s="14" t="s">
        <v>260</v>
      </c>
      <c r="Q512" s="14" t="s">
        <v>260</v>
      </c>
      <c r="R512" s="14" t="s">
        <v>229</v>
      </c>
    </row>
    <row r="513" spans="1:18" s="14" customFormat="1" x14ac:dyDescent="0.25">
      <c r="A513" s="14" t="str">
        <f>"83409"</f>
        <v>83409</v>
      </c>
      <c r="B513" s="14" t="str">
        <f>"07010"</f>
        <v>07010</v>
      </c>
      <c r="C513" s="14" t="str">
        <f>"1800"</f>
        <v>1800</v>
      </c>
      <c r="D513" s="14" t="str">
        <f>""</f>
        <v/>
      </c>
      <c r="E513" s="14" t="s">
        <v>1223</v>
      </c>
      <c r="F513" s="14" t="s">
        <v>1002</v>
      </c>
      <c r="G513" s="14" t="str">
        <f>""</f>
        <v/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228</v>
      </c>
      <c r="P513" s="14" t="s">
        <v>260</v>
      </c>
      <c r="Q513" s="14" t="s">
        <v>260</v>
      </c>
      <c r="R513" s="14" t="s">
        <v>229</v>
      </c>
    </row>
    <row r="514" spans="1:18" s="14" customFormat="1" x14ac:dyDescent="0.25">
      <c r="A514" s="14" t="str">
        <f>"83410"</f>
        <v>83410</v>
      </c>
      <c r="B514" s="14" t="str">
        <f>"07010"</f>
        <v>07010</v>
      </c>
      <c r="C514" s="14" t="str">
        <f>"1800"</f>
        <v>1800</v>
      </c>
      <c r="D514" s="14" t="str">
        <f>""</f>
        <v/>
      </c>
      <c r="E514" s="14" t="s">
        <v>1224</v>
      </c>
      <c r="F514" s="14" t="s">
        <v>1002</v>
      </c>
      <c r="G514" s="14" t="str">
        <f>""</f>
        <v/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228</v>
      </c>
      <c r="P514" s="14" t="s">
        <v>260</v>
      </c>
      <c r="Q514" s="14" t="s">
        <v>260</v>
      </c>
      <c r="R514" s="14" t="s">
        <v>229</v>
      </c>
    </row>
    <row r="515" spans="1:18" s="14" customFormat="1" x14ac:dyDescent="0.25">
      <c r="A515" s="14" t="str">
        <f>"83411"</f>
        <v>83411</v>
      </c>
      <c r="B515" s="14" t="str">
        <f>"07010"</f>
        <v>07010</v>
      </c>
      <c r="C515" s="14" t="str">
        <f>"1800"</f>
        <v>1800</v>
      </c>
      <c r="D515" s="14" t="str">
        <f>""</f>
        <v/>
      </c>
      <c r="E515" s="14" t="s">
        <v>1225</v>
      </c>
      <c r="F515" s="14" t="s">
        <v>1002</v>
      </c>
      <c r="G515" s="14" t="str">
        <f>""</f>
        <v/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228</v>
      </c>
      <c r="P515" s="14" t="s">
        <v>260</v>
      </c>
      <c r="Q515" s="14" t="s">
        <v>260</v>
      </c>
      <c r="R515" s="14" t="s">
        <v>229</v>
      </c>
    </row>
    <row r="516" spans="1:18" s="14" customFormat="1" x14ac:dyDescent="0.25">
      <c r="A516" s="14" t="str">
        <f>"83414"</f>
        <v>83414</v>
      </c>
      <c r="B516" s="14" t="str">
        <f>"07010"</f>
        <v>07010</v>
      </c>
      <c r="C516" s="14" t="str">
        <f>"1800"</f>
        <v>1800</v>
      </c>
      <c r="D516" s="14" t="str">
        <f>""</f>
        <v/>
      </c>
      <c r="E516" s="14" t="s">
        <v>1226</v>
      </c>
      <c r="F516" s="14" t="s">
        <v>1002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228</v>
      </c>
      <c r="P516" s="14" t="s">
        <v>260</v>
      </c>
      <c r="Q516" s="14" t="s">
        <v>260</v>
      </c>
      <c r="R516" s="14" t="s">
        <v>229</v>
      </c>
    </row>
    <row r="517" spans="1:18" s="14" customFormat="1" x14ac:dyDescent="0.25">
      <c r="A517" s="14" t="str">
        <f>"83415"</f>
        <v>83415</v>
      </c>
      <c r="B517" s="14" t="str">
        <f>"07010"</f>
        <v>07010</v>
      </c>
      <c r="C517" s="14" t="str">
        <f>"1800"</f>
        <v>1800</v>
      </c>
      <c r="D517" s="14" t="str">
        <f>""</f>
        <v/>
      </c>
      <c r="E517" s="14" t="s">
        <v>1227</v>
      </c>
      <c r="F517" s="14" t="s">
        <v>1002</v>
      </c>
      <c r="G517" s="14" t="str">
        <f>""</f>
        <v/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228</v>
      </c>
      <c r="P517" s="14" t="s">
        <v>260</v>
      </c>
      <c r="Q517" s="14" t="s">
        <v>260</v>
      </c>
      <c r="R517" s="14" t="s">
        <v>229</v>
      </c>
    </row>
    <row r="518" spans="1:18" s="14" customFormat="1" x14ac:dyDescent="0.25">
      <c r="A518" s="14" t="str">
        <f>"83416"</f>
        <v>83416</v>
      </c>
      <c r="B518" s="14" t="str">
        <f>"07010"</f>
        <v>07010</v>
      </c>
      <c r="C518" s="14" t="str">
        <f>"1800"</f>
        <v>1800</v>
      </c>
      <c r="D518" s="14" t="str">
        <f>""</f>
        <v/>
      </c>
      <c r="E518" s="14" t="s">
        <v>1228</v>
      </c>
      <c r="F518" s="14" t="s">
        <v>1002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228</v>
      </c>
      <c r="P518" s="14" t="s">
        <v>260</v>
      </c>
      <c r="Q518" s="14" t="s">
        <v>260</v>
      </c>
      <c r="R518" s="14" t="s">
        <v>229</v>
      </c>
    </row>
    <row r="519" spans="1:18" s="14" customFormat="1" x14ac:dyDescent="0.25">
      <c r="A519" s="14" t="str">
        <f>"83417"</f>
        <v>83417</v>
      </c>
      <c r="B519" s="14" t="str">
        <f>"07010"</f>
        <v>07010</v>
      </c>
      <c r="C519" s="14" t="str">
        <f>"1800"</f>
        <v>1800</v>
      </c>
      <c r="D519" s="14" t="str">
        <f>""</f>
        <v/>
      </c>
      <c r="E519" s="14" t="s">
        <v>1229</v>
      </c>
      <c r="F519" s="14" t="s">
        <v>1002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228</v>
      </c>
      <c r="P519" s="14" t="s">
        <v>260</v>
      </c>
      <c r="Q519" s="14" t="s">
        <v>260</v>
      </c>
      <c r="R519" s="14" t="s">
        <v>229</v>
      </c>
    </row>
    <row r="520" spans="1:18" s="14" customFormat="1" x14ac:dyDescent="0.25">
      <c r="A520" s="14" t="str">
        <f>"83418"</f>
        <v>83418</v>
      </c>
      <c r="B520" s="14" t="str">
        <f>"07010"</f>
        <v>07010</v>
      </c>
      <c r="C520" s="14" t="str">
        <f>"1800"</f>
        <v>1800</v>
      </c>
      <c r="D520" s="14" t="str">
        <f>""</f>
        <v/>
      </c>
      <c r="E520" s="14" t="s">
        <v>1230</v>
      </c>
      <c r="F520" s="14" t="s">
        <v>1002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228</v>
      </c>
      <c r="P520" s="14" t="s">
        <v>260</v>
      </c>
      <c r="Q520" s="14" t="s">
        <v>260</v>
      </c>
      <c r="R520" s="14" t="s">
        <v>229</v>
      </c>
    </row>
    <row r="521" spans="1:18" s="14" customFormat="1" x14ac:dyDescent="0.25">
      <c r="A521" s="14" t="str">
        <f>"83420"</f>
        <v>83420</v>
      </c>
      <c r="B521" s="14" t="str">
        <f>"07010"</f>
        <v>07010</v>
      </c>
      <c r="C521" s="14" t="str">
        <f>"1800"</f>
        <v>1800</v>
      </c>
      <c r="D521" s="14" t="str">
        <f>""</f>
        <v/>
      </c>
      <c r="E521" s="14" t="s">
        <v>1231</v>
      </c>
      <c r="F521" s="14" t="s">
        <v>1002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228</v>
      </c>
      <c r="P521" s="14" t="s">
        <v>260</v>
      </c>
      <c r="Q521" s="14" t="s">
        <v>260</v>
      </c>
      <c r="R521" s="14" t="s">
        <v>229</v>
      </c>
    </row>
    <row r="522" spans="1:18" s="14" customFormat="1" x14ac:dyDescent="0.25">
      <c r="A522" s="14" t="str">
        <f>"83423"</f>
        <v>83423</v>
      </c>
      <c r="B522" s="14" t="str">
        <f>"07010"</f>
        <v>07010</v>
      </c>
      <c r="C522" s="14" t="str">
        <f>"1800"</f>
        <v>1800</v>
      </c>
      <c r="D522" s="14" t="str">
        <f>""</f>
        <v/>
      </c>
      <c r="E522" s="14" t="s">
        <v>1232</v>
      </c>
      <c r="F522" s="14" t="s">
        <v>1002</v>
      </c>
      <c r="G522" s="14" t="str">
        <f>""</f>
        <v/>
      </c>
      <c r="H522" s="14" t="str">
        <f>" 00"</f>
        <v xml:space="preserve"> 00</v>
      </c>
      <c r="I522" s="14">
        <v>0.01</v>
      </c>
      <c r="J522" s="14">
        <v>9999999.9900000002</v>
      </c>
      <c r="K522" s="14" t="s">
        <v>228</v>
      </c>
      <c r="P522" s="14" t="s">
        <v>260</v>
      </c>
      <c r="Q522" s="14" t="s">
        <v>260</v>
      </c>
      <c r="R522" s="14" t="s">
        <v>229</v>
      </c>
    </row>
    <row r="523" spans="1:18" s="14" customFormat="1" x14ac:dyDescent="0.25">
      <c r="A523" s="14" t="str">
        <f>"83424"</f>
        <v>83424</v>
      </c>
      <c r="B523" s="14" t="str">
        <f>"07010"</f>
        <v>07010</v>
      </c>
      <c r="C523" s="14" t="str">
        <f>"1800"</f>
        <v>1800</v>
      </c>
      <c r="D523" s="14" t="str">
        <f>""</f>
        <v/>
      </c>
      <c r="E523" s="14" t="s">
        <v>1233</v>
      </c>
      <c r="F523" s="14" t="s">
        <v>1002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228</v>
      </c>
      <c r="P523" s="14" t="s">
        <v>260</v>
      </c>
      <c r="Q523" s="14" t="s">
        <v>260</v>
      </c>
      <c r="R523" s="14" t="s">
        <v>229</v>
      </c>
    </row>
    <row r="524" spans="1:18" s="14" customFormat="1" x14ac:dyDescent="0.25">
      <c r="A524" s="14" t="str">
        <f>"83425"</f>
        <v>83425</v>
      </c>
      <c r="B524" s="14" t="str">
        <f>"07010"</f>
        <v>07010</v>
      </c>
      <c r="C524" s="14" t="str">
        <f>"1800"</f>
        <v>1800</v>
      </c>
      <c r="D524" s="14" t="str">
        <f>""</f>
        <v/>
      </c>
      <c r="E524" s="14" t="s">
        <v>1234</v>
      </c>
      <c r="F524" s="14" t="s">
        <v>1002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228</v>
      </c>
      <c r="P524" s="14" t="s">
        <v>260</v>
      </c>
      <c r="Q524" s="14" t="s">
        <v>260</v>
      </c>
      <c r="R524" s="14" t="s">
        <v>229</v>
      </c>
    </row>
    <row r="525" spans="1:18" s="14" customFormat="1" x14ac:dyDescent="0.25">
      <c r="A525" s="14" t="str">
        <f>"83426"</f>
        <v>83426</v>
      </c>
      <c r="B525" s="14" t="str">
        <f>"07010"</f>
        <v>07010</v>
      </c>
      <c r="C525" s="14" t="str">
        <f>"1800"</f>
        <v>1800</v>
      </c>
      <c r="D525" s="14" t="str">
        <f>""</f>
        <v/>
      </c>
      <c r="E525" s="14" t="s">
        <v>1235</v>
      </c>
      <c r="F525" s="14" t="s">
        <v>1002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228</v>
      </c>
      <c r="P525" s="14" t="s">
        <v>260</v>
      </c>
      <c r="Q525" s="14" t="s">
        <v>260</v>
      </c>
      <c r="R525" s="14" t="s">
        <v>229</v>
      </c>
    </row>
    <row r="526" spans="1:18" s="14" customFormat="1" x14ac:dyDescent="0.25">
      <c r="A526" s="14" t="str">
        <f>"83429"</f>
        <v>83429</v>
      </c>
      <c r="B526" s="14" t="str">
        <f>"07010"</f>
        <v>07010</v>
      </c>
      <c r="C526" s="14" t="str">
        <f>"1800"</f>
        <v>1800</v>
      </c>
      <c r="D526" s="14" t="str">
        <f>""</f>
        <v/>
      </c>
      <c r="E526" s="14" t="s">
        <v>1236</v>
      </c>
      <c r="F526" s="14" t="s">
        <v>1002</v>
      </c>
      <c r="G526" s="14" t="str">
        <f>""</f>
        <v/>
      </c>
      <c r="H526" s="14" t="str">
        <f>" 00"</f>
        <v xml:space="preserve"> 00</v>
      </c>
      <c r="I526" s="14">
        <v>0.01</v>
      </c>
      <c r="J526" s="14">
        <v>9999999.9900000002</v>
      </c>
      <c r="K526" s="14" t="s">
        <v>228</v>
      </c>
      <c r="P526" s="14" t="s">
        <v>260</v>
      </c>
      <c r="Q526" s="14" t="s">
        <v>260</v>
      </c>
      <c r="R526" s="14" t="s">
        <v>229</v>
      </c>
    </row>
    <row r="527" spans="1:18" s="14" customFormat="1" x14ac:dyDescent="0.25">
      <c r="A527" s="14" t="str">
        <f>"83431"</f>
        <v>83431</v>
      </c>
      <c r="B527" s="14" t="str">
        <f>"07010"</f>
        <v>07010</v>
      </c>
      <c r="C527" s="14" t="str">
        <f>"1800"</f>
        <v>1800</v>
      </c>
      <c r="D527" s="14" t="str">
        <f>""</f>
        <v/>
      </c>
      <c r="E527" s="14" t="s">
        <v>1237</v>
      </c>
      <c r="F527" s="14" t="s">
        <v>1002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228</v>
      </c>
      <c r="P527" s="14" t="s">
        <v>260</v>
      </c>
      <c r="Q527" s="14" t="s">
        <v>260</v>
      </c>
      <c r="R527" s="14" t="s">
        <v>229</v>
      </c>
    </row>
    <row r="528" spans="1:18" s="14" customFormat="1" x14ac:dyDescent="0.25">
      <c r="A528" s="14" t="str">
        <f>"83434"</f>
        <v>83434</v>
      </c>
      <c r="B528" s="14" t="str">
        <f>"07010"</f>
        <v>07010</v>
      </c>
      <c r="C528" s="14" t="str">
        <f>"1800"</f>
        <v>1800</v>
      </c>
      <c r="D528" s="14" t="str">
        <f>""</f>
        <v/>
      </c>
      <c r="E528" s="14" t="s">
        <v>1238</v>
      </c>
      <c r="F528" s="14" t="s">
        <v>1002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228</v>
      </c>
      <c r="P528" s="14" t="s">
        <v>260</v>
      </c>
      <c r="Q528" s="14" t="s">
        <v>260</v>
      </c>
      <c r="R528" s="14" t="s">
        <v>229</v>
      </c>
    </row>
    <row r="529" spans="1:18" s="14" customFormat="1" x14ac:dyDescent="0.25">
      <c r="A529" s="14" t="str">
        <f>"83437"</f>
        <v>83437</v>
      </c>
      <c r="B529" s="14" t="str">
        <f>"07010"</f>
        <v>07010</v>
      </c>
      <c r="C529" s="14" t="str">
        <f>"1800"</f>
        <v>1800</v>
      </c>
      <c r="D529" s="14" t="str">
        <f>""</f>
        <v/>
      </c>
      <c r="E529" s="14" t="s">
        <v>1239</v>
      </c>
      <c r="F529" s="14" t="s">
        <v>1002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228</v>
      </c>
      <c r="P529" s="14" t="s">
        <v>260</v>
      </c>
      <c r="Q529" s="14" t="s">
        <v>260</v>
      </c>
      <c r="R529" s="14" t="s">
        <v>229</v>
      </c>
    </row>
    <row r="530" spans="1:18" s="14" customFormat="1" x14ac:dyDescent="0.25">
      <c r="A530" s="14" t="str">
        <f>"83438"</f>
        <v>83438</v>
      </c>
      <c r="B530" s="14" t="str">
        <f>"07010"</f>
        <v>07010</v>
      </c>
      <c r="C530" s="14" t="str">
        <f>"1800"</f>
        <v>1800</v>
      </c>
      <c r="D530" s="14" t="str">
        <f>""</f>
        <v/>
      </c>
      <c r="E530" s="14" t="s">
        <v>1240</v>
      </c>
      <c r="F530" s="14" t="s">
        <v>1002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228</v>
      </c>
      <c r="P530" s="14" t="s">
        <v>260</v>
      </c>
      <c r="Q530" s="14" t="s">
        <v>260</v>
      </c>
      <c r="R530" s="14" t="s">
        <v>229</v>
      </c>
    </row>
    <row r="531" spans="1:18" s="14" customFormat="1" x14ac:dyDescent="0.25">
      <c r="A531" s="14" t="str">
        <f>"83441"</f>
        <v>83441</v>
      </c>
      <c r="B531" s="14" t="str">
        <f>"07010"</f>
        <v>07010</v>
      </c>
      <c r="C531" s="14" t="str">
        <f>"1800"</f>
        <v>1800</v>
      </c>
      <c r="D531" s="14" t="str">
        <f>""</f>
        <v/>
      </c>
      <c r="E531" s="14" t="s">
        <v>1241</v>
      </c>
      <c r="F531" s="14" t="s">
        <v>1002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228</v>
      </c>
      <c r="P531" s="14" t="s">
        <v>260</v>
      </c>
      <c r="Q531" s="14" t="s">
        <v>260</v>
      </c>
      <c r="R531" s="14" t="s">
        <v>229</v>
      </c>
    </row>
    <row r="532" spans="1:18" s="14" customFormat="1" x14ac:dyDescent="0.25">
      <c r="A532" s="14" t="str">
        <f>"83442"</f>
        <v>83442</v>
      </c>
      <c r="B532" s="14" t="str">
        <f>"07010"</f>
        <v>07010</v>
      </c>
      <c r="C532" s="14" t="str">
        <f>"1800"</f>
        <v>1800</v>
      </c>
      <c r="D532" s="14" t="str">
        <f>""</f>
        <v/>
      </c>
      <c r="E532" s="14" t="s">
        <v>1242</v>
      </c>
      <c r="F532" s="14" t="s">
        <v>1002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228</v>
      </c>
      <c r="P532" s="14" t="s">
        <v>260</v>
      </c>
      <c r="Q532" s="14" t="s">
        <v>260</v>
      </c>
      <c r="R532" s="14" t="s">
        <v>229</v>
      </c>
    </row>
    <row r="533" spans="1:18" s="14" customFormat="1" x14ac:dyDescent="0.25">
      <c r="A533" s="14" t="str">
        <f>"83443"</f>
        <v>83443</v>
      </c>
      <c r="B533" s="14" t="str">
        <f>"07010"</f>
        <v>07010</v>
      </c>
      <c r="C533" s="14" t="str">
        <f>"1800"</f>
        <v>1800</v>
      </c>
      <c r="D533" s="14" t="str">
        <f>""</f>
        <v/>
      </c>
      <c r="E533" s="14" t="s">
        <v>1243</v>
      </c>
      <c r="F533" s="14" t="s">
        <v>1002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228</v>
      </c>
      <c r="P533" s="14" t="s">
        <v>260</v>
      </c>
      <c r="Q533" s="14" t="s">
        <v>260</v>
      </c>
      <c r="R533" s="14" t="s">
        <v>229</v>
      </c>
    </row>
    <row r="534" spans="1:18" s="14" customFormat="1" x14ac:dyDescent="0.25">
      <c r="A534" s="14" t="str">
        <f>"83444"</f>
        <v>83444</v>
      </c>
      <c r="B534" s="14" t="str">
        <f>"07010"</f>
        <v>07010</v>
      </c>
      <c r="C534" s="14" t="str">
        <f>"1800"</f>
        <v>1800</v>
      </c>
      <c r="D534" s="14" t="str">
        <f>""</f>
        <v/>
      </c>
      <c r="E534" s="14" t="s">
        <v>1244</v>
      </c>
      <c r="F534" s="14" t="s">
        <v>1002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228</v>
      </c>
      <c r="P534" s="14" t="s">
        <v>260</v>
      </c>
      <c r="Q534" s="14" t="s">
        <v>260</v>
      </c>
      <c r="R534" s="14" t="s">
        <v>229</v>
      </c>
    </row>
    <row r="535" spans="1:18" s="14" customFormat="1" x14ac:dyDescent="0.25">
      <c r="A535" s="14" t="str">
        <f>"83445"</f>
        <v>83445</v>
      </c>
      <c r="B535" s="14" t="str">
        <f>"07010"</f>
        <v>07010</v>
      </c>
      <c r="C535" s="14" t="str">
        <f>"1800"</f>
        <v>1800</v>
      </c>
      <c r="D535" s="14" t="str">
        <f>""</f>
        <v/>
      </c>
      <c r="E535" s="14" t="s">
        <v>1245</v>
      </c>
      <c r="F535" s="14" t="s">
        <v>1002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228</v>
      </c>
      <c r="P535" s="14" t="s">
        <v>260</v>
      </c>
      <c r="Q535" s="14" t="s">
        <v>260</v>
      </c>
      <c r="R535" s="14" t="s">
        <v>229</v>
      </c>
    </row>
    <row r="536" spans="1:18" s="14" customFormat="1" x14ac:dyDescent="0.25">
      <c r="A536" s="14" t="str">
        <f>"83446"</f>
        <v>83446</v>
      </c>
      <c r="B536" s="14" t="str">
        <f>"07010"</f>
        <v>07010</v>
      </c>
      <c r="C536" s="14" t="str">
        <f>"1800"</f>
        <v>1800</v>
      </c>
      <c r="D536" s="14" t="str">
        <f>""</f>
        <v/>
      </c>
      <c r="E536" s="14" t="s">
        <v>1246</v>
      </c>
      <c r="F536" s="14" t="s">
        <v>1002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228</v>
      </c>
      <c r="P536" s="14" t="s">
        <v>260</v>
      </c>
      <c r="Q536" s="14" t="s">
        <v>260</v>
      </c>
      <c r="R536" s="14" t="s">
        <v>229</v>
      </c>
    </row>
    <row r="537" spans="1:18" s="14" customFormat="1" x14ac:dyDescent="0.25">
      <c r="A537" s="14" t="str">
        <f>"83447"</f>
        <v>83447</v>
      </c>
      <c r="B537" s="14" t="str">
        <f>"07010"</f>
        <v>07010</v>
      </c>
      <c r="C537" s="14" t="str">
        <f>"1800"</f>
        <v>1800</v>
      </c>
      <c r="D537" s="14" t="str">
        <f>""</f>
        <v/>
      </c>
      <c r="E537" s="14" t="s">
        <v>1247</v>
      </c>
      <c r="F537" s="14" t="s">
        <v>1002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228</v>
      </c>
      <c r="P537" s="14" t="s">
        <v>260</v>
      </c>
      <c r="Q537" s="14" t="s">
        <v>260</v>
      </c>
      <c r="R537" s="14" t="s">
        <v>229</v>
      </c>
    </row>
    <row r="538" spans="1:18" s="14" customFormat="1" x14ac:dyDescent="0.25">
      <c r="A538" s="14" t="str">
        <f>"83449"</f>
        <v>83449</v>
      </c>
      <c r="B538" s="14" t="str">
        <f>"07010"</f>
        <v>07010</v>
      </c>
      <c r="C538" s="14" t="str">
        <f>"1800"</f>
        <v>1800</v>
      </c>
      <c r="D538" s="14" t="str">
        <f>""</f>
        <v/>
      </c>
      <c r="E538" s="14" t="s">
        <v>1248</v>
      </c>
      <c r="F538" s="14" t="s">
        <v>1002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228</v>
      </c>
      <c r="P538" s="14" t="s">
        <v>260</v>
      </c>
      <c r="Q538" s="14" t="s">
        <v>260</v>
      </c>
      <c r="R538" s="14" t="s">
        <v>229</v>
      </c>
    </row>
    <row r="539" spans="1:18" s="14" customFormat="1" x14ac:dyDescent="0.25">
      <c r="A539" s="14" t="str">
        <f>"83450"</f>
        <v>83450</v>
      </c>
      <c r="B539" s="14" t="str">
        <f>"07010"</f>
        <v>07010</v>
      </c>
      <c r="C539" s="14" t="str">
        <f>"1800"</f>
        <v>1800</v>
      </c>
      <c r="D539" s="14" t="str">
        <f>""</f>
        <v/>
      </c>
      <c r="E539" s="14" t="s">
        <v>1249</v>
      </c>
      <c r="F539" s="14" t="s">
        <v>1002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228</v>
      </c>
      <c r="P539" s="14" t="s">
        <v>260</v>
      </c>
      <c r="Q539" s="14" t="s">
        <v>260</v>
      </c>
      <c r="R539" s="14" t="s">
        <v>229</v>
      </c>
    </row>
    <row r="540" spans="1:18" s="14" customFormat="1" x14ac:dyDescent="0.25">
      <c r="A540" s="14" t="str">
        <f>"83451"</f>
        <v>83451</v>
      </c>
      <c r="B540" s="14" t="str">
        <f>"07010"</f>
        <v>07010</v>
      </c>
      <c r="C540" s="14" t="str">
        <f>"1800"</f>
        <v>1800</v>
      </c>
      <c r="D540" s="14" t="str">
        <f>""</f>
        <v/>
      </c>
      <c r="E540" s="14" t="s">
        <v>1250</v>
      </c>
      <c r="F540" s="14" t="s">
        <v>1002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228</v>
      </c>
      <c r="P540" s="14" t="s">
        <v>260</v>
      </c>
      <c r="Q540" s="14" t="s">
        <v>260</v>
      </c>
      <c r="R540" s="14" t="s">
        <v>229</v>
      </c>
    </row>
    <row r="541" spans="1:18" s="14" customFormat="1" x14ac:dyDescent="0.25">
      <c r="A541" s="14" t="str">
        <f>"83452"</f>
        <v>83452</v>
      </c>
      <c r="B541" s="14" t="str">
        <f>"07010"</f>
        <v>07010</v>
      </c>
      <c r="C541" s="14" t="str">
        <f>"1800"</f>
        <v>1800</v>
      </c>
      <c r="D541" s="14" t="str">
        <f>""</f>
        <v/>
      </c>
      <c r="E541" s="14" t="s">
        <v>1251</v>
      </c>
      <c r="F541" s="14" t="s">
        <v>1002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228</v>
      </c>
      <c r="P541" s="14" t="s">
        <v>260</v>
      </c>
      <c r="Q541" s="14" t="s">
        <v>260</v>
      </c>
      <c r="R541" s="14" t="s">
        <v>229</v>
      </c>
    </row>
    <row r="542" spans="1:18" s="14" customFormat="1" x14ac:dyDescent="0.25">
      <c r="A542" s="14" t="str">
        <f>"83454"</f>
        <v>83454</v>
      </c>
      <c r="B542" s="14" t="str">
        <f>"07010"</f>
        <v>07010</v>
      </c>
      <c r="C542" s="14" t="str">
        <f>"1800"</f>
        <v>1800</v>
      </c>
      <c r="D542" s="14" t="str">
        <f>""</f>
        <v/>
      </c>
      <c r="E542" s="14" t="s">
        <v>1252</v>
      </c>
      <c r="F542" s="14" t="s">
        <v>1002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228</v>
      </c>
      <c r="P542" s="14" t="s">
        <v>260</v>
      </c>
      <c r="Q542" s="14" t="s">
        <v>260</v>
      </c>
      <c r="R542" s="14" t="s">
        <v>229</v>
      </c>
    </row>
    <row r="543" spans="1:18" s="14" customFormat="1" x14ac:dyDescent="0.25">
      <c r="A543" s="14" t="str">
        <f>"83456"</f>
        <v>83456</v>
      </c>
      <c r="B543" s="14" t="str">
        <f>"07010"</f>
        <v>07010</v>
      </c>
      <c r="C543" s="14" t="str">
        <f>"1800"</f>
        <v>1800</v>
      </c>
      <c r="D543" s="14" t="str">
        <f>""</f>
        <v/>
      </c>
      <c r="E543" s="14" t="s">
        <v>1253</v>
      </c>
      <c r="F543" s="14" t="s">
        <v>1002</v>
      </c>
      <c r="G543" s="14" t="str">
        <f>""</f>
        <v/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228</v>
      </c>
      <c r="P543" s="14" t="s">
        <v>260</v>
      </c>
      <c r="Q543" s="14" t="s">
        <v>260</v>
      </c>
      <c r="R543" s="14" t="s">
        <v>229</v>
      </c>
    </row>
    <row r="544" spans="1:18" s="14" customFormat="1" x14ac:dyDescent="0.25">
      <c r="A544" s="14" t="str">
        <f>"83457"</f>
        <v>83457</v>
      </c>
      <c r="B544" s="14" t="str">
        <f>"07010"</f>
        <v>07010</v>
      </c>
      <c r="C544" s="14" t="str">
        <f>"1800"</f>
        <v>1800</v>
      </c>
      <c r="D544" s="14" t="str">
        <f>""</f>
        <v/>
      </c>
      <c r="E544" s="14" t="s">
        <v>1254</v>
      </c>
      <c r="F544" s="14" t="s">
        <v>1002</v>
      </c>
      <c r="G544" s="14" t="str">
        <f>""</f>
        <v/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228</v>
      </c>
      <c r="P544" s="14" t="s">
        <v>260</v>
      </c>
      <c r="Q544" s="14" t="s">
        <v>260</v>
      </c>
      <c r="R544" s="14" t="s">
        <v>229</v>
      </c>
    </row>
    <row r="545" spans="1:18" s="14" customFormat="1" x14ac:dyDescent="0.25">
      <c r="A545" s="14" t="str">
        <f>"83460"</f>
        <v>83460</v>
      </c>
      <c r="B545" s="14" t="str">
        <f>"07010"</f>
        <v>07010</v>
      </c>
      <c r="C545" s="14" t="str">
        <f>"1800"</f>
        <v>1800</v>
      </c>
      <c r="D545" s="14" t="str">
        <f>""</f>
        <v/>
      </c>
      <c r="E545" s="14" t="s">
        <v>1255</v>
      </c>
      <c r="F545" s="14" t="s">
        <v>1002</v>
      </c>
      <c r="G545" s="14" t="str">
        <f>""</f>
        <v/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228</v>
      </c>
      <c r="P545" s="14" t="s">
        <v>260</v>
      </c>
      <c r="Q545" s="14" t="s">
        <v>260</v>
      </c>
      <c r="R545" s="14" t="s">
        <v>229</v>
      </c>
    </row>
    <row r="546" spans="1:18" s="14" customFormat="1" x14ac:dyDescent="0.25">
      <c r="A546" s="14" t="str">
        <f>"83461"</f>
        <v>83461</v>
      </c>
      <c r="B546" s="14" t="str">
        <f>"07010"</f>
        <v>07010</v>
      </c>
      <c r="C546" s="14" t="str">
        <f>"1800"</f>
        <v>1800</v>
      </c>
      <c r="D546" s="14" t="str">
        <f>""</f>
        <v/>
      </c>
      <c r="E546" s="14" t="s">
        <v>1256</v>
      </c>
      <c r="F546" s="14" t="s">
        <v>1002</v>
      </c>
      <c r="G546" s="14" t="str">
        <f>""</f>
        <v/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228</v>
      </c>
      <c r="P546" s="14" t="s">
        <v>260</v>
      </c>
      <c r="Q546" s="14" t="s">
        <v>260</v>
      </c>
      <c r="R546" s="14" t="s">
        <v>229</v>
      </c>
    </row>
    <row r="547" spans="1:18" s="14" customFormat="1" x14ac:dyDescent="0.25">
      <c r="A547" s="14" t="str">
        <f>"83462"</f>
        <v>83462</v>
      </c>
      <c r="B547" s="14" t="str">
        <f>"07010"</f>
        <v>07010</v>
      </c>
      <c r="C547" s="14" t="str">
        <f>"1800"</f>
        <v>1800</v>
      </c>
      <c r="D547" s="14" t="str">
        <f>""</f>
        <v/>
      </c>
      <c r="E547" s="14" t="s">
        <v>1257</v>
      </c>
      <c r="F547" s="14" t="s">
        <v>1002</v>
      </c>
      <c r="G547" s="14" t="str">
        <f>""</f>
        <v/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228</v>
      </c>
      <c r="P547" s="14" t="s">
        <v>260</v>
      </c>
      <c r="Q547" s="14" t="s">
        <v>260</v>
      </c>
      <c r="R547" s="14" t="s">
        <v>229</v>
      </c>
    </row>
    <row r="548" spans="1:18" s="14" customFormat="1" x14ac:dyDescent="0.25">
      <c r="A548" s="14" t="str">
        <f>"83463"</f>
        <v>83463</v>
      </c>
      <c r="B548" s="14" t="str">
        <f>"07010"</f>
        <v>07010</v>
      </c>
      <c r="C548" s="14" t="str">
        <f>"1800"</f>
        <v>1800</v>
      </c>
      <c r="D548" s="14" t="str">
        <f>""</f>
        <v/>
      </c>
      <c r="E548" s="14" t="s">
        <v>1258</v>
      </c>
      <c r="F548" s="14" t="s">
        <v>1002</v>
      </c>
      <c r="G548" s="14" t="str">
        <f>""</f>
        <v/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228</v>
      </c>
      <c r="P548" s="14" t="s">
        <v>260</v>
      </c>
      <c r="Q548" s="14" t="s">
        <v>260</v>
      </c>
      <c r="R548" s="14" t="s">
        <v>229</v>
      </c>
    </row>
    <row r="549" spans="1:18" s="14" customFormat="1" x14ac:dyDescent="0.25">
      <c r="A549" s="14" t="str">
        <f>"83464"</f>
        <v>83464</v>
      </c>
      <c r="B549" s="14" t="str">
        <f>"07010"</f>
        <v>07010</v>
      </c>
      <c r="C549" s="14" t="str">
        <f>"1800"</f>
        <v>1800</v>
      </c>
      <c r="D549" s="14" t="str">
        <f>""</f>
        <v/>
      </c>
      <c r="E549" s="14" t="s">
        <v>1259</v>
      </c>
      <c r="F549" s="14" t="s">
        <v>1002</v>
      </c>
      <c r="G549" s="14" t="str">
        <f>""</f>
        <v/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228</v>
      </c>
      <c r="P549" s="14" t="s">
        <v>260</v>
      </c>
      <c r="Q549" s="14" t="s">
        <v>260</v>
      </c>
      <c r="R549" s="14" t="s">
        <v>229</v>
      </c>
    </row>
    <row r="550" spans="1:18" s="14" customFormat="1" x14ac:dyDescent="0.25">
      <c r="A550" s="14" t="str">
        <f>"83467"</f>
        <v>83467</v>
      </c>
      <c r="B550" s="14" t="str">
        <f>"07010"</f>
        <v>07010</v>
      </c>
      <c r="C550" s="14" t="str">
        <f>"1800"</f>
        <v>1800</v>
      </c>
      <c r="D550" s="14" t="str">
        <f>""</f>
        <v/>
      </c>
      <c r="E550" s="14" t="s">
        <v>1260</v>
      </c>
      <c r="F550" s="14" t="s">
        <v>1002</v>
      </c>
      <c r="G550" s="14" t="str">
        <f>""</f>
        <v/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228</v>
      </c>
      <c r="P550" s="14" t="s">
        <v>260</v>
      </c>
      <c r="Q550" s="14" t="s">
        <v>260</v>
      </c>
      <c r="R550" s="14" t="s">
        <v>229</v>
      </c>
    </row>
    <row r="551" spans="1:18" s="14" customFormat="1" x14ac:dyDescent="0.25">
      <c r="A551" s="14" t="str">
        <f>"83469"</f>
        <v>83469</v>
      </c>
      <c r="B551" s="14" t="str">
        <f>"07010"</f>
        <v>07010</v>
      </c>
      <c r="C551" s="14" t="str">
        <f>"1800"</f>
        <v>1800</v>
      </c>
      <c r="D551" s="14" t="str">
        <f>""</f>
        <v/>
      </c>
      <c r="E551" s="14" t="s">
        <v>1261</v>
      </c>
      <c r="F551" s="14" t="s">
        <v>1002</v>
      </c>
      <c r="G551" s="14" t="str">
        <f>""</f>
        <v/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228</v>
      </c>
      <c r="P551" s="14" t="s">
        <v>260</v>
      </c>
      <c r="Q551" s="14" t="s">
        <v>260</v>
      </c>
      <c r="R551" s="14" t="s">
        <v>229</v>
      </c>
    </row>
    <row r="552" spans="1:18" s="14" customFormat="1" x14ac:dyDescent="0.25">
      <c r="A552" s="14" t="str">
        <f>"83470"</f>
        <v>83470</v>
      </c>
      <c r="B552" s="14" t="str">
        <f>"07010"</f>
        <v>07010</v>
      </c>
      <c r="C552" s="14" t="str">
        <f>"1800"</f>
        <v>1800</v>
      </c>
      <c r="D552" s="14" t="str">
        <f>""</f>
        <v/>
      </c>
      <c r="E552" s="14" t="s">
        <v>1262</v>
      </c>
      <c r="F552" s="14" t="s">
        <v>1002</v>
      </c>
      <c r="G552" s="14" t="str">
        <f>""</f>
        <v/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228</v>
      </c>
      <c r="P552" s="14" t="s">
        <v>260</v>
      </c>
      <c r="Q552" s="14" t="s">
        <v>260</v>
      </c>
      <c r="R552" s="14" t="s">
        <v>229</v>
      </c>
    </row>
    <row r="553" spans="1:18" s="14" customFormat="1" x14ac:dyDescent="0.25">
      <c r="A553" s="14" t="str">
        <f>"83471"</f>
        <v>83471</v>
      </c>
      <c r="B553" s="14" t="str">
        <f>"07010"</f>
        <v>07010</v>
      </c>
      <c r="C553" s="14" t="str">
        <f>"1800"</f>
        <v>1800</v>
      </c>
      <c r="D553" s="14" t="str">
        <f>""</f>
        <v/>
      </c>
      <c r="E553" s="14" t="s">
        <v>1263</v>
      </c>
      <c r="F553" s="14" t="s">
        <v>1002</v>
      </c>
      <c r="G553" s="14" t="str">
        <f>""</f>
        <v/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228</v>
      </c>
      <c r="P553" s="14" t="s">
        <v>260</v>
      </c>
      <c r="Q553" s="14" t="s">
        <v>260</v>
      </c>
      <c r="R553" s="14" t="s">
        <v>229</v>
      </c>
    </row>
    <row r="554" spans="1:18" s="14" customFormat="1" x14ac:dyDescent="0.25">
      <c r="A554" s="14" t="str">
        <f>"83476"</f>
        <v>83476</v>
      </c>
      <c r="B554" s="14" t="str">
        <f>"07010"</f>
        <v>07010</v>
      </c>
      <c r="C554" s="14" t="str">
        <f>"1800"</f>
        <v>1800</v>
      </c>
      <c r="D554" s="14" t="str">
        <f>""</f>
        <v/>
      </c>
      <c r="E554" s="14" t="s">
        <v>1264</v>
      </c>
      <c r="F554" s="14" t="s">
        <v>1002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228</v>
      </c>
      <c r="P554" s="14" t="s">
        <v>260</v>
      </c>
      <c r="Q554" s="14" t="s">
        <v>260</v>
      </c>
      <c r="R554" s="14" t="s">
        <v>229</v>
      </c>
    </row>
    <row r="555" spans="1:18" s="14" customFormat="1" x14ac:dyDescent="0.25">
      <c r="A555" s="14" t="str">
        <f>"83477"</f>
        <v>83477</v>
      </c>
      <c r="B555" s="14" t="str">
        <f>"07010"</f>
        <v>07010</v>
      </c>
      <c r="C555" s="14" t="str">
        <f>"1800"</f>
        <v>1800</v>
      </c>
      <c r="D555" s="14" t="str">
        <f>""</f>
        <v/>
      </c>
      <c r="E555" s="14" t="s">
        <v>1265</v>
      </c>
      <c r="F555" s="14" t="s">
        <v>1002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228</v>
      </c>
      <c r="P555" s="14" t="s">
        <v>260</v>
      </c>
      <c r="Q555" s="14" t="s">
        <v>260</v>
      </c>
      <c r="R555" s="14" t="s">
        <v>229</v>
      </c>
    </row>
    <row r="556" spans="1:18" s="14" customFormat="1" x14ac:dyDescent="0.25">
      <c r="A556" s="14" t="str">
        <f>"83479"</f>
        <v>83479</v>
      </c>
      <c r="B556" s="14" t="str">
        <f>"07010"</f>
        <v>07010</v>
      </c>
      <c r="C556" s="14" t="str">
        <f>"1800"</f>
        <v>1800</v>
      </c>
      <c r="D556" s="14" t="str">
        <f>""</f>
        <v/>
      </c>
      <c r="E556" s="14" t="s">
        <v>1266</v>
      </c>
      <c r="F556" s="14" t="s">
        <v>1002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228</v>
      </c>
      <c r="P556" s="14" t="s">
        <v>260</v>
      </c>
      <c r="Q556" s="14" t="s">
        <v>260</v>
      </c>
      <c r="R556" s="14" t="s">
        <v>229</v>
      </c>
    </row>
    <row r="557" spans="1:18" s="14" customFormat="1" x14ac:dyDescent="0.25">
      <c r="A557" s="14" t="str">
        <f>"83481"</f>
        <v>83481</v>
      </c>
      <c r="B557" s="14" t="str">
        <f>"07010"</f>
        <v>07010</v>
      </c>
      <c r="C557" s="14" t="str">
        <f>"1800"</f>
        <v>1800</v>
      </c>
      <c r="D557" s="14" t="str">
        <f>""</f>
        <v/>
      </c>
      <c r="E557" s="14" t="s">
        <v>1267</v>
      </c>
      <c r="F557" s="14" t="s">
        <v>1002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228</v>
      </c>
      <c r="P557" s="14" t="s">
        <v>260</v>
      </c>
      <c r="Q557" s="14" t="s">
        <v>260</v>
      </c>
      <c r="R557" s="14" t="s">
        <v>229</v>
      </c>
    </row>
    <row r="558" spans="1:18" s="14" customFormat="1" x14ac:dyDescent="0.25">
      <c r="A558" s="14" t="str">
        <f>"83483"</f>
        <v>83483</v>
      </c>
      <c r="B558" s="14" t="str">
        <f>"07010"</f>
        <v>07010</v>
      </c>
      <c r="C558" s="14" t="str">
        <f>"1800"</f>
        <v>1800</v>
      </c>
      <c r="D558" s="14" t="str">
        <f>""</f>
        <v/>
      </c>
      <c r="E558" s="14" t="s">
        <v>1268</v>
      </c>
      <c r="F558" s="14" t="s">
        <v>1002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228</v>
      </c>
      <c r="P558" s="14" t="s">
        <v>260</v>
      </c>
      <c r="Q558" s="14" t="s">
        <v>260</v>
      </c>
      <c r="R558" s="14" t="s">
        <v>229</v>
      </c>
    </row>
    <row r="559" spans="1:18" s="14" customFormat="1" x14ac:dyDescent="0.25">
      <c r="A559" s="14" t="str">
        <f>"83484"</f>
        <v>83484</v>
      </c>
      <c r="B559" s="14" t="str">
        <f>"07010"</f>
        <v>07010</v>
      </c>
      <c r="C559" s="14" t="str">
        <f>"1800"</f>
        <v>1800</v>
      </c>
      <c r="D559" s="14" t="str">
        <f>""</f>
        <v/>
      </c>
      <c r="E559" s="14" t="s">
        <v>1269</v>
      </c>
      <c r="F559" s="14" t="s">
        <v>1002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228</v>
      </c>
      <c r="P559" s="14" t="s">
        <v>260</v>
      </c>
      <c r="Q559" s="14" t="s">
        <v>260</v>
      </c>
      <c r="R559" s="14" t="s">
        <v>229</v>
      </c>
    </row>
    <row r="560" spans="1:18" s="14" customFormat="1" x14ac:dyDescent="0.25">
      <c r="A560" s="14" t="str">
        <f>"83487"</f>
        <v>83487</v>
      </c>
      <c r="B560" s="14" t="str">
        <f>"07010"</f>
        <v>07010</v>
      </c>
      <c r="C560" s="14" t="str">
        <f>"1800"</f>
        <v>1800</v>
      </c>
      <c r="D560" s="14" t="str">
        <f>""</f>
        <v/>
      </c>
      <c r="E560" s="14" t="s">
        <v>1270</v>
      </c>
      <c r="F560" s="14" t="s">
        <v>1002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228</v>
      </c>
      <c r="P560" s="14" t="s">
        <v>260</v>
      </c>
      <c r="Q560" s="14" t="s">
        <v>260</v>
      </c>
      <c r="R560" s="14" t="s">
        <v>229</v>
      </c>
    </row>
    <row r="561" spans="1:18" s="14" customFormat="1" x14ac:dyDescent="0.25">
      <c r="A561" s="14" t="str">
        <f>"83488"</f>
        <v>83488</v>
      </c>
      <c r="B561" s="14" t="str">
        <f>"07010"</f>
        <v>07010</v>
      </c>
      <c r="C561" s="14" t="str">
        <f>"1800"</f>
        <v>1800</v>
      </c>
      <c r="D561" s="14" t="str">
        <f>""</f>
        <v/>
      </c>
      <c r="E561" s="14" t="s">
        <v>1271</v>
      </c>
      <c r="F561" s="14" t="s">
        <v>1002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228</v>
      </c>
      <c r="P561" s="14" t="s">
        <v>260</v>
      </c>
      <c r="Q561" s="14" t="s">
        <v>260</v>
      </c>
      <c r="R561" s="14" t="s">
        <v>229</v>
      </c>
    </row>
    <row r="562" spans="1:18" s="14" customFormat="1" x14ac:dyDescent="0.25">
      <c r="A562" s="14" t="str">
        <f>"83489"</f>
        <v>83489</v>
      </c>
      <c r="B562" s="14" t="str">
        <f>"07010"</f>
        <v>07010</v>
      </c>
      <c r="C562" s="14" t="str">
        <f>"1800"</f>
        <v>1800</v>
      </c>
      <c r="D562" s="14" t="str">
        <f>""</f>
        <v/>
      </c>
      <c r="E562" s="14" t="s">
        <v>1272</v>
      </c>
      <c r="F562" s="14" t="s">
        <v>1002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228</v>
      </c>
      <c r="P562" s="14" t="s">
        <v>260</v>
      </c>
      <c r="Q562" s="14" t="s">
        <v>260</v>
      </c>
      <c r="R562" s="14" t="s">
        <v>229</v>
      </c>
    </row>
    <row r="563" spans="1:18" s="14" customFormat="1" x14ac:dyDescent="0.25">
      <c r="A563" s="14" t="str">
        <f>"83490"</f>
        <v>83490</v>
      </c>
      <c r="B563" s="14" t="str">
        <f>"07010"</f>
        <v>07010</v>
      </c>
      <c r="C563" s="14" t="str">
        <f>"1800"</f>
        <v>1800</v>
      </c>
      <c r="D563" s="14" t="str">
        <f>""</f>
        <v/>
      </c>
      <c r="E563" s="14" t="s">
        <v>1273</v>
      </c>
      <c r="F563" s="14" t="s">
        <v>1002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228</v>
      </c>
      <c r="P563" s="14" t="s">
        <v>260</v>
      </c>
      <c r="Q563" s="14" t="s">
        <v>260</v>
      </c>
      <c r="R563" s="14" t="s">
        <v>229</v>
      </c>
    </row>
    <row r="564" spans="1:18" s="14" customFormat="1" x14ac:dyDescent="0.25">
      <c r="A564" s="14" t="str">
        <f>"83491"</f>
        <v>83491</v>
      </c>
      <c r="B564" s="14" t="str">
        <f>"07010"</f>
        <v>07010</v>
      </c>
      <c r="C564" s="14" t="str">
        <f>"1800"</f>
        <v>1800</v>
      </c>
      <c r="D564" s="14" t="str">
        <f>""</f>
        <v/>
      </c>
      <c r="E564" s="14" t="s">
        <v>1274</v>
      </c>
      <c r="F564" s="14" t="s">
        <v>1002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228</v>
      </c>
      <c r="P564" s="14" t="s">
        <v>260</v>
      </c>
      <c r="Q564" s="14" t="s">
        <v>260</v>
      </c>
      <c r="R564" s="14" t="s">
        <v>229</v>
      </c>
    </row>
    <row r="565" spans="1:18" s="14" customFormat="1" x14ac:dyDescent="0.25">
      <c r="A565" s="14" t="str">
        <f>"83492"</f>
        <v>83492</v>
      </c>
      <c r="B565" s="14" t="str">
        <f>"07010"</f>
        <v>07010</v>
      </c>
      <c r="C565" s="14" t="str">
        <f>"1800"</f>
        <v>1800</v>
      </c>
      <c r="D565" s="14" t="str">
        <f>""</f>
        <v/>
      </c>
      <c r="E565" s="14" t="s">
        <v>1275</v>
      </c>
      <c r="F565" s="14" t="s">
        <v>1002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228</v>
      </c>
      <c r="P565" s="14" t="s">
        <v>260</v>
      </c>
      <c r="Q565" s="14" t="s">
        <v>260</v>
      </c>
      <c r="R565" s="14" t="s">
        <v>229</v>
      </c>
    </row>
    <row r="566" spans="1:18" s="14" customFormat="1" x14ac:dyDescent="0.25">
      <c r="A566" s="14" t="str">
        <f>"83493"</f>
        <v>83493</v>
      </c>
      <c r="B566" s="14" t="str">
        <f>"07010"</f>
        <v>07010</v>
      </c>
      <c r="C566" s="14" t="str">
        <f>"1800"</f>
        <v>1800</v>
      </c>
      <c r="D566" s="14" t="str">
        <f>""</f>
        <v/>
      </c>
      <c r="E566" s="14" t="s">
        <v>1276</v>
      </c>
      <c r="F566" s="14" t="s">
        <v>1002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228</v>
      </c>
      <c r="P566" s="14" t="s">
        <v>260</v>
      </c>
      <c r="Q566" s="14" t="s">
        <v>260</v>
      </c>
      <c r="R566" s="14" t="s">
        <v>229</v>
      </c>
    </row>
    <row r="567" spans="1:18" s="14" customFormat="1" x14ac:dyDescent="0.25">
      <c r="A567" s="14" t="str">
        <f>"83495"</f>
        <v>83495</v>
      </c>
      <c r="B567" s="14" t="str">
        <f>"07010"</f>
        <v>07010</v>
      </c>
      <c r="C567" s="14" t="str">
        <f>"1800"</f>
        <v>1800</v>
      </c>
      <c r="D567" s="14" t="str">
        <f>""</f>
        <v/>
      </c>
      <c r="E567" s="14" t="s">
        <v>1277</v>
      </c>
      <c r="F567" s="14" t="s">
        <v>1002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228</v>
      </c>
      <c r="P567" s="14" t="s">
        <v>260</v>
      </c>
      <c r="Q567" s="14" t="s">
        <v>260</v>
      </c>
      <c r="R567" s="14" t="s">
        <v>229</v>
      </c>
    </row>
    <row r="568" spans="1:18" s="14" customFormat="1" x14ac:dyDescent="0.25">
      <c r="A568" s="14" t="str">
        <f>"83497"</f>
        <v>83497</v>
      </c>
      <c r="B568" s="14" t="str">
        <f>"07010"</f>
        <v>07010</v>
      </c>
      <c r="C568" s="14" t="str">
        <f>"1800"</f>
        <v>1800</v>
      </c>
      <c r="D568" s="14" t="str">
        <f>""</f>
        <v/>
      </c>
      <c r="E568" s="14" t="s">
        <v>1278</v>
      </c>
      <c r="F568" s="14" t="s">
        <v>1002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228</v>
      </c>
      <c r="P568" s="14" t="s">
        <v>260</v>
      </c>
      <c r="Q568" s="14" t="s">
        <v>260</v>
      </c>
      <c r="R568" s="14" t="s">
        <v>229</v>
      </c>
    </row>
    <row r="569" spans="1:18" s="14" customFormat="1" x14ac:dyDescent="0.25">
      <c r="A569" s="14" t="str">
        <f>"83499"</f>
        <v>83499</v>
      </c>
      <c r="B569" s="14" t="str">
        <f>"07010"</f>
        <v>07010</v>
      </c>
      <c r="C569" s="14" t="str">
        <f>"1800"</f>
        <v>1800</v>
      </c>
      <c r="D569" s="14" t="str">
        <f>""</f>
        <v/>
      </c>
      <c r="E569" s="14" t="s">
        <v>1279</v>
      </c>
      <c r="F569" s="14" t="s">
        <v>1002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228</v>
      </c>
      <c r="P569" s="14" t="s">
        <v>260</v>
      </c>
      <c r="Q569" s="14" t="s">
        <v>260</v>
      </c>
      <c r="R569" s="14" t="s">
        <v>229</v>
      </c>
    </row>
    <row r="570" spans="1:18" s="14" customFormat="1" x14ac:dyDescent="0.25">
      <c r="A570" s="14" t="str">
        <f>"83501"</f>
        <v>83501</v>
      </c>
      <c r="B570" s="14" t="str">
        <f>"07010"</f>
        <v>07010</v>
      </c>
      <c r="C570" s="14" t="str">
        <f>"1800"</f>
        <v>1800</v>
      </c>
      <c r="D570" s="14" t="str">
        <f>""</f>
        <v/>
      </c>
      <c r="E570" s="14" t="s">
        <v>1280</v>
      </c>
      <c r="F570" s="14" t="s">
        <v>1002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228</v>
      </c>
      <c r="P570" s="14" t="s">
        <v>260</v>
      </c>
      <c r="Q570" s="14" t="s">
        <v>260</v>
      </c>
      <c r="R570" s="14" t="s">
        <v>229</v>
      </c>
    </row>
    <row r="571" spans="1:18" s="14" customFormat="1" x14ac:dyDescent="0.25">
      <c r="A571" s="14" t="str">
        <f>"83502"</f>
        <v>83502</v>
      </c>
      <c r="B571" s="14" t="str">
        <f>"07010"</f>
        <v>07010</v>
      </c>
      <c r="C571" s="14" t="str">
        <f>"1800"</f>
        <v>1800</v>
      </c>
      <c r="D571" s="14" t="str">
        <f>""</f>
        <v/>
      </c>
      <c r="E571" s="14" t="s">
        <v>1281</v>
      </c>
      <c r="F571" s="14" t="s">
        <v>1002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228</v>
      </c>
      <c r="P571" s="14" t="s">
        <v>260</v>
      </c>
      <c r="Q571" s="14" t="s">
        <v>260</v>
      </c>
      <c r="R571" s="14" t="s">
        <v>229</v>
      </c>
    </row>
    <row r="572" spans="1:18" s="14" customFormat="1" x14ac:dyDescent="0.25">
      <c r="A572" s="14" t="str">
        <f>"83503"</f>
        <v>83503</v>
      </c>
      <c r="B572" s="14" t="str">
        <f>"07010"</f>
        <v>07010</v>
      </c>
      <c r="C572" s="14" t="str">
        <f>"1800"</f>
        <v>1800</v>
      </c>
      <c r="D572" s="14" t="str">
        <f>""</f>
        <v/>
      </c>
      <c r="E572" s="14" t="s">
        <v>1282</v>
      </c>
      <c r="F572" s="14" t="s">
        <v>1002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228</v>
      </c>
      <c r="P572" s="14" t="s">
        <v>260</v>
      </c>
      <c r="Q572" s="14" t="s">
        <v>260</v>
      </c>
      <c r="R572" s="14" t="s">
        <v>229</v>
      </c>
    </row>
    <row r="573" spans="1:18" s="14" customFormat="1" x14ac:dyDescent="0.25">
      <c r="A573" s="14" t="str">
        <f>"83504"</f>
        <v>83504</v>
      </c>
      <c r="B573" s="14" t="str">
        <f>"07010"</f>
        <v>07010</v>
      </c>
      <c r="C573" s="14" t="str">
        <f>"1800"</f>
        <v>1800</v>
      </c>
      <c r="D573" s="14" t="str">
        <f>""</f>
        <v/>
      </c>
      <c r="E573" s="14" t="s">
        <v>1283</v>
      </c>
      <c r="F573" s="14" t="s">
        <v>1002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228</v>
      </c>
      <c r="P573" s="14" t="s">
        <v>260</v>
      </c>
      <c r="Q573" s="14" t="s">
        <v>260</v>
      </c>
      <c r="R573" s="14" t="s">
        <v>229</v>
      </c>
    </row>
    <row r="574" spans="1:18" s="14" customFormat="1" x14ac:dyDescent="0.25">
      <c r="A574" s="14" t="str">
        <f>"83505"</f>
        <v>83505</v>
      </c>
      <c r="B574" s="14" t="str">
        <f>"07010"</f>
        <v>07010</v>
      </c>
      <c r="C574" s="14" t="str">
        <f>"1800"</f>
        <v>1800</v>
      </c>
      <c r="D574" s="14" t="str">
        <f>""</f>
        <v/>
      </c>
      <c r="E574" s="14" t="s">
        <v>1284</v>
      </c>
      <c r="F574" s="14" t="s">
        <v>1002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228</v>
      </c>
      <c r="P574" s="14" t="s">
        <v>260</v>
      </c>
      <c r="Q574" s="14" t="s">
        <v>260</v>
      </c>
      <c r="R574" s="14" t="s">
        <v>229</v>
      </c>
    </row>
    <row r="575" spans="1:18" s="14" customFormat="1" x14ac:dyDescent="0.25">
      <c r="A575" s="14" t="str">
        <f>"83506"</f>
        <v>83506</v>
      </c>
      <c r="B575" s="14" t="str">
        <f>"07010"</f>
        <v>07010</v>
      </c>
      <c r="C575" s="14" t="str">
        <f>"1800"</f>
        <v>1800</v>
      </c>
      <c r="D575" s="14" t="str">
        <f>""</f>
        <v/>
      </c>
      <c r="E575" s="14" t="s">
        <v>1285</v>
      </c>
      <c r="F575" s="14" t="s">
        <v>1002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228</v>
      </c>
      <c r="P575" s="14" t="s">
        <v>260</v>
      </c>
      <c r="Q575" s="14" t="s">
        <v>260</v>
      </c>
      <c r="R575" s="14" t="s">
        <v>229</v>
      </c>
    </row>
    <row r="576" spans="1:18" s="14" customFormat="1" x14ac:dyDescent="0.25">
      <c r="A576" s="14" t="str">
        <f>"83509"</f>
        <v>83509</v>
      </c>
      <c r="B576" s="14" t="str">
        <f>"07010"</f>
        <v>07010</v>
      </c>
      <c r="C576" s="14" t="str">
        <f>"1800"</f>
        <v>1800</v>
      </c>
      <c r="D576" s="14" t="str">
        <f>""</f>
        <v/>
      </c>
      <c r="E576" s="14" t="s">
        <v>1286</v>
      </c>
      <c r="F576" s="14" t="s">
        <v>1002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228</v>
      </c>
      <c r="P576" s="14" t="s">
        <v>260</v>
      </c>
      <c r="Q576" s="14" t="s">
        <v>260</v>
      </c>
      <c r="R576" s="14" t="s">
        <v>229</v>
      </c>
    </row>
    <row r="577" spans="1:18" s="14" customFormat="1" x14ac:dyDescent="0.25">
      <c r="A577" s="14" t="str">
        <f>"83510"</f>
        <v>83510</v>
      </c>
      <c r="B577" s="14" t="str">
        <f>"07010"</f>
        <v>07010</v>
      </c>
      <c r="C577" s="14" t="str">
        <f>"1800"</f>
        <v>1800</v>
      </c>
      <c r="D577" s="14" t="str">
        <f>""</f>
        <v/>
      </c>
      <c r="E577" s="14" t="s">
        <v>1287</v>
      </c>
      <c r="F577" s="14" t="s">
        <v>1002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228</v>
      </c>
      <c r="P577" s="14" t="s">
        <v>260</v>
      </c>
      <c r="Q577" s="14" t="s">
        <v>260</v>
      </c>
      <c r="R577" s="14" t="s">
        <v>229</v>
      </c>
    </row>
    <row r="578" spans="1:18" s="14" customFormat="1" x14ac:dyDescent="0.25">
      <c r="A578" s="14" t="str">
        <f>"83511"</f>
        <v>83511</v>
      </c>
      <c r="B578" s="14" t="str">
        <f>"07010"</f>
        <v>07010</v>
      </c>
      <c r="C578" s="14" t="str">
        <f>"1800"</f>
        <v>1800</v>
      </c>
      <c r="D578" s="14" t="str">
        <f>""</f>
        <v/>
      </c>
      <c r="E578" s="14" t="s">
        <v>1288</v>
      </c>
      <c r="F578" s="14" t="s">
        <v>1002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228</v>
      </c>
      <c r="P578" s="14" t="s">
        <v>260</v>
      </c>
      <c r="Q578" s="14" t="s">
        <v>260</v>
      </c>
      <c r="R578" s="14" t="s">
        <v>229</v>
      </c>
    </row>
    <row r="579" spans="1:18" s="14" customFormat="1" x14ac:dyDescent="0.25">
      <c r="A579" s="14" t="str">
        <f>"83513"</f>
        <v>83513</v>
      </c>
      <c r="B579" s="14" t="str">
        <f>"07010"</f>
        <v>07010</v>
      </c>
      <c r="C579" s="14" t="str">
        <f>"1800"</f>
        <v>1800</v>
      </c>
      <c r="D579" s="14" t="str">
        <f>""</f>
        <v/>
      </c>
      <c r="E579" s="14" t="s">
        <v>1289</v>
      </c>
      <c r="F579" s="14" t="s">
        <v>1002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228</v>
      </c>
      <c r="P579" s="14" t="s">
        <v>260</v>
      </c>
      <c r="Q579" s="14" t="s">
        <v>260</v>
      </c>
      <c r="R579" s="14" t="s">
        <v>229</v>
      </c>
    </row>
    <row r="580" spans="1:18" s="14" customFormat="1" x14ac:dyDescent="0.25">
      <c r="A580" s="14" t="str">
        <f>"83514"</f>
        <v>83514</v>
      </c>
      <c r="B580" s="14" t="str">
        <f>"07010"</f>
        <v>07010</v>
      </c>
      <c r="C580" s="14" t="str">
        <f>"1800"</f>
        <v>1800</v>
      </c>
      <c r="D580" s="14" t="str">
        <f>""</f>
        <v/>
      </c>
      <c r="E580" s="14" t="s">
        <v>1290</v>
      </c>
      <c r="F580" s="14" t="s">
        <v>1002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228</v>
      </c>
      <c r="P580" s="14" t="s">
        <v>260</v>
      </c>
      <c r="Q580" s="14" t="s">
        <v>260</v>
      </c>
      <c r="R580" s="14" t="s">
        <v>229</v>
      </c>
    </row>
    <row r="581" spans="1:18" s="14" customFormat="1" x14ac:dyDescent="0.25">
      <c r="A581" s="14" t="str">
        <f>"83515"</f>
        <v>83515</v>
      </c>
      <c r="B581" s="14" t="str">
        <f>"07010"</f>
        <v>07010</v>
      </c>
      <c r="C581" s="14" t="str">
        <f>"1800"</f>
        <v>1800</v>
      </c>
      <c r="D581" s="14" t="str">
        <f>""</f>
        <v/>
      </c>
      <c r="E581" s="14" t="s">
        <v>1291</v>
      </c>
      <c r="F581" s="14" t="s">
        <v>1002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228</v>
      </c>
      <c r="P581" s="14" t="s">
        <v>260</v>
      </c>
      <c r="Q581" s="14" t="s">
        <v>260</v>
      </c>
      <c r="R581" s="14" t="s">
        <v>229</v>
      </c>
    </row>
    <row r="582" spans="1:18" s="14" customFormat="1" x14ac:dyDescent="0.25">
      <c r="A582" s="14" t="str">
        <f>"83516"</f>
        <v>83516</v>
      </c>
      <c r="B582" s="14" t="str">
        <f>"07010"</f>
        <v>07010</v>
      </c>
      <c r="C582" s="14" t="str">
        <f>"1800"</f>
        <v>1800</v>
      </c>
      <c r="D582" s="14" t="str">
        <f>""</f>
        <v/>
      </c>
      <c r="E582" s="14" t="s">
        <v>1292</v>
      </c>
      <c r="F582" s="14" t="s">
        <v>1002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228</v>
      </c>
      <c r="P582" s="14" t="s">
        <v>260</v>
      </c>
      <c r="Q582" s="14" t="s">
        <v>260</v>
      </c>
      <c r="R582" s="14" t="s">
        <v>229</v>
      </c>
    </row>
    <row r="583" spans="1:18" s="14" customFormat="1" x14ac:dyDescent="0.25">
      <c r="A583" s="14" t="str">
        <f>"83518"</f>
        <v>83518</v>
      </c>
      <c r="B583" s="14" t="str">
        <f>"07010"</f>
        <v>07010</v>
      </c>
      <c r="C583" s="14" t="str">
        <f>"1800"</f>
        <v>1800</v>
      </c>
      <c r="D583" s="14" t="str">
        <f>""</f>
        <v/>
      </c>
      <c r="E583" s="14" t="s">
        <v>1293</v>
      </c>
      <c r="F583" s="14" t="s">
        <v>1002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228</v>
      </c>
      <c r="P583" s="14" t="s">
        <v>260</v>
      </c>
      <c r="Q583" s="14" t="s">
        <v>260</v>
      </c>
      <c r="R583" s="14" t="s">
        <v>229</v>
      </c>
    </row>
    <row r="584" spans="1:18" s="14" customFormat="1" x14ac:dyDescent="0.25">
      <c r="A584" s="14" t="str">
        <f>"83519"</f>
        <v>83519</v>
      </c>
      <c r="B584" s="14" t="str">
        <f>"07010"</f>
        <v>07010</v>
      </c>
      <c r="C584" s="14" t="str">
        <f>"1800"</f>
        <v>1800</v>
      </c>
      <c r="D584" s="14" t="str">
        <f>""</f>
        <v/>
      </c>
      <c r="E584" s="14" t="s">
        <v>1294</v>
      </c>
      <c r="F584" s="14" t="s">
        <v>1002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228</v>
      </c>
      <c r="P584" s="14" t="s">
        <v>260</v>
      </c>
      <c r="Q584" s="14" t="s">
        <v>260</v>
      </c>
      <c r="R584" s="14" t="s">
        <v>229</v>
      </c>
    </row>
    <row r="585" spans="1:18" s="14" customFormat="1" x14ac:dyDescent="0.25">
      <c r="A585" s="14" t="str">
        <f>"83528"</f>
        <v>83528</v>
      </c>
      <c r="B585" s="14" t="str">
        <f>"07010"</f>
        <v>07010</v>
      </c>
      <c r="C585" s="14" t="str">
        <f>"1800"</f>
        <v>1800</v>
      </c>
      <c r="D585" s="14" t="str">
        <f>""</f>
        <v/>
      </c>
      <c r="E585" s="14" t="s">
        <v>1295</v>
      </c>
      <c r="F585" s="14" t="s">
        <v>1002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228</v>
      </c>
      <c r="P585" s="14" t="s">
        <v>260</v>
      </c>
      <c r="Q585" s="14" t="s">
        <v>260</v>
      </c>
      <c r="R585" s="14" t="s">
        <v>229</v>
      </c>
    </row>
    <row r="586" spans="1:18" s="14" customFormat="1" x14ac:dyDescent="0.25">
      <c r="A586" s="14" t="str">
        <f>"83529"</f>
        <v>83529</v>
      </c>
      <c r="B586" s="14" t="str">
        <f>"07010"</f>
        <v>07010</v>
      </c>
      <c r="C586" s="14" t="str">
        <f>"1800"</f>
        <v>1800</v>
      </c>
      <c r="D586" s="14" t="str">
        <f>""</f>
        <v/>
      </c>
      <c r="E586" s="14" t="s">
        <v>1296</v>
      </c>
      <c r="F586" s="14" t="s">
        <v>1002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228</v>
      </c>
      <c r="P586" s="14" t="s">
        <v>260</v>
      </c>
      <c r="Q586" s="14" t="s">
        <v>260</v>
      </c>
      <c r="R586" s="14" t="s">
        <v>229</v>
      </c>
    </row>
    <row r="587" spans="1:18" s="14" customFormat="1" x14ac:dyDescent="0.25">
      <c r="A587" s="14" t="str">
        <f>"83530"</f>
        <v>83530</v>
      </c>
      <c r="B587" s="14" t="str">
        <f>"07010"</f>
        <v>07010</v>
      </c>
      <c r="C587" s="14" t="str">
        <f>"1800"</f>
        <v>1800</v>
      </c>
      <c r="D587" s="14" t="str">
        <f>""</f>
        <v/>
      </c>
      <c r="E587" s="14" t="s">
        <v>1297</v>
      </c>
      <c r="F587" s="14" t="s">
        <v>1002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228</v>
      </c>
      <c r="P587" s="14" t="s">
        <v>260</v>
      </c>
      <c r="Q587" s="14" t="s">
        <v>260</v>
      </c>
      <c r="R587" s="14" t="s">
        <v>229</v>
      </c>
    </row>
    <row r="588" spans="1:18" s="14" customFormat="1" x14ac:dyDescent="0.25">
      <c r="A588" s="14" t="str">
        <f>"83531"</f>
        <v>83531</v>
      </c>
      <c r="B588" s="14" t="str">
        <f>"07010"</f>
        <v>07010</v>
      </c>
      <c r="C588" s="14" t="str">
        <f>"1800"</f>
        <v>1800</v>
      </c>
      <c r="D588" s="14" t="str">
        <f>""</f>
        <v/>
      </c>
      <c r="E588" s="14" t="s">
        <v>1298</v>
      </c>
      <c r="F588" s="14" t="s">
        <v>1002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228</v>
      </c>
      <c r="P588" s="14" t="s">
        <v>260</v>
      </c>
      <c r="Q588" s="14" t="s">
        <v>260</v>
      </c>
      <c r="R588" s="14" t="s">
        <v>229</v>
      </c>
    </row>
    <row r="589" spans="1:18" s="14" customFormat="1" x14ac:dyDescent="0.25">
      <c r="A589" s="14" t="str">
        <f>"83533"</f>
        <v>83533</v>
      </c>
      <c r="B589" s="14" t="str">
        <f>"07010"</f>
        <v>07010</v>
      </c>
      <c r="C589" s="14" t="str">
        <f>"1800"</f>
        <v>1800</v>
      </c>
      <c r="D589" s="14" t="str">
        <f>""</f>
        <v/>
      </c>
      <c r="E589" s="14" t="s">
        <v>1299</v>
      </c>
      <c r="F589" s="14" t="s">
        <v>1002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228</v>
      </c>
      <c r="P589" s="14" t="s">
        <v>260</v>
      </c>
      <c r="Q589" s="14" t="s">
        <v>260</v>
      </c>
      <c r="R589" s="14" t="s">
        <v>229</v>
      </c>
    </row>
    <row r="590" spans="1:18" s="14" customFormat="1" x14ac:dyDescent="0.25">
      <c r="A590" s="14" t="str">
        <f>"83535"</f>
        <v>83535</v>
      </c>
      <c r="B590" s="14" t="str">
        <f>"07010"</f>
        <v>07010</v>
      </c>
      <c r="C590" s="14" t="str">
        <f>"1800"</f>
        <v>1800</v>
      </c>
      <c r="D590" s="14" t="str">
        <f>""</f>
        <v/>
      </c>
      <c r="E590" s="14" t="s">
        <v>1300</v>
      </c>
      <c r="F590" s="14" t="s">
        <v>1002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228</v>
      </c>
      <c r="P590" s="14" t="s">
        <v>260</v>
      </c>
      <c r="Q590" s="14" t="s">
        <v>260</v>
      </c>
      <c r="R590" s="14" t="s">
        <v>229</v>
      </c>
    </row>
    <row r="591" spans="1:18" s="14" customFormat="1" x14ac:dyDescent="0.25">
      <c r="A591" s="14" t="str">
        <f>"83538"</f>
        <v>83538</v>
      </c>
      <c r="B591" s="14" t="str">
        <f>"07010"</f>
        <v>07010</v>
      </c>
      <c r="C591" s="14" t="str">
        <f>"1800"</f>
        <v>1800</v>
      </c>
      <c r="D591" s="14" t="str">
        <f>""</f>
        <v/>
      </c>
      <c r="E591" s="14" t="s">
        <v>1301</v>
      </c>
      <c r="F591" s="14" t="s">
        <v>1002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228</v>
      </c>
      <c r="P591" s="14" t="s">
        <v>260</v>
      </c>
      <c r="Q591" s="14" t="s">
        <v>260</v>
      </c>
      <c r="R591" s="14" t="s">
        <v>229</v>
      </c>
    </row>
    <row r="592" spans="1:18" s="14" customFormat="1" x14ac:dyDescent="0.25">
      <c r="A592" s="14" t="str">
        <f>"83539"</f>
        <v>83539</v>
      </c>
      <c r="B592" s="14" t="str">
        <f>"07010"</f>
        <v>07010</v>
      </c>
      <c r="C592" s="14" t="str">
        <f>"1800"</f>
        <v>1800</v>
      </c>
      <c r="D592" s="14" t="str">
        <f>""</f>
        <v/>
      </c>
      <c r="E592" s="14" t="s">
        <v>1302</v>
      </c>
      <c r="F592" s="14" t="s">
        <v>1002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228</v>
      </c>
      <c r="P592" s="14" t="s">
        <v>260</v>
      </c>
      <c r="Q592" s="14" t="s">
        <v>260</v>
      </c>
      <c r="R592" s="14" t="s">
        <v>229</v>
      </c>
    </row>
    <row r="593" spans="1:18" s="14" customFormat="1" x14ac:dyDescent="0.25">
      <c r="A593" s="14" t="str">
        <f>"83540"</f>
        <v>83540</v>
      </c>
      <c r="B593" s="14" t="str">
        <f>"07010"</f>
        <v>07010</v>
      </c>
      <c r="C593" s="14" t="str">
        <f>"1800"</f>
        <v>1800</v>
      </c>
      <c r="D593" s="14" t="str">
        <f>""</f>
        <v/>
      </c>
      <c r="E593" s="14" t="s">
        <v>1303</v>
      </c>
      <c r="F593" s="14" t="s">
        <v>1002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228</v>
      </c>
      <c r="P593" s="14" t="s">
        <v>260</v>
      </c>
      <c r="Q593" s="14" t="s">
        <v>260</v>
      </c>
      <c r="R593" s="14" t="s">
        <v>229</v>
      </c>
    </row>
    <row r="594" spans="1:18" s="14" customFormat="1" x14ac:dyDescent="0.25">
      <c r="A594" s="14" t="str">
        <f>"83543"</f>
        <v>83543</v>
      </c>
      <c r="B594" s="14" t="str">
        <f>"07010"</f>
        <v>07010</v>
      </c>
      <c r="C594" s="14" t="str">
        <f>"1800"</f>
        <v>1800</v>
      </c>
      <c r="D594" s="14" t="str">
        <f>""</f>
        <v/>
      </c>
      <c r="E594" s="14" t="s">
        <v>1304</v>
      </c>
      <c r="F594" s="14" t="s">
        <v>1002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228</v>
      </c>
      <c r="P594" s="14" t="s">
        <v>260</v>
      </c>
      <c r="Q594" s="14" t="s">
        <v>260</v>
      </c>
      <c r="R594" s="14" t="s">
        <v>229</v>
      </c>
    </row>
    <row r="595" spans="1:18" s="14" customFormat="1" x14ac:dyDescent="0.25">
      <c r="A595" s="14" t="str">
        <f>"83545"</f>
        <v>83545</v>
      </c>
      <c r="B595" s="14" t="str">
        <f>"07010"</f>
        <v>07010</v>
      </c>
      <c r="C595" s="14" t="str">
        <f>"1800"</f>
        <v>1800</v>
      </c>
      <c r="D595" s="14" t="str">
        <f>""</f>
        <v/>
      </c>
      <c r="E595" s="14" t="s">
        <v>1305</v>
      </c>
      <c r="F595" s="14" t="s">
        <v>1002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228</v>
      </c>
      <c r="P595" s="14" t="s">
        <v>260</v>
      </c>
      <c r="Q595" s="14" t="s">
        <v>260</v>
      </c>
      <c r="R595" s="14" t="s">
        <v>229</v>
      </c>
    </row>
    <row r="596" spans="1:18" s="14" customFormat="1" x14ac:dyDescent="0.25">
      <c r="A596" s="14" t="str">
        <f>"83548"</f>
        <v>83548</v>
      </c>
      <c r="B596" s="14" t="str">
        <f>"07010"</f>
        <v>07010</v>
      </c>
      <c r="C596" s="14" t="str">
        <f>"1800"</f>
        <v>1800</v>
      </c>
      <c r="D596" s="14" t="str">
        <f>""</f>
        <v/>
      </c>
      <c r="E596" s="14" t="s">
        <v>1306</v>
      </c>
      <c r="F596" s="14" t="s">
        <v>1002</v>
      </c>
      <c r="G596" s="14" t="str">
        <f>""</f>
        <v/>
      </c>
      <c r="H596" s="14" t="str">
        <f>" 00"</f>
        <v xml:space="preserve"> 00</v>
      </c>
      <c r="I596" s="14">
        <v>0.01</v>
      </c>
      <c r="J596" s="14">
        <v>9999999.9900000002</v>
      </c>
      <c r="K596" s="14" t="s">
        <v>228</v>
      </c>
      <c r="P596" s="14" t="s">
        <v>260</v>
      </c>
      <c r="Q596" s="14" t="s">
        <v>260</v>
      </c>
      <c r="R596" s="14" t="s">
        <v>229</v>
      </c>
    </row>
    <row r="597" spans="1:18" s="14" customFormat="1" x14ac:dyDescent="0.25">
      <c r="A597" s="14" t="str">
        <f>"83552"</f>
        <v>83552</v>
      </c>
      <c r="B597" s="14" t="str">
        <f>"07010"</f>
        <v>07010</v>
      </c>
      <c r="C597" s="14" t="str">
        <f>"1800"</f>
        <v>1800</v>
      </c>
      <c r="D597" s="14" t="str">
        <f>""</f>
        <v/>
      </c>
      <c r="E597" s="14" t="s">
        <v>1307</v>
      </c>
      <c r="F597" s="14" t="s">
        <v>1002</v>
      </c>
      <c r="G597" s="14" t="str">
        <f>""</f>
        <v/>
      </c>
      <c r="H597" s="14" t="str">
        <f>" 00"</f>
        <v xml:space="preserve"> 00</v>
      </c>
      <c r="I597" s="14">
        <v>0.01</v>
      </c>
      <c r="J597" s="14">
        <v>9999999.9900000002</v>
      </c>
      <c r="K597" s="14" t="s">
        <v>228</v>
      </c>
      <c r="P597" s="14" t="s">
        <v>260</v>
      </c>
      <c r="Q597" s="14" t="s">
        <v>260</v>
      </c>
      <c r="R597" s="14" t="s">
        <v>229</v>
      </c>
    </row>
    <row r="598" spans="1:18" s="14" customFormat="1" x14ac:dyDescent="0.25">
      <c r="A598" s="14" t="str">
        <f>"83553"</f>
        <v>83553</v>
      </c>
      <c r="B598" s="14" t="str">
        <f>"07010"</f>
        <v>07010</v>
      </c>
      <c r="C598" s="14" t="str">
        <f>"1800"</f>
        <v>1800</v>
      </c>
      <c r="D598" s="14" t="str">
        <f>""</f>
        <v/>
      </c>
      <c r="E598" s="14" t="s">
        <v>1308</v>
      </c>
      <c r="F598" s="14" t="s">
        <v>1002</v>
      </c>
      <c r="G598" s="14" t="str">
        <f>""</f>
        <v/>
      </c>
      <c r="H598" s="14" t="str">
        <f>" 00"</f>
        <v xml:space="preserve"> 00</v>
      </c>
      <c r="I598" s="14">
        <v>0.01</v>
      </c>
      <c r="J598" s="14">
        <v>9999999.9900000002</v>
      </c>
      <c r="K598" s="14" t="s">
        <v>228</v>
      </c>
      <c r="P598" s="14" t="s">
        <v>260</v>
      </c>
      <c r="Q598" s="14" t="s">
        <v>260</v>
      </c>
      <c r="R598" s="14" t="s">
        <v>229</v>
      </c>
    </row>
    <row r="599" spans="1:18" s="14" customFormat="1" x14ac:dyDescent="0.25">
      <c r="A599" s="14" t="str">
        <f>"83554"</f>
        <v>83554</v>
      </c>
      <c r="B599" s="14" t="str">
        <f>"07010"</f>
        <v>07010</v>
      </c>
      <c r="C599" s="14" t="str">
        <f>"1800"</f>
        <v>1800</v>
      </c>
      <c r="D599" s="14" t="str">
        <f>""</f>
        <v/>
      </c>
      <c r="E599" s="14" t="s">
        <v>1309</v>
      </c>
      <c r="F599" s="14" t="s">
        <v>1002</v>
      </c>
      <c r="G599" s="14" t="str">
        <f>""</f>
        <v/>
      </c>
      <c r="H599" s="14" t="str">
        <f>" 00"</f>
        <v xml:space="preserve"> 00</v>
      </c>
      <c r="I599" s="14">
        <v>0.01</v>
      </c>
      <c r="J599" s="14">
        <v>9999999.9900000002</v>
      </c>
      <c r="K599" s="14" t="s">
        <v>228</v>
      </c>
      <c r="P599" s="14" t="s">
        <v>260</v>
      </c>
      <c r="Q599" s="14" t="s">
        <v>260</v>
      </c>
      <c r="R599" s="14" t="s">
        <v>229</v>
      </c>
    </row>
    <row r="600" spans="1:18" s="14" customFormat="1" x14ac:dyDescent="0.25">
      <c r="A600" s="14" t="str">
        <f>"83555"</f>
        <v>83555</v>
      </c>
      <c r="B600" s="14" t="str">
        <f>"07010"</f>
        <v>07010</v>
      </c>
      <c r="C600" s="14" t="str">
        <f>"1800"</f>
        <v>1800</v>
      </c>
      <c r="D600" s="14" t="str">
        <f>""</f>
        <v/>
      </c>
      <c r="E600" s="14" t="s">
        <v>1310</v>
      </c>
      <c r="F600" s="14" t="s">
        <v>1002</v>
      </c>
      <c r="G600" s="14" t="str">
        <f>""</f>
        <v/>
      </c>
      <c r="H600" s="14" t="str">
        <f>" 00"</f>
        <v xml:space="preserve"> 00</v>
      </c>
      <c r="I600" s="14">
        <v>0.01</v>
      </c>
      <c r="J600" s="14">
        <v>9999999.9900000002</v>
      </c>
      <c r="K600" s="14" t="s">
        <v>228</v>
      </c>
      <c r="P600" s="14" t="s">
        <v>260</v>
      </c>
      <c r="Q600" s="14" t="s">
        <v>260</v>
      </c>
      <c r="R600" s="14" t="s">
        <v>229</v>
      </c>
    </row>
    <row r="601" spans="1:18" s="14" customFormat="1" x14ac:dyDescent="0.25">
      <c r="A601" s="14" t="str">
        <f>"83556"</f>
        <v>83556</v>
      </c>
      <c r="B601" s="14" t="str">
        <f>"07010"</f>
        <v>07010</v>
      </c>
      <c r="C601" s="14" t="str">
        <f>"1800"</f>
        <v>1800</v>
      </c>
      <c r="D601" s="14" t="str">
        <f>""</f>
        <v/>
      </c>
      <c r="E601" s="14" t="s">
        <v>1311</v>
      </c>
      <c r="F601" s="14" t="s">
        <v>1002</v>
      </c>
      <c r="G601" s="14" t="str">
        <f>""</f>
        <v/>
      </c>
      <c r="H601" s="14" t="str">
        <f>" 00"</f>
        <v xml:space="preserve"> 00</v>
      </c>
      <c r="I601" s="14">
        <v>0.01</v>
      </c>
      <c r="J601" s="14">
        <v>9999999.9900000002</v>
      </c>
      <c r="K601" s="14" t="s">
        <v>228</v>
      </c>
      <c r="P601" s="14" t="s">
        <v>260</v>
      </c>
      <c r="Q601" s="14" t="s">
        <v>260</v>
      </c>
      <c r="R601" s="14" t="s">
        <v>229</v>
      </c>
    </row>
    <row r="602" spans="1:18" s="14" customFormat="1" x14ac:dyDescent="0.25">
      <c r="A602" s="14" t="str">
        <f>"83558"</f>
        <v>83558</v>
      </c>
      <c r="B602" s="14" t="str">
        <f>"07010"</f>
        <v>07010</v>
      </c>
      <c r="C602" s="14" t="str">
        <f>"1800"</f>
        <v>1800</v>
      </c>
      <c r="D602" s="14" t="str">
        <f>""</f>
        <v/>
      </c>
      <c r="E602" s="14" t="s">
        <v>1312</v>
      </c>
      <c r="F602" s="14" t="s">
        <v>1002</v>
      </c>
      <c r="G602" s="14" t="str">
        <f>""</f>
        <v/>
      </c>
      <c r="H602" s="14" t="str">
        <f>" 00"</f>
        <v xml:space="preserve"> 00</v>
      </c>
      <c r="I602" s="14">
        <v>0.01</v>
      </c>
      <c r="J602" s="14">
        <v>9999999.9900000002</v>
      </c>
      <c r="K602" s="14" t="s">
        <v>228</v>
      </c>
      <c r="P602" s="14" t="s">
        <v>260</v>
      </c>
      <c r="Q602" s="14" t="s">
        <v>260</v>
      </c>
      <c r="R602" s="14" t="s">
        <v>229</v>
      </c>
    </row>
    <row r="603" spans="1:18" s="14" customFormat="1" x14ac:dyDescent="0.25">
      <c r="A603" s="14" t="str">
        <f>"83559"</f>
        <v>83559</v>
      </c>
      <c r="B603" s="14" t="str">
        <f>"07010"</f>
        <v>07010</v>
      </c>
      <c r="C603" s="14" t="str">
        <f>"1800"</f>
        <v>1800</v>
      </c>
      <c r="D603" s="14" t="str">
        <f>""</f>
        <v/>
      </c>
      <c r="E603" s="14" t="s">
        <v>1313</v>
      </c>
      <c r="F603" s="14" t="s">
        <v>1002</v>
      </c>
      <c r="G603" s="14" t="str">
        <f>""</f>
        <v/>
      </c>
      <c r="H603" s="14" t="str">
        <f>" 00"</f>
        <v xml:space="preserve"> 00</v>
      </c>
      <c r="I603" s="14">
        <v>0.01</v>
      </c>
      <c r="J603" s="14">
        <v>9999999.9900000002</v>
      </c>
      <c r="K603" s="14" t="s">
        <v>228</v>
      </c>
      <c r="P603" s="14" t="s">
        <v>260</v>
      </c>
      <c r="Q603" s="14" t="s">
        <v>260</v>
      </c>
      <c r="R603" s="14" t="s">
        <v>229</v>
      </c>
    </row>
    <row r="604" spans="1:18" s="14" customFormat="1" x14ac:dyDescent="0.25">
      <c r="A604" s="14" t="str">
        <f>"83560"</f>
        <v>83560</v>
      </c>
      <c r="B604" s="14" t="str">
        <f>"07010"</f>
        <v>07010</v>
      </c>
      <c r="C604" s="14" t="str">
        <f>"1800"</f>
        <v>1800</v>
      </c>
      <c r="D604" s="14" t="str">
        <f>""</f>
        <v/>
      </c>
      <c r="E604" s="14" t="s">
        <v>1314</v>
      </c>
      <c r="F604" s="14" t="s">
        <v>1002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228</v>
      </c>
      <c r="P604" s="14" t="s">
        <v>260</v>
      </c>
      <c r="Q604" s="14" t="s">
        <v>260</v>
      </c>
      <c r="R604" s="14" t="s">
        <v>229</v>
      </c>
    </row>
    <row r="605" spans="1:18" s="14" customFormat="1" x14ac:dyDescent="0.25">
      <c r="A605" s="14" t="str">
        <f>"83561"</f>
        <v>83561</v>
      </c>
      <c r="B605" s="14" t="str">
        <f>"07010"</f>
        <v>07010</v>
      </c>
      <c r="C605" s="14" t="str">
        <f>"1800"</f>
        <v>1800</v>
      </c>
      <c r="D605" s="14" t="str">
        <f>""</f>
        <v/>
      </c>
      <c r="E605" s="14" t="s">
        <v>1315</v>
      </c>
      <c r="F605" s="14" t="s">
        <v>1002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228</v>
      </c>
      <c r="P605" s="14" t="s">
        <v>260</v>
      </c>
      <c r="Q605" s="14" t="s">
        <v>260</v>
      </c>
      <c r="R605" s="14" t="s">
        <v>229</v>
      </c>
    </row>
    <row r="606" spans="1:18" s="14" customFormat="1" x14ac:dyDescent="0.25">
      <c r="A606" s="14" t="str">
        <f>"83562"</f>
        <v>83562</v>
      </c>
      <c r="B606" s="14" t="str">
        <f>"07010"</f>
        <v>07010</v>
      </c>
      <c r="C606" s="14" t="str">
        <f>"1800"</f>
        <v>1800</v>
      </c>
      <c r="D606" s="14" t="str">
        <f>""</f>
        <v/>
      </c>
      <c r="E606" s="14" t="s">
        <v>1316</v>
      </c>
      <c r="F606" s="14" t="s">
        <v>1002</v>
      </c>
      <c r="G606" s="14" t="str">
        <f>""</f>
        <v/>
      </c>
      <c r="H606" s="14" t="str">
        <f>" 00"</f>
        <v xml:space="preserve"> 00</v>
      </c>
      <c r="I606" s="14">
        <v>0.01</v>
      </c>
      <c r="J606" s="14">
        <v>9999999.9900000002</v>
      </c>
      <c r="K606" s="14" t="s">
        <v>228</v>
      </c>
      <c r="P606" s="14" t="s">
        <v>260</v>
      </c>
      <c r="Q606" s="14" t="s">
        <v>260</v>
      </c>
      <c r="R606" s="14" t="s">
        <v>229</v>
      </c>
    </row>
    <row r="607" spans="1:18" s="14" customFormat="1" x14ac:dyDescent="0.25">
      <c r="A607" s="14" t="str">
        <f>"83563"</f>
        <v>83563</v>
      </c>
      <c r="B607" s="14" t="str">
        <f>"07010"</f>
        <v>07010</v>
      </c>
      <c r="C607" s="14" t="str">
        <f>"1800"</f>
        <v>1800</v>
      </c>
      <c r="D607" s="14" t="str">
        <f>""</f>
        <v/>
      </c>
      <c r="E607" s="14" t="s">
        <v>1317</v>
      </c>
      <c r="F607" s="14" t="s">
        <v>1002</v>
      </c>
      <c r="G607" s="14" t="str">
        <f>""</f>
        <v/>
      </c>
      <c r="H607" s="14" t="str">
        <f>" 00"</f>
        <v xml:space="preserve"> 00</v>
      </c>
      <c r="I607" s="14">
        <v>0.01</v>
      </c>
      <c r="J607" s="14">
        <v>9999999.9900000002</v>
      </c>
      <c r="K607" s="14" t="s">
        <v>228</v>
      </c>
      <c r="P607" s="14" t="s">
        <v>260</v>
      </c>
      <c r="Q607" s="14" t="s">
        <v>260</v>
      </c>
      <c r="R607" s="14" t="s">
        <v>229</v>
      </c>
    </row>
    <row r="608" spans="1:18" s="14" customFormat="1" x14ac:dyDescent="0.25">
      <c r="A608" s="14" t="str">
        <f>"83568"</f>
        <v>83568</v>
      </c>
      <c r="B608" s="14" t="str">
        <f>"07010"</f>
        <v>07010</v>
      </c>
      <c r="C608" s="14" t="str">
        <f>"1800"</f>
        <v>1800</v>
      </c>
      <c r="D608" s="14" t="str">
        <f>""</f>
        <v/>
      </c>
      <c r="E608" s="14" t="s">
        <v>1318</v>
      </c>
      <c r="F608" s="14" t="s">
        <v>1002</v>
      </c>
      <c r="G608" s="14" t="str">
        <f>""</f>
        <v/>
      </c>
      <c r="H608" s="14" t="str">
        <f>" 00"</f>
        <v xml:space="preserve"> 00</v>
      </c>
      <c r="I608" s="14">
        <v>0.01</v>
      </c>
      <c r="J608" s="14">
        <v>9999999.9900000002</v>
      </c>
      <c r="K608" s="14" t="s">
        <v>228</v>
      </c>
      <c r="P608" s="14" t="s">
        <v>260</v>
      </c>
      <c r="Q608" s="14" t="s">
        <v>260</v>
      </c>
      <c r="R608" s="14" t="s">
        <v>229</v>
      </c>
    </row>
    <row r="609" spans="1:18" s="14" customFormat="1" x14ac:dyDescent="0.25">
      <c r="A609" s="14" t="str">
        <f>"83569"</f>
        <v>83569</v>
      </c>
      <c r="B609" s="14" t="str">
        <f>"07010"</f>
        <v>07010</v>
      </c>
      <c r="C609" s="14" t="str">
        <f>"1800"</f>
        <v>1800</v>
      </c>
      <c r="D609" s="14" t="str">
        <f>""</f>
        <v/>
      </c>
      <c r="E609" s="14" t="s">
        <v>1319</v>
      </c>
      <c r="F609" s="14" t="s">
        <v>1002</v>
      </c>
      <c r="G609" s="14" t="str">
        <f>""</f>
        <v/>
      </c>
      <c r="H609" s="14" t="str">
        <f>" 00"</f>
        <v xml:space="preserve"> 00</v>
      </c>
      <c r="I609" s="14">
        <v>0.01</v>
      </c>
      <c r="J609" s="14">
        <v>9999999.9900000002</v>
      </c>
      <c r="K609" s="14" t="s">
        <v>228</v>
      </c>
      <c r="P609" s="14" t="s">
        <v>260</v>
      </c>
      <c r="Q609" s="14" t="s">
        <v>260</v>
      </c>
      <c r="R609" s="14" t="s">
        <v>229</v>
      </c>
    </row>
    <row r="610" spans="1:18" s="14" customFormat="1" x14ac:dyDescent="0.25">
      <c r="A610" s="14" t="str">
        <f>"83570"</f>
        <v>83570</v>
      </c>
      <c r="B610" s="14" t="str">
        <f>"07010"</f>
        <v>07010</v>
      </c>
      <c r="C610" s="14" t="str">
        <f>"1800"</f>
        <v>1800</v>
      </c>
      <c r="D610" s="14" t="str">
        <f>""</f>
        <v/>
      </c>
      <c r="E610" s="14" t="s">
        <v>1320</v>
      </c>
      <c r="F610" s="14" t="s">
        <v>1002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228</v>
      </c>
      <c r="P610" s="14" t="s">
        <v>260</v>
      </c>
      <c r="Q610" s="14" t="s">
        <v>260</v>
      </c>
      <c r="R610" s="14" t="s">
        <v>229</v>
      </c>
    </row>
    <row r="611" spans="1:18" s="14" customFormat="1" x14ac:dyDescent="0.25">
      <c r="A611" s="14" t="str">
        <f>"83571"</f>
        <v>83571</v>
      </c>
      <c r="B611" s="14" t="str">
        <f>"07010"</f>
        <v>07010</v>
      </c>
      <c r="C611" s="14" t="str">
        <f>"1800"</f>
        <v>1800</v>
      </c>
      <c r="D611" s="14" t="str">
        <f>""</f>
        <v/>
      </c>
      <c r="E611" s="14" t="s">
        <v>1321</v>
      </c>
      <c r="F611" s="14" t="s">
        <v>1002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228</v>
      </c>
      <c r="P611" s="14" t="s">
        <v>260</v>
      </c>
      <c r="Q611" s="14" t="s">
        <v>260</v>
      </c>
      <c r="R611" s="14" t="s">
        <v>229</v>
      </c>
    </row>
    <row r="612" spans="1:18" s="14" customFormat="1" x14ac:dyDescent="0.25">
      <c r="A612" s="14" t="str">
        <f>"83572"</f>
        <v>83572</v>
      </c>
      <c r="B612" s="14" t="str">
        <f>"07010"</f>
        <v>07010</v>
      </c>
      <c r="C612" s="14" t="str">
        <f>"1800"</f>
        <v>1800</v>
      </c>
      <c r="D612" s="14" t="str">
        <f>""</f>
        <v/>
      </c>
      <c r="E612" s="14" t="s">
        <v>1322</v>
      </c>
      <c r="F612" s="14" t="s">
        <v>1002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228</v>
      </c>
      <c r="P612" s="14" t="s">
        <v>260</v>
      </c>
      <c r="Q612" s="14" t="s">
        <v>260</v>
      </c>
      <c r="R612" s="14" t="s">
        <v>229</v>
      </c>
    </row>
    <row r="613" spans="1:18" s="14" customFormat="1" x14ac:dyDescent="0.25">
      <c r="A613" s="14" t="str">
        <f>"83573"</f>
        <v>83573</v>
      </c>
      <c r="B613" s="14" t="str">
        <f>"07010"</f>
        <v>07010</v>
      </c>
      <c r="C613" s="14" t="str">
        <f>"1800"</f>
        <v>1800</v>
      </c>
      <c r="D613" s="14" t="str">
        <f>""</f>
        <v/>
      </c>
      <c r="E613" s="14" t="s">
        <v>1323</v>
      </c>
      <c r="F613" s="14" t="s">
        <v>1002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228</v>
      </c>
      <c r="P613" s="14" t="s">
        <v>260</v>
      </c>
      <c r="Q613" s="14" t="s">
        <v>260</v>
      </c>
      <c r="R613" s="14" t="s">
        <v>229</v>
      </c>
    </row>
    <row r="614" spans="1:18" s="14" customFormat="1" x14ac:dyDescent="0.25">
      <c r="A614" s="14" t="str">
        <f>"83577"</f>
        <v>83577</v>
      </c>
      <c r="B614" s="14" t="str">
        <f>"07010"</f>
        <v>07010</v>
      </c>
      <c r="C614" s="14" t="str">
        <f>"1800"</f>
        <v>1800</v>
      </c>
      <c r="D614" s="14" t="str">
        <f>""</f>
        <v/>
      </c>
      <c r="E614" s="14" t="s">
        <v>1324</v>
      </c>
      <c r="F614" s="14" t="s">
        <v>1002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228</v>
      </c>
      <c r="P614" s="14" t="s">
        <v>260</v>
      </c>
      <c r="Q614" s="14" t="s">
        <v>260</v>
      </c>
      <c r="R614" s="14" t="s">
        <v>229</v>
      </c>
    </row>
    <row r="615" spans="1:18" s="14" customFormat="1" x14ac:dyDescent="0.25">
      <c r="A615" s="14" t="str">
        <f>"83578"</f>
        <v>83578</v>
      </c>
      <c r="B615" s="14" t="str">
        <f>"07010"</f>
        <v>07010</v>
      </c>
      <c r="C615" s="14" t="str">
        <f>"1800"</f>
        <v>1800</v>
      </c>
      <c r="D615" s="14" t="str">
        <f>""</f>
        <v/>
      </c>
      <c r="E615" s="14" t="s">
        <v>1325</v>
      </c>
      <c r="F615" s="14" t="s">
        <v>1002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228</v>
      </c>
      <c r="P615" s="14" t="s">
        <v>260</v>
      </c>
      <c r="Q615" s="14" t="s">
        <v>260</v>
      </c>
      <c r="R615" s="14" t="s">
        <v>229</v>
      </c>
    </row>
    <row r="616" spans="1:18" s="14" customFormat="1" x14ac:dyDescent="0.25">
      <c r="A616" s="14" t="str">
        <f>"83579"</f>
        <v>83579</v>
      </c>
      <c r="B616" s="14" t="str">
        <f>"07010"</f>
        <v>07010</v>
      </c>
      <c r="C616" s="14" t="str">
        <f>"1800"</f>
        <v>1800</v>
      </c>
      <c r="D616" s="14" t="str">
        <f>""</f>
        <v/>
      </c>
      <c r="E616" s="14" t="s">
        <v>1326</v>
      </c>
      <c r="F616" s="14" t="s">
        <v>1002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228</v>
      </c>
      <c r="P616" s="14" t="s">
        <v>260</v>
      </c>
      <c r="Q616" s="14" t="s">
        <v>260</v>
      </c>
      <c r="R616" s="14" t="s">
        <v>229</v>
      </c>
    </row>
    <row r="617" spans="1:18" s="14" customFormat="1" x14ac:dyDescent="0.25">
      <c r="A617" s="14" t="str">
        <f>"83581"</f>
        <v>83581</v>
      </c>
      <c r="B617" s="14" t="str">
        <f>"07010"</f>
        <v>07010</v>
      </c>
      <c r="C617" s="14" t="str">
        <f>"1800"</f>
        <v>1800</v>
      </c>
      <c r="D617" s="14" t="str">
        <f>""</f>
        <v/>
      </c>
      <c r="E617" s="14" t="s">
        <v>1327</v>
      </c>
      <c r="F617" s="14" t="s">
        <v>1002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228</v>
      </c>
      <c r="P617" s="14" t="s">
        <v>260</v>
      </c>
      <c r="Q617" s="14" t="s">
        <v>260</v>
      </c>
      <c r="R617" s="14" t="s">
        <v>229</v>
      </c>
    </row>
    <row r="618" spans="1:18" s="14" customFormat="1" x14ac:dyDescent="0.25">
      <c r="A618" s="14" t="str">
        <f>"83582"</f>
        <v>83582</v>
      </c>
      <c r="B618" s="14" t="str">
        <f>"07010"</f>
        <v>07010</v>
      </c>
      <c r="C618" s="14" t="str">
        <f>"1800"</f>
        <v>1800</v>
      </c>
      <c r="D618" s="14" t="str">
        <f>""</f>
        <v/>
      </c>
      <c r="E618" s="14" t="s">
        <v>1328</v>
      </c>
      <c r="F618" s="14" t="s">
        <v>1002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228</v>
      </c>
      <c r="P618" s="14" t="s">
        <v>260</v>
      </c>
      <c r="Q618" s="14" t="s">
        <v>260</v>
      </c>
      <c r="R618" s="14" t="s">
        <v>229</v>
      </c>
    </row>
    <row r="619" spans="1:18" s="14" customFormat="1" x14ac:dyDescent="0.25">
      <c r="A619" s="14" t="str">
        <f>"83586"</f>
        <v>83586</v>
      </c>
      <c r="B619" s="14" t="str">
        <f>"07010"</f>
        <v>07010</v>
      </c>
      <c r="C619" s="14" t="str">
        <f>"1800"</f>
        <v>1800</v>
      </c>
      <c r="D619" s="14" t="str">
        <f>""</f>
        <v/>
      </c>
      <c r="E619" s="14" t="s">
        <v>1329</v>
      </c>
      <c r="F619" s="14" t="s">
        <v>1002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228</v>
      </c>
      <c r="P619" s="14" t="s">
        <v>260</v>
      </c>
      <c r="Q619" s="14" t="s">
        <v>260</v>
      </c>
      <c r="R619" s="14" t="s">
        <v>229</v>
      </c>
    </row>
    <row r="620" spans="1:18" s="14" customFormat="1" x14ac:dyDescent="0.25">
      <c r="A620" s="14" t="str">
        <f>"83588"</f>
        <v>83588</v>
      </c>
      <c r="B620" s="14" t="str">
        <f>"07010"</f>
        <v>07010</v>
      </c>
      <c r="C620" s="14" t="str">
        <f>"1800"</f>
        <v>1800</v>
      </c>
      <c r="D620" s="14" t="str">
        <f>""</f>
        <v/>
      </c>
      <c r="E620" s="14" t="s">
        <v>1330</v>
      </c>
      <c r="F620" s="14" t="s">
        <v>1002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228</v>
      </c>
      <c r="P620" s="14" t="s">
        <v>260</v>
      </c>
      <c r="Q620" s="14" t="s">
        <v>260</v>
      </c>
      <c r="R620" s="14" t="s">
        <v>229</v>
      </c>
    </row>
    <row r="621" spans="1:18" s="14" customFormat="1" x14ac:dyDescent="0.25">
      <c r="A621" s="14" t="str">
        <f>"83590"</f>
        <v>83590</v>
      </c>
      <c r="B621" s="14" t="str">
        <f>"07010"</f>
        <v>07010</v>
      </c>
      <c r="C621" s="14" t="str">
        <f>"1800"</f>
        <v>1800</v>
      </c>
      <c r="D621" s="14" t="str">
        <f>""</f>
        <v/>
      </c>
      <c r="E621" s="14" t="s">
        <v>1331</v>
      </c>
      <c r="F621" s="14" t="s">
        <v>1002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228</v>
      </c>
      <c r="P621" s="14" t="s">
        <v>260</v>
      </c>
      <c r="Q621" s="14" t="s">
        <v>260</v>
      </c>
      <c r="R621" s="14" t="s">
        <v>229</v>
      </c>
    </row>
    <row r="622" spans="1:18" s="14" customFormat="1" x14ac:dyDescent="0.25">
      <c r="A622" s="14" t="str">
        <f>"83591"</f>
        <v>83591</v>
      </c>
      <c r="B622" s="14" t="str">
        <f>"07010"</f>
        <v>07010</v>
      </c>
      <c r="C622" s="14" t="str">
        <f>"1800"</f>
        <v>1800</v>
      </c>
      <c r="D622" s="14" t="str">
        <f>""</f>
        <v/>
      </c>
      <c r="E622" s="14" t="s">
        <v>1332</v>
      </c>
      <c r="F622" s="14" t="s">
        <v>1002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228</v>
      </c>
      <c r="P622" s="14" t="s">
        <v>260</v>
      </c>
      <c r="Q622" s="14" t="s">
        <v>260</v>
      </c>
      <c r="R622" s="14" t="s">
        <v>229</v>
      </c>
    </row>
    <row r="623" spans="1:18" s="14" customFormat="1" x14ac:dyDescent="0.25">
      <c r="A623" s="14" t="str">
        <f>"83592"</f>
        <v>83592</v>
      </c>
      <c r="B623" s="14" t="str">
        <f>"07010"</f>
        <v>07010</v>
      </c>
      <c r="C623" s="14" t="str">
        <f>"1800"</f>
        <v>1800</v>
      </c>
      <c r="D623" s="14" t="str">
        <f>""</f>
        <v/>
      </c>
      <c r="E623" s="14" t="s">
        <v>1333</v>
      </c>
      <c r="F623" s="14" t="s">
        <v>1002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228</v>
      </c>
      <c r="P623" s="14" t="s">
        <v>260</v>
      </c>
      <c r="Q623" s="14" t="s">
        <v>260</v>
      </c>
      <c r="R623" s="14" t="s">
        <v>229</v>
      </c>
    </row>
    <row r="624" spans="1:18" s="14" customFormat="1" x14ac:dyDescent="0.25">
      <c r="A624" s="14" t="str">
        <f>"83593"</f>
        <v>83593</v>
      </c>
      <c r="B624" s="14" t="str">
        <f>"07010"</f>
        <v>07010</v>
      </c>
      <c r="C624" s="14" t="str">
        <f>"1800"</f>
        <v>1800</v>
      </c>
      <c r="D624" s="14" t="str">
        <f>""</f>
        <v/>
      </c>
      <c r="E624" s="14" t="s">
        <v>1334</v>
      </c>
      <c r="F624" s="14" t="s">
        <v>1002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228</v>
      </c>
      <c r="P624" s="14" t="s">
        <v>260</v>
      </c>
      <c r="Q624" s="14" t="s">
        <v>260</v>
      </c>
      <c r="R624" s="14" t="s">
        <v>229</v>
      </c>
    </row>
    <row r="625" spans="1:18" s="14" customFormat="1" x14ac:dyDescent="0.25">
      <c r="A625" s="14" t="str">
        <f>"83595"</f>
        <v>83595</v>
      </c>
      <c r="B625" s="14" t="str">
        <f>"07010"</f>
        <v>07010</v>
      </c>
      <c r="C625" s="14" t="str">
        <f>"1800"</f>
        <v>1800</v>
      </c>
      <c r="D625" s="14" t="str">
        <f>""</f>
        <v/>
      </c>
      <c r="E625" s="14" t="s">
        <v>1335</v>
      </c>
      <c r="F625" s="14" t="s">
        <v>1002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228</v>
      </c>
      <c r="P625" s="14" t="s">
        <v>260</v>
      </c>
      <c r="Q625" s="14" t="s">
        <v>260</v>
      </c>
      <c r="R625" s="14" t="s">
        <v>229</v>
      </c>
    </row>
    <row r="626" spans="1:18" s="14" customFormat="1" x14ac:dyDescent="0.25">
      <c r="A626" s="14" t="str">
        <f>"83597"</f>
        <v>83597</v>
      </c>
      <c r="B626" s="14" t="str">
        <f>"07010"</f>
        <v>07010</v>
      </c>
      <c r="C626" s="14" t="str">
        <f>"1800"</f>
        <v>1800</v>
      </c>
      <c r="D626" s="14" t="str">
        <f>""</f>
        <v/>
      </c>
      <c r="E626" s="14" t="s">
        <v>1336</v>
      </c>
      <c r="F626" s="14" t="s">
        <v>1002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228</v>
      </c>
      <c r="P626" s="14" t="s">
        <v>260</v>
      </c>
      <c r="Q626" s="14" t="s">
        <v>260</v>
      </c>
      <c r="R626" s="14" t="s">
        <v>229</v>
      </c>
    </row>
    <row r="627" spans="1:18" s="14" customFormat="1" x14ac:dyDescent="0.25">
      <c r="A627" s="14" t="str">
        <f>"83598"</f>
        <v>83598</v>
      </c>
      <c r="B627" s="14" t="str">
        <f>"07010"</f>
        <v>07010</v>
      </c>
      <c r="C627" s="14" t="str">
        <f>"1800"</f>
        <v>1800</v>
      </c>
      <c r="D627" s="14" t="str">
        <f>""</f>
        <v/>
      </c>
      <c r="E627" s="14" t="s">
        <v>1337</v>
      </c>
      <c r="F627" s="14" t="s">
        <v>1002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228</v>
      </c>
      <c r="P627" s="14" t="s">
        <v>260</v>
      </c>
      <c r="Q627" s="14" t="s">
        <v>260</v>
      </c>
      <c r="R627" s="14" t="s">
        <v>229</v>
      </c>
    </row>
    <row r="628" spans="1:18" s="14" customFormat="1" x14ac:dyDescent="0.25">
      <c r="A628" s="14" t="str">
        <f>"83599"</f>
        <v>83599</v>
      </c>
      <c r="B628" s="14" t="str">
        <f>"07010"</f>
        <v>07010</v>
      </c>
      <c r="C628" s="14" t="str">
        <f>"1800"</f>
        <v>1800</v>
      </c>
      <c r="D628" s="14" t="str">
        <f>""</f>
        <v/>
      </c>
      <c r="E628" s="14" t="s">
        <v>1338</v>
      </c>
      <c r="F628" s="14" t="s">
        <v>1002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228</v>
      </c>
      <c r="P628" s="14" t="s">
        <v>260</v>
      </c>
      <c r="Q628" s="14" t="s">
        <v>260</v>
      </c>
      <c r="R628" s="14" t="s">
        <v>229</v>
      </c>
    </row>
    <row r="629" spans="1:18" s="14" customFormat="1" x14ac:dyDescent="0.25">
      <c r="A629" s="14" t="str">
        <f>"83600"</f>
        <v>83600</v>
      </c>
      <c r="B629" s="14" t="str">
        <f>"07010"</f>
        <v>07010</v>
      </c>
      <c r="C629" s="14" t="str">
        <f>"1800"</f>
        <v>1800</v>
      </c>
      <c r="D629" s="14" t="str">
        <f>""</f>
        <v/>
      </c>
      <c r="E629" s="14" t="s">
        <v>1339</v>
      </c>
      <c r="F629" s="14" t="s">
        <v>1002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228</v>
      </c>
      <c r="P629" s="14" t="s">
        <v>260</v>
      </c>
      <c r="Q629" s="14" t="s">
        <v>260</v>
      </c>
      <c r="R629" s="14" t="s">
        <v>229</v>
      </c>
    </row>
    <row r="630" spans="1:18" s="14" customFormat="1" x14ac:dyDescent="0.25">
      <c r="A630" s="14" t="str">
        <f>"83603"</f>
        <v>83603</v>
      </c>
      <c r="B630" s="14" t="str">
        <f>"07010"</f>
        <v>07010</v>
      </c>
      <c r="C630" s="14" t="str">
        <f>"1800"</f>
        <v>1800</v>
      </c>
      <c r="D630" s="14" t="str">
        <f>""</f>
        <v/>
      </c>
      <c r="E630" s="14" t="s">
        <v>1340</v>
      </c>
      <c r="F630" s="14" t="s">
        <v>1002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228</v>
      </c>
      <c r="P630" s="14" t="s">
        <v>260</v>
      </c>
      <c r="Q630" s="14" t="s">
        <v>260</v>
      </c>
      <c r="R630" s="14" t="s">
        <v>229</v>
      </c>
    </row>
    <row r="631" spans="1:18" s="14" customFormat="1" x14ac:dyDescent="0.25">
      <c r="A631" s="14" t="str">
        <f>"83606"</f>
        <v>83606</v>
      </c>
      <c r="B631" s="14" t="str">
        <f>"07010"</f>
        <v>07010</v>
      </c>
      <c r="C631" s="14" t="str">
        <f>"1800"</f>
        <v>1800</v>
      </c>
      <c r="D631" s="14" t="str">
        <f>""</f>
        <v/>
      </c>
      <c r="E631" s="14" t="s">
        <v>1341</v>
      </c>
      <c r="F631" s="14" t="s">
        <v>1002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228</v>
      </c>
      <c r="P631" s="14" t="s">
        <v>260</v>
      </c>
      <c r="Q631" s="14" t="s">
        <v>260</v>
      </c>
      <c r="R631" s="14" t="s">
        <v>229</v>
      </c>
    </row>
    <row r="632" spans="1:18" s="14" customFormat="1" x14ac:dyDescent="0.25">
      <c r="A632" s="14" t="str">
        <f>"83607"</f>
        <v>83607</v>
      </c>
      <c r="B632" s="14" t="str">
        <f>"07010"</f>
        <v>07010</v>
      </c>
      <c r="C632" s="14" t="str">
        <f>"1800"</f>
        <v>1800</v>
      </c>
      <c r="D632" s="14" t="str">
        <f>""</f>
        <v/>
      </c>
      <c r="E632" s="14" t="s">
        <v>1342</v>
      </c>
      <c r="F632" s="14" t="s">
        <v>1002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228</v>
      </c>
      <c r="P632" s="14" t="s">
        <v>260</v>
      </c>
      <c r="Q632" s="14" t="s">
        <v>260</v>
      </c>
      <c r="R632" s="14" t="s">
        <v>229</v>
      </c>
    </row>
    <row r="633" spans="1:18" s="14" customFormat="1" x14ac:dyDescent="0.25">
      <c r="A633" s="14" t="str">
        <f>"83608"</f>
        <v>83608</v>
      </c>
      <c r="B633" s="14" t="str">
        <f>"07010"</f>
        <v>07010</v>
      </c>
      <c r="C633" s="14" t="str">
        <f>"1800"</f>
        <v>1800</v>
      </c>
      <c r="D633" s="14" t="str">
        <f>""</f>
        <v/>
      </c>
      <c r="E633" s="14" t="s">
        <v>1343</v>
      </c>
      <c r="F633" s="14" t="s">
        <v>1002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228</v>
      </c>
      <c r="P633" s="14" t="s">
        <v>260</v>
      </c>
      <c r="Q633" s="14" t="s">
        <v>260</v>
      </c>
      <c r="R633" s="14" t="s">
        <v>229</v>
      </c>
    </row>
    <row r="634" spans="1:18" s="14" customFormat="1" x14ac:dyDescent="0.25">
      <c r="A634" s="14" t="str">
        <f>"83611"</f>
        <v>83611</v>
      </c>
      <c r="B634" s="14" t="str">
        <f>"07010"</f>
        <v>07010</v>
      </c>
      <c r="C634" s="14" t="str">
        <f>"1800"</f>
        <v>1800</v>
      </c>
      <c r="D634" s="14" t="str">
        <f>""</f>
        <v/>
      </c>
      <c r="E634" s="14" t="s">
        <v>1344</v>
      </c>
      <c r="F634" s="14" t="s">
        <v>1002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228</v>
      </c>
      <c r="P634" s="14" t="s">
        <v>260</v>
      </c>
      <c r="Q634" s="14" t="s">
        <v>260</v>
      </c>
      <c r="R634" s="14" t="s">
        <v>229</v>
      </c>
    </row>
    <row r="635" spans="1:18" s="14" customFormat="1" x14ac:dyDescent="0.25">
      <c r="A635" s="14" t="str">
        <f>"83615"</f>
        <v>83615</v>
      </c>
      <c r="B635" s="14" t="str">
        <f>"07010"</f>
        <v>07010</v>
      </c>
      <c r="C635" s="14" t="str">
        <f>"1800"</f>
        <v>1800</v>
      </c>
      <c r="D635" s="14" t="str">
        <f>""</f>
        <v/>
      </c>
      <c r="E635" s="14" t="s">
        <v>1345</v>
      </c>
      <c r="F635" s="14" t="s">
        <v>1002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228</v>
      </c>
      <c r="P635" s="14" t="s">
        <v>260</v>
      </c>
      <c r="Q635" s="14" t="s">
        <v>260</v>
      </c>
      <c r="R635" s="14" t="s">
        <v>229</v>
      </c>
    </row>
    <row r="636" spans="1:18" s="14" customFormat="1" x14ac:dyDescent="0.25">
      <c r="A636" s="14" t="str">
        <f>"83616"</f>
        <v>83616</v>
      </c>
      <c r="B636" s="14" t="str">
        <f>"07010"</f>
        <v>07010</v>
      </c>
      <c r="C636" s="14" t="str">
        <f>"1800"</f>
        <v>1800</v>
      </c>
      <c r="D636" s="14" t="str">
        <f>""</f>
        <v/>
      </c>
      <c r="E636" s="14" t="s">
        <v>1346</v>
      </c>
      <c r="F636" s="14" t="s">
        <v>1002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228</v>
      </c>
      <c r="P636" s="14" t="s">
        <v>260</v>
      </c>
      <c r="Q636" s="14" t="s">
        <v>260</v>
      </c>
      <c r="R636" s="14" t="s">
        <v>229</v>
      </c>
    </row>
    <row r="637" spans="1:18" s="14" customFormat="1" x14ac:dyDescent="0.25">
      <c r="A637" s="14" t="str">
        <f>"83619"</f>
        <v>83619</v>
      </c>
      <c r="B637" s="14" t="str">
        <f>"07010"</f>
        <v>07010</v>
      </c>
      <c r="C637" s="14" t="str">
        <f>"1800"</f>
        <v>1800</v>
      </c>
      <c r="D637" s="14" t="str">
        <f>""</f>
        <v/>
      </c>
      <c r="E637" s="14" t="s">
        <v>1347</v>
      </c>
      <c r="F637" s="14" t="s">
        <v>1002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228</v>
      </c>
      <c r="P637" s="14" t="s">
        <v>260</v>
      </c>
      <c r="Q637" s="14" t="s">
        <v>260</v>
      </c>
      <c r="R637" s="14" t="s">
        <v>229</v>
      </c>
    </row>
    <row r="638" spans="1:18" s="14" customFormat="1" x14ac:dyDescent="0.25">
      <c r="A638" s="14" t="str">
        <f>"83620"</f>
        <v>83620</v>
      </c>
      <c r="B638" s="14" t="str">
        <f>"07010"</f>
        <v>07010</v>
      </c>
      <c r="C638" s="14" t="str">
        <f>"1800"</f>
        <v>1800</v>
      </c>
      <c r="D638" s="14" t="str">
        <f>""</f>
        <v/>
      </c>
      <c r="E638" s="14" t="s">
        <v>1348</v>
      </c>
      <c r="F638" s="14" t="s">
        <v>1002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228</v>
      </c>
      <c r="P638" s="14" t="s">
        <v>260</v>
      </c>
      <c r="Q638" s="14" t="s">
        <v>260</v>
      </c>
      <c r="R638" s="14" t="s">
        <v>229</v>
      </c>
    </row>
    <row r="639" spans="1:18" s="14" customFormat="1" x14ac:dyDescent="0.25">
      <c r="A639" s="14" t="str">
        <f>"83621"</f>
        <v>83621</v>
      </c>
      <c r="B639" s="14" t="str">
        <f>"07010"</f>
        <v>07010</v>
      </c>
      <c r="C639" s="14" t="str">
        <f>"1800"</f>
        <v>1800</v>
      </c>
      <c r="D639" s="14" t="str">
        <f>""</f>
        <v/>
      </c>
      <c r="E639" s="14" t="s">
        <v>1349</v>
      </c>
      <c r="F639" s="14" t="s">
        <v>1002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228</v>
      </c>
      <c r="P639" s="14" t="s">
        <v>260</v>
      </c>
      <c r="Q639" s="14" t="s">
        <v>260</v>
      </c>
      <c r="R639" s="14" t="s">
        <v>229</v>
      </c>
    </row>
    <row r="640" spans="1:18" s="14" customFormat="1" x14ac:dyDescent="0.25">
      <c r="A640" s="14" t="str">
        <f>"83622"</f>
        <v>83622</v>
      </c>
      <c r="B640" s="14" t="str">
        <f>"07010"</f>
        <v>07010</v>
      </c>
      <c r="C640" s="14" t="str">
        <f>"1800"</f>
        <v>1800</v>
      </c>
      <c r="D640" s="14" t="str">
        <f>""</f>
        <v/>
      </c>
      <c r="E640" s="14" t="s">
        <v>1350</v>
      </c>
      <c r="F640" s="14" t="s">
        <v>1002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228</v>
      </c>
      <c r="P640" s="14" t="s">
        <v>260</v>
      </c>
      <c r="Q640" s="14" t="s">
        <v>260</v>
      </c>
      <c r="R640" s="14" t="s">
        <v>229</v>
      </c>
    </row>
    <row r="641" spans="1:18" s="14" customFormat="1" x14ac:dyDescent="0.25">
      <c r="A641" s="14" t="str">
        <f>"83623"</f>
        <v>83623</v>
      </c>
      <c r="B641" s="14" t="str">
        <f>"07010"</f>
        <v>07010</v>
      </c>
      <c r="C641" s="14" t="str">
        <f>"1800"</f>
        <v>1800</v>
      </c>
      <c r="D641" s="14" t="str">
        <f>""</f>
        <v/>
      </c>
      <c r="E641" s="14" t="s">
        <v>1351</v>
      </c>
      <c r="F641" s="14" t="s">
        <v>1002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228</v>
      </c>
      <c r="P641" s="14" t="s">
        <v>260</v>
      </c>
      <c r="Q641" s="14" t="s">
        <v>260</v>
      </c>
      <c r="R641" s="14" t="s">
        <v>229</v>
      </c>
    </row>
    <row r="642" spans="1:18" s="14" customFormat="1" x14ac:dyDescent="0.25">
      <c r="A642" s="14" t="str">
        <f>"83624"</f>
        <v>83624</v>
      </c>
      <c r="B642" s="14" t="str">
        <f>"07010"</f>
        <v>07010</v>
      </c>
      <c r="C642" s="14" t="str">
        <f>"1800"</f>
        <v>1800</v>
      </c>
      <c r="D642" s="14" t="str">
        <f>""</f>
        <v/>
      </c>
      <c r="E642" s="14" t="s">
        <v>1352</v>
      </c>
      <c r="F642" s="14" t="s">
        <v>1002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228</v>
      </c>
      <c r="P642" s="14" t="s">
        <v>260</v>
      </c>
      <c r="Q642" s="14" t="s">
        <v>260</v>
      </c>
      <c r="R642" s="14" t="s">
        <v>229</v>
      </c>
    </row>
    <row r="643" spans="1:18" s="14" customFormat="1" x14ac:dyDescent="0.25">
      <c r="A643" s="14" t="str">
        <f>"83625"</f>
        <v>83625</v>
      </c>
      <c r="B643" s="14" t="str">
        <f>"07010"</f>
        <v>07010</v>
      </c>
      <c r="C643" s="14" t="str">
        <f>"1800"</f>
        <v>1800</v>
      </c>
      <c r="D643" s="14" t="str">
        <f>""</f>
        <v/>
      </c>
      <c r="E643" s="14" t="s">
        <v>1353</v>
      </c>
      <c r="F643" s="14" t="s">
        <v>1002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228</v>
      </c>
      <c r="P643" s="14" t="s">
        <v>260</v>
      </c>
      <c r="Q643" s="14" t="s">
        <v>260</v>
      </c>
      <c r="R643" s="14" t="s">
        <v>229</v>
      </c>
    </row>
    <row r="644" spans="1:18" s="14" customFormat="1" x14ac:dyDescent="0.25">
      <c r="A644" s="14" t="str">
        <f>"83626"</f>
        <v>83626</v>
      </c>
      <c r="B644" s="14" t="str">
        <f>"07010"</f>
        <v>07010</v>
      </c>
      <c r="C644" s="14" t="str">
        <f>"1800"</f>
        <v>1800</v>
      </c>
      <c r="D644" s="14" t="str">
        <f>""</f>
        <v/>
      </c>
      <c r="E644" s="14" t="s">
        <v>1354</v>
      </c>
      <c r="F644" s="14" t="s">
        <v>1002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228</v>
      </c>
      <c r="P644" s="14" t="s">
        <v>260</v>
      </c>
      <c r="Q644" s="14" t="s">
        <v>260</v>
      </c>
      <c r="R644" s="14" t="s">
        <v>229</v>
      </c>
    </row>
    <row r="645" spans="1:18" s="14" customFormat="1" x14ac:dyDescent="0.25">
      <c r="A645" s="14" t="str">
        <f>"83627"</f>
        <v>83627</v>
      </c>
      <c r="B645" s="14" t="str">
        <f>"07010"</f>
        <v>07010</v>
      </c>
      <c r="C645" s="14" t="str">
        <f>"1800"</f>
        <v>1800</v>
      </c>
      <c r="D645" s="14" t="str">
        <f>""</f>
        <v/>
      </c>
      <c r="E645" s="14" t="s">
        <v>1355</v>
      </c>
      <c r="F645" s="14" t="s">
        <v>1002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228</v>
      </c>
      <c r="P645" s="14" t="s">
        <v>260</v>
      </c>
      <c r="Q645" s="14" t="s">
        <v>260</v>
      </c>
      <c r="R645" s="14" t="s">
        <v>229</v>
      </c>
    </row>
    <row r="646" spans="1:18" s="14" customFormat="1" x14ac:dyDescent="0.25">
      <c r="A646" s="14" t="str">
        <f>"83630"</f>
        <v>83630</v>
      </c>
      <c r="B646" s="14" t="str">
        <f>"07010"</f>
        <v>07010</v>
      </c>
      <c r="C646" s="14" t="str">
        <f>"1800"</f>
        <v>1800</v>
      </c>
      <c r="D646" s="14" t="str">
        <f>""</f>
        <v/>
      </c>
      <c r="E646" s="14" t="s">
        <v>1356</v>
      </c>
      <c r="F646" s="14" t="s">
        <v>1002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228</v>
      </c>
      <c r="P646" s="14" t="s">
        <v>260</v>
      </c>
      <c r="Q646" s="14" t="s">
        <v>260</v>
      </c>
      <c r="R646" s="14" t="s">
        <v>229</v>
      </c>
    </row>
    <row r="647" spans="1:18" s="14" customFormat="1" x14ac:dyDescent="0.25">
      <c r="A647" s="14" t="str">
        <f>"83633"</f>
        <v>83633</v>
      </c>
      <c r="B647" s="14" t="str">
        <f>"07010"</f>
        <v>07010</v>
      </c>
      <c r="C647" s="14" t="str">
        <f>"1800"</f>
        <v>1800</v>
      </c>
      <c r="D647" s="14" t="str">
        <f>""</f>
        <v/>
      </c>
      <c r="E647" s="14" t="s">
        <v>1357</v>
      </c>
      <c r="F647" s="14" t="s">
        <v>1002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228</v>
      </c>
      <c r="P647" s="14" t="s">
        <v>260</v>
      </c>
      <c r="Q647" s="14" t="s">
        <v>260</v>
      </c>
      <c r="R647" s="14" t="s">
        <v>229</v>
      </c>
    </row>
    <row r="648" spans="1:18" s="14" customFormat="1" x14ac:dyDescent="0.25">
      <c r="A648" s="14" t="str">
        <f>"83636"</f>
        <v>83636</v>
      </c>
      <c r="B648" s="14" t="str">
        <f>"07010"</f>
        <v>07010</v>
      </c>
      <c r="C648" s="14" t="str">
        <f>"1800"</f>
        <v>1800</v>
      </c>
      <c r="D648" s="14" t="str">
        <f>""</f>
        <v/>
      </c>
      <c r="E648" s="14" t="s">
        <v>1358</v>
      </c>
      <c r="F648" s="14" t="s">
        <v>1002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228</v>
      </c>
      <c r="P648" s="14" t="s">
        <v>260</v>
      </c>
      <c r="Q648" s="14" t="s">
        <v>260</v>
      </c>
      <c r="R648" s="14" t="s">
        <v>229</v>
      </c>
    </row>
    <row r="649" spans="1:18" s="14" customFormat="1" x14ac:dyDescent="0.25">
      <c r="A649" s="14" t="str">
        <f>"83638"</f>
        <v>83638</v>
      </c>
      <c r="B649" s="14" t="str">
        <f>"07010"</f>
        <v>07010</v>
      </c>
      <c r="C649" s="14" t="str">
        <f>"1800"</f>
        <v>1800</v>
      </c>
      <c r="D649" s="14" t="str">
        <f>""</f>
        <v/>
      </c>
      <c r="E649" s="14" t="s">
        <v>1359</v>
      </c>
      <c r="F649" s="14" t="s">
        <v>1002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228</v>
      </c>
      <c r="P649" s="14" t="s">
        <v>260</v>
      </c>
      <c r="Q649" s="14" t="s">
        <v>260</v>
      </c>
      <c r="R649" s="14" t="s">
        <v>229</v>
      </c>
    </row>
    <row r="650" spans="1:18" s="14" customFormat="1" x14ac:dyDescent="0.25">
      <c r="A650" s="14" t="str">
        <f>"83639"</f>
        <v>83639</v>
      </c>
      <c r="B650" s="14" t="str">
        <f>"07010"</f>
        <v>07010</v>
      </c>
      <c r="C650" s="14" t="str">
        <f>"1800"</f>
        <v>1800</v>
      </c>
      <c r="D650" s="14" t="str">
        <f>""</f>
        <v/>
      </c>
      <c r="E650" s="14" t="s">
        <v>1360</v>
      </c>
      <c r="F650" s="14" t="s">
        <v>1002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228</v>
      </c>
      <c r="P650" s="14" t="s">
        <v>260</v>
      </c>
      <c r="Q650" s="14" t="s">
        <v>260</v>
      </c>
      <c r="R650" s="14" t="s">
        <v>229</v>
      </c>
    </row>
    <row r="651" spans="1:18" s="14" customFormat="1" x14ac:dyDescent="0.25">
      <c r="A651" s="14" t="str">
        <f>"83640"</f>
        <v>83640</v>
      </c>
      <c r="B651" s="14" t="str">
        <f>"07010"</f>
        <v>07010</v>
      </c>
      <c r="C651" s="14" t="str">
        <f>"1800"</f>
        <v>1800</v>
      </c>
      <c r="D651" s="14" t="str">
        <f>""</f>
        <v/>
      </c>
      <c r="E651" s="14" t="s">
        <v>1361</v>
      </c>
      <c r="F651" s="14" t="s">
        <v>1002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228</v>
      </c>
      <c r="P651" s="14" t="s">
        <v>260</v>
      </c>
      <c r="Q651" s="14" t="s">
        <v>260</v>
      </c>
      <c r="R651" s="14" t="s">
        <v>229</v>
      </c>
    </row>
    <row r="652" spans="1:18" s="14" customFormat="1" x14ac:dyDescent="0.25">
      <c r="A652" s="14" t="str">
        <f>"83641"</f>
        <v>83641</v>
      </c>
      <c r="B652" s="14" t="str">
        <f>"07010"</f>
        <v>07010</v>
      </c>
      <c r="C652" s="14" t="str">
        <f>"1800"</f>
        <v>1800</v>
      </c>
      <c r="D652" s="14" t="str">
        <f>""</f>
        <v/>
      </c>
      <c r="E652" s="14" t="s">
        <v>1362</v>
      </c>
      <c r="F652" s="14" t="s">
        <v>1002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228</v>
      </c>
      <c r="P652" s="14" t="s">
        <v>260</v>
      </c>
      <c r="Q652" s="14" t="s">
        <v>260</v>
      </c>
      <c r="R652" s="14" t="s">
        <v>229</v>
      </c>
    </row>
    <row r="653" spans="1:18" s="14" customFormat="1" x14ac:dyDescent="0.25">
      <c r="A653" s="14" t="str">
        <f>"83642"</f>
        <v>83642</v>
      </c>
      <c r="B653" s="14" t="str">
        <f>"07010"</f>
        <v>07010</v>
      </c>
      <c r="C653" s="14" t="str">
        <f>"1800"</f>
        <v>1800</v>
      </c>
      <c r="D653" s="14" t="str">
        <f>""</f>
        <v/>
      </c>
      <c r="E653" s="14" t="s">
        <v>1363</v>
      </c>
      <c r="F653" s="14" t="s">
        <v>1002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228</v>
      </c>
      <c r="P653" s="14" t="s">
        <v>260</v>
      </c>
      <c r="Q653" s="14" t="s">
        <v>260</v>
      </c>
      <c r="R653" s="14" t="s">
        <v>229</v>
      </c>
    </row>
    <row r="654" spans="1:18" s="14" customFormat="1" x14ac:dyDescent="0.25">
      <c r="A654" s="14" t="str">
        <f>"83643"</f>
        <v>83643</v>
      </c>
      <c r="B654" s="14" t="str">
        <f>"07010"</f>
        <v>07010</v>
      </c>
      <c r="C654" s="14" t="str">
        <f>"1800"</f>
        <v>1800</v>
      </c>
      <c r="D654" s="14" t="str">
        <f>""</f>
        <v/>
      </c>
      <c r="E654" s="14" t="s">
        <v>1364</v>
      </c>
      <c r="F654" s="14" t="s">
        <v>1002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228</v>
      </c>
      <c r="P654" s="14" t="s">
        <v>260</v>
      </c>
      <c r="Q654" s="14" t="s">
        <v>260</v>
      </c>
      <c r="R654" s="14" t="s">
        <v>229</v>
      </c>
    </row>
    <row r="655" spans="1:18" s="14" customFormat="1" x14ac:dyDescent="0.25">
      <c r="A655" s="14" t="str">
        <f>"83645"</f>
        <v>83645</v>
      </c>
      <c r="B655" s="14" t="str">
        <f>"07010"</f>
        <v>07010</v>
      </c>
      <c r="C655" s="14" t="str">
        <f>"1800"</f>
        <v>1800</v>
      </c>
      <c r="D655" s="14" t="str">
        <f>""</f>
        <v/>
      </c>
      <c r="E655" s="14" t="s">
        <v>1365</v>
      </c>
      <c r="F655" s="14" t="s">
        <v>1002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228</v>
      </c>
      <c r="P655" s="14" t="s">
        <v>260</v>
      </c>
      <c r="Q655" s="14" t="s">
        <v>260</v>
      </c>
      <c r="R655" s="14" t="s">
        <v>229</v>
      </c>
    </row>
    <row r="656" spans="1:18" s="14" customFormat="1" x14ac:dyDescent="0.25">
      <c r="A656" s="14" t="str">
        <f>"83646"</f>
        <v>83646</v>
      </c>
      <c r="B656" s="14" t="str">
        <f>"07010"</f>
        <v>07010</v>
      </c>
      <c r="C656" s="14" t="str">
        <f>"1800"</f>
        <v>1800</v>
      </c>
      <c r="D656" s="14" t="str">
        <f>""</f>
        <v/>
      </c>
      <c r="E656" s="14" t="s">
        <v>1366</v>
      </c>
      <c r="F656" s="14" t="s">
        <v>1002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228</v>
      </c>
      <c r="P656" s="14" t="s">
        <v>260</v>
      </c>
      <c r="Q656" s="14" t="s">
        <v>260</v>
      </c>
      <c r="R656" s="14" t="s">
        <v>229</v>
      </c>
    </row>
    <row r="657" spans="1:18" s="14" customFormat="1" x14ac:dyDescent="0.25">
      <c r="A657" s="14" t="str">
        <f>"83647"</f>
        <v>83647</v>
      </c>
      <c r="B657" s="14" t="str">
        <f>"07010"</f>
        <v>07010</v>
      </c>
      <c r="C657" s="14" t="str">
        <f>"1800"</f>
        <v>1800</v>
      </c>
      <c r="D657" s="14" t="str">
        <f>""</f>
        <v/>
      </c>
      <c r="E657" s="14" t="s">
        <v>1367</v>
      </c>
      <c r="F657" s="14" t="s">
        <v>1002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228</v>
      </c>
      <c r="P657" s="14" t="s">
        <v>260</v>
      </c>
      <c r="Q657" s="14" t="s">
        <v>260</v>
      </c>
      <c r="R657" s="14" t="s">
        <v>229</v>
      </c>
    </row>
    <row r="658" spans="1:18" s="14" customFormat="1" x14ac:dyDescent="0.25">
      <c r="A658" s="14" t="str">
        <f>"83648"</f>
        <v>83648</v>
      </c>
      <c r="B658" s="14" t="str">
        <f>"07010"</f>
        <v>07010</v>
      </c>
      <c r="C658" s="14" t="str">
        <f>"1800"</f>
        <v>1800</v>
      </c>
      <c r="D658" s="14" t="str">
        <f>""</f>
        <v/>
      </c>
      <c r="E658" s="14" t="s">
        <v>1368</v>
      </c>
      <c r="F658" s="14" t="s">
        <v>1002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228</v>
      </c>
      <c r="P658" s="14" t="s">
        <v>260</v>
      </c>
      <c r="Q658" s="14" t="s">
        <v>260</v>
      </c>
      <c r="R658" s="14" t="s">
        <v>229</v>
      </c>
    </row>
    <row r="659" spans="1:18" s="14" customFormat="1" x14ac:dyDescent="0.25">
      <c r="A659" s="14" t="str">
        <f>"83650"</f>
        <v>83650</v>
      </c>
      <c r="B659" s="14" t="str">
        <f>"07010"</f>
        <v>07010</v>
      </c>
      <c r="C659" s="14" t="str">
        <f>"1800"</f>
        <v>1800</v>
      </c>
      <c r="D659" s="14" t="str">
        <f>""</f>
        <v/>
      </c>
      <c r="E659" s="14" t="s">
        <v>1369</v>
      </c>
      <c r="F659" s="14" t="s">
        <v>1002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228</v>
      </c>
      <c r="P659" s="14" t="s">
        <v>260</v>
      </c>
      <c r="Q659" s="14" t="s">
        <v>260</v>
      </c>
      <c r="R659" s="14" t="s">
        <v>229</v>
      </c>
    </row>
    <row r="660" spans="1:18" s="14" customFormat="1" x14ac:dyDescent="0.25">
      <c r="A660" s="14" t="str">
        <f>"83651"</f>
        <v>83651</v>
      </c>
      <c r="B660" s="14" t="str">
        <f>"07010"</f>
        <v>07010</v>
      </c>
      <c r="C660" s="14" t="str">
        <f>"1800"</f>
        <v>1800</v>
      </c>
      <c r="D660" s="14" t="str">
        <f>""</f>
        <v/>
      </c>
      <c r="E660" s="14" t="s">
        <v>1370</v>
      </c>
      <c r="F660" s="14" t="s">
        <v>1002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228</v>
      </c>
      <c r="P660" s="14" t="s">
        <v>260</v>
      </c>
      <c r="Q660" s="14" t="s">
        <v>260</v>
      </c>
      <c r="R660" s="14" t="s">
        <v>229</v>
      </c>
    </row>
    <row r="661" spans="1:18" s="14" customFormat="1" x14ac:dyDescent="0.25">
      <c r="A661" s="14" t="str">
        <f>"83652"</f>
        <v>83652</v>
      </c>
      <c r="B661" s="14" t="str">
        <f>"07010"</f>
        <v>07010</v>
      </c>
      <c r="C661" s="14" t="str">
        <f>"1800"</f>
        <v>1800</v>
      </c>
      <c r="D661" s="14" t="str">
        <f>""</f>
        <v/>
      </c>
      <c r="E661" s="14" t="s">
        <v>1371</v>
      </c>
      <c r="F661" s="14" t="s">
        <v>1002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228</v>
      </c>
      <c r="P661" s="14" t="s">
        <v>260</v>
      </c>
      <c r="Q661" s="14" t="s">
        <v>260</v>
      </c>
      <c r="R661" s="14" t="s">
        <v>229</v>
      </c>
    </row>
    <row r="662" spans="1:18" s="14" customFormat="1" x14ac:dyDescent="0.25">
      <c r="A662" s="14" t="str">
        <f>"83654"</f>
        <v>83654</v>
      </c>
      <c r="B662" s="14" t="str">
        <f>"07010"</f>
        <v>07010</v>
      </c>
      <c r="C662" s="14" t="str">
        <f>"1800"</f>
        <v>1800</v>
      </c>
      <c r="D662" s="14" t="str">
        <f>""</f>
        <v/>
      </c>
      <c r="E662" s="14" t="s">
        <v>1372</v>
      </c>
      <c r="F662" s="14" t="s">
        <v>1002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228</v>
      </c>
      <c r="P662" s="14" t="s">
        <v>260</v>
      </c>
      <c r="Q662" s="14" t="s">
        <v>260</v>
      </c>
      <c r="R662" s="14" t="s">
        <v>229</v>
      </c>
    </row>
    <row r="663" spans="1:18" s="14" customFormat="1" x14ac:dyDescent="0.25">
      <c r="A663" s="14" t="str">
        <f>"83661"</f>
        <v>83661</v>
      </c>
      <c r="B663" s="14" t="str">
        <f>"07010"</f>
        <v>07010</v>
      </c>
      <c r="C663" s="14" t="str">
        <f>"1800"</f>
        <v>1800</v>
      </c>
      <c r="D663" s="14" t="str">
        <f>""</f>
        <v/>
      </c>
      <c r="E663" s="14" t="s">
        <v>1373</v>
      </c>
      <c r="F663" s="14" t="s">
        <v>1002</v>
      </c>
      <c r="G663" s="14" t="str">
        <f>""</f>
        <v/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228</v>
      </c>
      <c r="P663" s="14" t="s">
        <v>260</v>
      </c>
      <c r="Q663" s="14" t="s">
        <v>260</v>
      </c>
      <c r="R663" s="14" t="s">
        <v>229</v>
      </c>
    </row>
    <row r="664" spans="1:18" s="14" customFormat="1" x14ac:dyDescent="0.25">
      <c r="A664" s="14" t="str">
        <f>"83662"</f>
        <v>83662</v>
      </c>
      <c r="B664" s="14" t="str">
        <f>"07010"</f>
        <v>07010</v>
      </c>
      <c r="C664" s="14" t="str">
        <f>"1800"</f>
        <v>1800</v>
      </c>
      <c r="D664" s="14" t="str">
        <f>""</f>
        <v/>
      </c>
      <c r="E664" s="14" t="s">
        <v>1374</v>
      </c>
      <c r="F664" s="14" t="s">
        <v>1002</v>
      </c>
      <c r="G664" s="14" t="str">
        <f>""</f>
        <v/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228</v>
      </c>
      <c r="P664" s="14" t="s">
        <v>260</v>
      </c>
      <c r="Q664" s="14" t="s">
        <v>260</v>
      </c>
      <c r="R664" s="14" t="s">
        <v>229</v>
      </c>
    </row>
    <row r="665" spans="1:18" s="14" customFormat="1" x14ac:dyDescent="0.25">
      <c r="A665" s="14" t="str">
        <f>"83663"</f>
        <v>83663</v>
      </c>
      <c r="B665" s="14" t="str">
        <f>"07010"</f>
        <v>07010</v>
      </c>
      <c r="C665" s="14" t="str">
        <f>"1800"</f>
        <v>1800</v>
      </c>
      <c r="D665" s="14" t="str">
        <f>""</f>
        <v/>
      </c>
      <c r="E665" s="14" t="s">
        <v>1375</v>
      </c>
      <c r="F665" s="14" t="s">
        <v>1002</v>
      </c>
      <c r="G665" s="14" t="str">
        <f>""</f>
        <v/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228</v>
      </c>
      <c r="P665" s="14" t="s">
        <v>260</v>
      </c>
      <c r="Q665" s="14" t="s">
        <v>260</v>
      </c>
      <c r="R665" s="14" t="s">
        <v>229</v>
      </c>
    </row>
    <row r="666" spans="1:18" s="14" customFormat="1" x14ac:dyDescent="0.25">
      <c r="A666" s="14" t="str">
        <f>"83664"</f>
        <v>83664</v>
      </c>
      <c r="B666" s="14" t="str">
        <f>"07010"</f>
        <v>07010</v>
      </c>
      <c r="C666" s="14" t="str">
        <f>"1800"</f>
        <v>1800</v>
      </c>
      <c r="D666" s="14" t="str">
        <f>""</f>
        <v/>
      </c>
      <c r="E666" s="14" t="s">
        <v>1376</v>
      </c>
      <c r="F666" s="14" t="s">
        <v>1002</v>
      </c>
      <c r="G666" s="14" t="str">
        <f>""</f>
        <v/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228</v>
      </c>
      <c r="P666" s="14" t="s">
        <v>260</v>
      </c>
      <c r="Q666" s="14" t="s">
        <v>260</v>
      </c>
      <c r="R666" s="14" t="s">
        <v>229</v>
      </c>
    </row>
    <row r="667" spans="1:18" s="14" customFormat="1" x14ac:dyDescent="0.25">
      <c r="A667" s="14" t="str">
        <f>"83665"</f>
        <v>83665</v>
      </c>
      <c r="B667" s="14" t="str">
        <f>"07010"</f>
        <v>07010</v>
      </c>
      <c r="C667" s="14" t="str">
        <f>"1800"</f>
        <v>1800</v>
      </c>
      <c r="D667" s="14" t="str">
        <f>""</f>
        <v/>
      </c>
      <c r="E667" s="14" t="s">
        <v>1377</v>
      </c>
      <c r="F667" s="14" t="s">
        <v>1002</v>
      </c>
      <c r="G667" s="14" t="str">
        <f>""</f>
        <v/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228</v>
      </c>
      <c r="P667" s="14" t="s">
        <v>260</v>
      </c>
      <c r="Q667" s="14" t="s">
        <v>260</v>
      </c>
      <c r="R667" s="14" t="s">
        <v>229</v>
      </c>
    </row>
    <row r="668" spans="1:18" s="14" customFormat="1" x14ac:dyDescent="0.25">
      <c r="A668" s="14" t="str">
        <f>"83666"</f>
        <v>83666</v>
      </c>
      <c r="B668" s="14" t="str">
        <f>"07010"</f>
        <v>07010</v>
      </c>
      <c r="C668" s="14" t="str">
        <f>"1800"</f>
        <v>1800</v>
      </c>
      <c r="D668" s="14" t="str">
        <f>""</f>
        <v/>
      </c>
      <c r="E668" s="14" t="s">
        <v>1378</v>
      </c>
      <c r="F668" s="14" t="s">
        <v>1002</v>
      </c>
      <c r="G668" s="14" t="str">
        <f>""</f>
        <v/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228</v>
      </c>
      <c r="P668" s="14" t="s">
        <v>260</v>
      </c>
      <c r="Q668" s="14" t="s">
        <v>260</v>
      </c>
      <c r="R668" s="14" t="s">
        <v>229</v>
      </c>
    </row>
    <row r="669" spans="1:18" s="14" customFormat="1" x14ac:dyDescent="0.25">
      <c r="A669" s="14" t="str">
        <f>"83667"</f>
        <v>83667</v>
      </c>
      <c r="B669" s="14" t="str">
        <f>"07010"</f>
        <v>07010</v>
      </c>
      <c r="C669" s="14" t="str">
        <f>"1800"</f>
        <v>1800</v>
      </c>
      <c r="D669" s="14" t="str">
        <f>""</f>
        <v/>
      </c>
      <c r="E669" s="14" t="s">
        <v>1379</v>
      </c>
      <c r="F669" s="14" t="s">
        <v>1002</v>
      </c>
      <c r="G669" s="14" t="str">
        <f>""</f>
        <v/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228</v>
      </c>
      <c r="P669" s="14" t="s">
        <v>260</v>
      </c>
      <c r="Q669" s="14" t="s">
        <v>260</v>
      </c>
      <c r="R669" s="14" t="s">
        <v>229</v>
      </c>
    </row>
    <row r="670" spans="1:18" s="14" customFormat="1" x14ac:dyDescent="0.25">
      <c r="A670" s="14" t="str">
        <f>"83668"</f>
        <v>83668</v>
      </c>
      <c r="B670" s="14" t="str">
        <f>"07010"</f>
        <v>07010</v>
      </c>
      <c r="C670" s="14" t="str">
        <f>"1800"</f>
        <v>1800</v>
      </c>
      <c r="D670" s="14" t="str">
        <f>""</f>
        <v/>
      </c>
      <c r="E670" s="14" t="s">
        <v>1380</v>
      </c>
      <c r="F670" s="14" t="s">
        <v>1002</v>
      </c>
      <c r="G670" s="14" t="str">
        <f>""</f>
        <v/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228</v>
      </c>
      <c r="P670" s="14" t="s">
        <v>260</v>
      </c>
      <c r="Q670" s="14" t="s">
        <v>260</v>
      </c>
      <c r="R670" s="14" t="s">
        <v>229</v>
      </c>
    </row>
    <row r="671" spans="1:18" s="14" customFormat="1" x14ac:dyDescent="0.25">
      <c r="A671" s="14" t="str">
        <f>"83670"</f>
        <v>83670</v>
      </c>
      <c r="B671" s="14" t="str">
        <f>"07010"</f>
        <v>07010</v>
      </c>
      <c r="C671" s="14" t="str">
        <f>"1800"</f>
        <v>1800</v>
      </c>
      <c r="D671" s="14" t="str">
        <f>""</f>
        <v/>
      </c>
      <c r="E671" s="14" t="s">
        <v>1381</v>
      </c>
      <c r="F671" s="14" t="s">
        <v>1002</v>
      </c>
      <c r="G671" s="14" t="str">
        <f>""</f>
        <v/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228</v>
      </c>
      <c r="P671" s="14" t="s">
        <v>260</v>
      </c>
      <c r="Q671" s="14" t="s">
        <v>260</v>
      </c>
      <c r="R671" s="14" t="s">
        <v>229</v>
      </c>
    </row>
    <row r="672" spans="1:18" s="14" customFormat="1" x14ac:dyDescent="0.25">
      <c r="A672" s="14" t="str">
        <f>"83671"</f>
        <v>83671</v>
      </c>
      <c r="B672" s="14" t="str">
        <f>"07010"</f>
        <v>07010</v>
      </c>
      <c r="C672" s="14" t="str">
        <f>"1800"</f>
        <v>1800</v>
      </c>
      <c r="D672" s="14" t="str">
        <f>""</f>
        <v/>
      </c>
      <c r="E672" s="14" t="s">
        <v>1382</v>
      </c>
      <c r="F672" s="14" t="s">
        <v>1002</v>
      </c>
      <c r="G672" s="14" t="str">
        <f>""</f>
        <v/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228</v>
      </c>
      <c r="P672" s="14" t="s">
        <v>260</v>
      </c>
      <c r="Q672" s="14" t="s">
        <v>260</v>
      </c>
      <c r="R672" s="14" t="s">
        <v>229</v>
      </c>
    </row>
    <row r="673" spans="1:18" s="14" customFormat="1" x14ac:dyDescent="0.25">
      <c r="A673" s="14" t="str">
        <f>"83672"</f>
        <v>83672</v>
      </c>
      <c r="B673" s="14" t="str">
        <f>"07010"</f>
        <v>07010</v>
      </c>
      <c r="C673" s="14" t="str">
        <f>"1800"</f>
        <v>1800</v>
      </c>
      <c r="D673" s="14" t="str">
        <f>""</f>
        <v/>
      </c>
      <c r="E673" s="14" t="s">
        <v>1383</v>
      </c>
      <c r="F673" s="14" t="s">
        <v>1002</v>
      </c>
      <c r="G673" s="14" t="str">
        <f>""</f>
        <v/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228</v>
      </c>
      <c r="P673" s="14" t="s">
        <v>260</v>
      </c>
      <c r="Q673" s="14" t="s">
        <v>260</v>
      </c>
      <c r="R673" s="14" t="s">
        <v>229</v>
      </c>
    </row>
    <row r="674" spans="1:18" s="14" customFormat="1" x14ac:dyDescent="0.25">
      <c r="A674" s="14" t="str">
        <f>"83673"</f>
        <v>83673</v>
      </c>
      <c r="B674" s="14" t="str">
        <f>"07010"</f>
        <v>07010</v>
      </c>
      <c r="C674" s="14" t="str">
        <f>"1800"</f>
        <v>1800</v>
      </c>
      <c r="D674" s="14" t="str">
        <f>""</f>
        <v/>
      </c>
      <c r="E674" s="14" t="s">
        <v>1384</v>
      </c>
      <c r="F674" s="14" t="s">
        <v>1002</v>
      </c>
      <c r="G674" s="14" t="str">
        <f>""</f>
        <v/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228</v>
      </c>
      <c r="P674" s="14" t="s">
        <v>260</v>
      </c>
      <c r="Q674" s="14" t="s">
        <v>260</v>
      </c>
      <c r="R674" s="14" t="s">
        <v>229</v>
      </c>
    </row>
    <row r="675" spans="1:18" s="14" customFormat="1" x14ac:dyDescent="0.25">
      <c r="A675" s="14" t="str">
        <f>"83674"</f>
        <v>83674</v>
      </c>
      <c r="B675" s="14" t="str">
        <f>"07010"</f>
        <v>07010</v>
      </c>
      <c r="C675" s="14" t="str">
        <f>"1800"</f>
        <v>1800</v>
      </c>
      <c r="D675" s="14" t="str">
        <f>""</f>
        <v/>
      </c>
      <c r="E675" s="14" t="s">
        <v>1385</v>
      </c>
      <c r="F675" s="14" t="s">
        <v>1002</v>
      </c>
      <c r="G675" s="14" t="str">
        <f>""</f>
        <v/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228</v>
      </c>
      <c r="P675" s="14" t="s">
        <v>260</v>
      </c>
      <c r="Q675" s="14" t="s">
        <v>260</v>
      </c>
      <c r="R675" s="14" t="s">
        <v>229</v>
      </c>
    </row>
    <row r="676" spans="1:18" s="14" customFormat="1" x14ac:dyDescent="0.25">
      <c r="A676" s="14" t="str">
        <f>"83676"</f>
        <v>83676</v>
      </c>
      <c r="B676" s="14" t="str">
        <f>"07010"</f>
        <v>07010</v>
      </c>
      <c r="C676" s="14" t="str">
        <f>"1800"</f>
        <v>1800</v>
      </c>
      <c r="D676" s="14" t="str">
        <f>""</f>
        <v/>
      </c>
      <c r="E676" s="14" t="s">
        <v>1386</v>
      </c>
      <c r="F676" s="14" t="s">
        <v>1002</v>
      </c>
      <c r="G676" s="14" t="str">
        <f>""</f>
        <v/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228</v>
      </c>
      <c r="P676" s="14" t="s">
        <v>260</v>
      </c>
      <c r="Q676" s="14" t="s">
        <v>260</v>
      </c>
      <c r="R676" s="14" t="s">
        <v>229</v>
      </c>
    </row>
    <row r="677" spans="1:18" s="14" customFormat="1" x14ac:dyDescent="0.25">
      <c r="A677" s="14" t="str">
        <f>"83677"</f>
        <v>83677</v>
      </c>
      <c r="B677" s="14" t="str">
        <f>"07010"</f>
        <v>07010</v>
      </c>
      <c r="C677" s="14" t="str">
        <f>"1800"</f>
        <v>1800</v>
      </c>
      <c r="D677" s="14" t="str">
        <f>""</f>
        <v/>
      </c>
      <c r="E677" s="14" t="s">
        <v>1387</v>
      </c>
      <c r="F677" s="14" t="s">
        <v>1002</v>
      </c>
      <c r="G677" s="14" t="str">
        <f>""</f>
        <v/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228</v>
      </c>
      <c r="P677" s="14" t="s">
        <v>260</v>
      </c>
      <c r="Q677" s="14" t="s">
        <v>260</v>
      </c>
      <c r="R677" s="14" t="s">
        <v>229</v>
      </c>
    </row>
    <row r="678" spans="1:18" s="14" customFormat="1" x14ac:dyDescent="0.25">
      <c r="A678" s="14" t="str">
        <f>"83678"</f>
        <v>83678</v>
      </c>
      <c r="B678" s="14" t="str">
        <f>"07010"</f>
        <v>07010</v>
      </c>
      <c r="C678" s="14" t="str">
        <f>"1800"</f>
        <v>1800</v>
      </c>
      <c r="D678" s="14" t="str">
        <f>""</f>
        <v/>
      </c>
      <c r="E678" s="14" t="s">
        <v>1388</v>
      </c>
      <c r="F678" s="14" t="s">
        <v>1002</v>
      </c>
      <c r="G678" s="14" t="str">
        <f>""</f>
        <v/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228</v>
      </c>
      <c r="P678" s="14" t="s">
        <v>260</v>
      </c>
      <c r="Q678" s="14" t="s">
        <v>260</v>
      </c>
      <c r="R678" s="14" t="s">
        <v>229</v>
      </c>
    </row>
    <row r="679" spans="1:18" s="14" customFormat="1" x14ac:dyDescent="0.25">
      <c r="A679" s="14" t="str">
        <f>"83679"</f>
        <v>83679</v>
      </c>
      <c r="B679" s="14" t="str">
        <f>"07010"</f>
        <v>07010</v>
      </c>
      <c r="C679" s="14" t="str">
        <f>"1800"</f>
        <v>1800</v>
      </c>
      <c r="D679" s="14" t="str">
        <f>""</f>
        <v/>
      </c>
      <c r="E679" s="14" t="s">
        <v>1389</v>
      </c>
      <c r="F679" s="14" t="s">
        <v>1002</v>
      </c>
      <c r="G679" s="14" t="str">
        <f>""</f>
        <v/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228</v>
      </c>
      <c r="P679" s="14" t="s">
        <v>260</v>
      </c>
      <c r="Q679" s="14" t="s">
        <v>260</v>
      </c>
      <c r="R679" s="14" t="s">
        <v>229</v>
      </c>
    </row>
    <row r="680" spans="1:18" s="14" customFormat="1" x14ac:dyDescent="0.25">
      <c r="A680" s="14" t="str">
        <f>"83680"</f>
        <v>83680</v>
      </c>
      <c r="B680" s="14" t="str">
        <f>"07010"</f>
        <v>07010</v>
      </c>
      <c r="C680" s="14" t="str">
        <f>"1800"</f>
        <v>1800</v>
      </c>
      <c r="D680" s="14" t="str">
        <f>""</f>
        <v/>
      </c>
      <c r="E680" s="14" t="s">
        <v>1390</v>
      </c>
      <c r="F680" s="14" t="s">
        <v>1002</v>
      </c>
      <c r="G680" s="14" t="str">
        <f>""</f>
        <v/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228</v>
      </c>
      <c r="P680" s="14" t="s">
        <v>260</v>
      </c>
      <c r="Q680" s="14" t="s">
        <v>260</v>
      </c>
      <c r="R680" s="14" t="s">
        <v>229</v>
      </c>
    </row>
    <row r="681" spans="1:18" s="14" customFormat="1" x14ac:dyDescent="0.25">
      <c r="A681" s="14" t="str">
        <f>"83683"</f>
        <v>83683</v>
      </c>
      <c r="B681" s="14" t="str">
        <f>"07010"</f>
        <v>07010</v>
      </c>
      <c r="C681" s="14" t="str">
        <f>"1800"</f>
        <v>1800</v>
      </c>
      <c r="D681" s="14" t="str">
        <f>""</f>
        <v/>
      </c>
      <c r="E681" s="14" t="s">
        <v>1391</v>
      </c>
      <c r="F681" s="14" t="s">
        <v>1002</v>
      </c>
      <c r="G681" s="14" t="str">
        <f>""</f>
        <v/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228</v>
      </c>
      <c r="P681" s="14" t="s">
        <v>260</v>
      </c>
      <c r="Q681" s="14" t="s">
        <v>260</v>
      </c>
      <c r="R681" s="14" t="s">
        <v>229</v>
      </c>
    </row>
    <row r="682" spans="1:18" s="14" customFormat="1" x14ac:dyDescent="0.25">
      <c r="A682" s="14" t="str">
        <f>"83684"</f>
        <v>83684</v>
      </c>
      <c r="B682" s="14" t="str">
        <f>"07010"</f>
        <v>07010</v>
      </c>
      <c r="C682" s="14" t="str">
        <f>"1800"</f>
        <v>1800</v>
      </c>
      <c r="D682" s="14" t="str">
        <f>""</f>
        <v/>
      </c>
      <c r="E682" s="14" t="s">
        <v>1392</v>
      </c>
      <c r="F682" s="14" t="s">
        <v>1002</v>
      </c>
      <c r="G682" s="14" t="str">
        <f>""</f>
        <v/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228</v>
      </c>
      <c r="P682" s="14" t="s">
        <v>260</v>
      </c>
      <c r="Q682" s="14" t="s">
        <v>260</v>
      </c>
      <c r="R682" s="14" t="s">
        <v>229</v>
      </c>
    </row>
    <row r="683" spans="1:18" s="14" customFormat="1" x14ac:dyDescent="0.25">
      <c r="A683" s="14" t="str">
        <f>"83685"</f>
        <v>83685</v>
      </c>
      <c r="B683" s="14" t="str">
        <f>"07010"</f>
        <v>07010</v>
      </c>
      <c r="C683" s="14" t="str">
        <f>"1800"</f>
        <v>1800</v>
      </c>
      <c r="D683" s="14" t="str">
        <f>""</f>
        <v/>
      </c>
      <c r="E683" s="14" t="s">
        <v>1393</v>
      </c>
      <c r="F683" s="14" t="s">
        <v>1002</v>
      </c>
      <c r="G683" s="14" t="str">
        <f>""</f>
        <v/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228</v>
      </c>
      <c r="P683" s="14" t="s">
        <v>260</v>
      </c>
      <c r="Q683" s="14" t="s">
        <v>260</v>
      </c>
      <c r="R683" s="14" t="s">
        <v>229</v>
      </c>
    </row>
    <row r="684" spans="1:18" s="14" customFormat="1" x14ac:dyDescent="0.25">
      <c r="A684" s="14" t="str">
        <f>"83686"</f>
        <v>83686</v>
      </c>
      <c r="B684" s="14" t="str">
        <f>"07010"</f>
        <v>07010</v>
      </c>
      <c r="C684" s="14" t="str">
        <f>"1800"</f>
        <v>1800</v>
      </c>
      <c r="D684" s="14" t="str">
        <f>""</f>
        <v/>
      </c>
      <c r="E684" s="14" t="s">
        <v>1394</v>
      </c>
      <c r="F684" s="14" t="s">
        <v>1002</v>
      </c>
      <c r="G684" s="14" t="str">
        <f>""</f>
        <v/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228</v>
      </c>
      <c r="P684" s="14" t="s">
        <v>260</v>
      </c>
      <c r="Q684" s="14" t="s">
        <v>260</v>
      </c>
      <c r="R684" s="14" t="s">
        <v>229</v>
      </c>
    </row>
    <row r="685" spans="1:18" s="14" customFormat="1" x14ac:dyDescent="0.25">
      <c r="A685" s="14" t="str">
        <f>"83687"</f>
        <v>83687</v>
      </c>
      <c r="B685" s="14" t="str">
        <f>"07010"</f>
        <v>07010</v>
      </c>
      <c r="C685" s="14" t="str">
        <f>"1800"</f>
        <v>1800</v>
      </c>
      <c r="D685" s="14" t="str">
        <f>""</f>
        <v/>
      </c>
      <c r="E685" s="14" t="s">
        <v>1395</v>
      </c>
      <c r="F685" s="14" t="s">
        <v>1002</v>
      </c>
      <c r="G685" s="14" t="str">
        <f>""</f>
        <v/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228</v>
      </c>
      <c r="P685" s="14" t="s">
        <v>260</v>
      </c>
      <c r="Q685" s="14" t="s">
        <v>260</v>
      </c>
      <c r="R685" s="14" t="s">
        <v>229</v>
      </c>
    </row>
    <row r="686" spans="1:18" s="14" customFormat="1" x14ac:dyDescent="0.25">
      <c r="A686" s="14" t="str">
        <f>"83688"</f>
        <v>83688</v>
      </c>
      <c r="B686" s="14" t="str">
        <f>"07010"</f>
        <v>07010</v>
      </c>
      <c r="C686" s="14" t="str">
        <f>"1800"</f>
        <v>1800</v>
      </c>
      <c r="D686" s="14" t="str">
        <f>""</f>
        <v/>
      </c>
      <c r="E686" s="14" t="s">
        <v>1396</v>
      </c>
      <c r="F686" s="14" t="s">
        <v>1002</v>
      </c>
      <c r="G686" s="14" t="str">
        <f>""</f>
        <v/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228</v>
      </c>
      <c r="P686" s="14" t="s">
        <v>260</v>
      </c>
      <c r="Q686" s="14" t="s">
        <v>260</v>
      </c>
      <c r="R686" s="14" t="s">
        <v>229</v>
      </c>
    </row>
    <row r="687" spans="1:18" s="14" customFormat="1" x14ac:dyDescent="0.25">
      <c r="A687" s="14" t="str">
        <f>"83689"</f>
        <v>83689</v>
      </c>
      <c r="B687" s="14" t="str">
        <f>"07010"</f>
        <v>07010</v>
      </c>
      <c r="C687" s="14" t="str">
        <f>"1800"</f>
        <v>1800</v>
      </c>
      <c r="D687" s="14" t="str">
        <f>""</f>
        <v/>
      </c>
      <c r="E687" s="14" t="s">
        <v>1397</v>
      </c>
      <c r="F687" s="14" t="s">
        <v>1002</v>
      </c>
      <c r="G687" s="14" t="str">
        <f>""</f>
        <v/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228</v>
      </c>
      <c r="P687" s="14" t="s">
        <v>260</v>
      </c>
      <c r="Q687" s="14" t="s">
        <v>260</v>
      </c>
      <c r="R687" s="14" t="s">
        <v>229</v>
      </c>
    </row>
    <row r="688" spans="1:18" s="14" customFormat="1" x14ac:dyDescent="0.25">
      <c r="A688" s="14" t="str">
        <f>"83690"</f>
        <v>83690</v>
      </c>
      <c r="B688" s="14" t="str">
        <f>"07010"</f>
        <v>07010</v>
      </c>
      <c r="C688" s="14" t="str">
        <f>"1800"</f>
        <v>1800</v>
      </c>
      <c r="D688" s="14" t="str">
        <f>""</f>
        <v/>
      </c>
      <c r="E688" s="14" t="s">
        <v>1398</v>
      </c>
      <c r="F688" s="14" t="s">
        <v>1002</v>
      </c>
      <c r="G688" s="14" t="str">
        <f>""</f>
        <v/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228</v>
      </c>
      <c r="P688" s="14" t="s">
        <v>260</v>
      </c>
      <c r="Q688" s="14" t="s">
        <v>260</v>
      </c>
      <c r="R688" s="14" t="s">
        <v>229</v>
      </c>
    </row>
    <row r="689" spans="1:18" s="14" customFormat="1" x14ac:dyDescent="0.25">
      <c r="A689" s="14" t="str">
        <f>"83691"</f>
        <v>83691</v>
      </c>
      <c r="B689" s="14" t="str">
        <f>"07010"</f>
        <v>07010</v>
      </c>
      <c r="C689" s="14" t="str">
        <f>"1800"</f>
        <v>1800</v>
      </c>
      <c r="D689" s="14" t="str">
        <f>""</f>
        <v/>
      </c>
      <c r="E689" s="14" t="s">
        <v>1399</v>
      </c>
      <c r="F689" s="14" t="s">
        <v>1002</v>
      </c>
      <c r="G689" s="14" t="str">
        <f>""</f>
        <v/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228</v>
      </c>
      <c r="P689" s="14" t="s">
        <v>260</v>
      </c>
      <c r="Q689" s="14" t="s">
        <v>260</v>
      </c>
      <c r="R689" s="14" t="s">
        <v>229</v>
      </c>
    </row>
    <row r="690" spans="1:18" s="14" customFormat="1" x14ac:dyDescent="0.25">
      <c r="A690" s="14" t="str">
        <f>"83692"</f>
        <v>83692</v>
      </c>
      <c r="B690" s="14" t="str">
        <f>"07010"</f>
        <v>07010</v>
      </c>
      <c r="C690" s="14" t="str">
        <f>"1800"</f>
        <v>1800</v>
      </c>
      <c r="D690" s="14" t="str">
        <f>""</f>
        <v/>
      </c>
      <c r="E690" s="14" t="s">
        <v>1400</v>
      </c>
      <c r="F690" s="14" t="s">
        <v>1002</v>
      </c>
      <c r="G690" s="14" t="str">
        <f>""</f>
        <v/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228</v>
      </c>
      <c r="P690" s="14" t="s">
        <v>260</v>
      </c>
      <c r="Q690" s="14" t="s">
        <v>260</v>
      </c>
      <c r="R690" s="14" t="s">
        <v>229</v>
      </c>
    </row>
    <row r="691" spans="1:18" s="14" customFormat="1" x14ac:dyDescent="0.25">
      <c r="A691" s="14" t="str">
        <f>"83693"</f>
        <v>83693</v>
      </c>
      <c r="B691" s="14" t="str">
        <f>"07010"</f>
        <v>07010</v>
      </c>
      <c r="C691" s="14" t="str">
        <f>"1800"</f>
        <v>1800</v>
      </c>
      <c r="D691" s="14" t="str">
        <f>""</f>
        <v/>
      </c>
      <c r="E691" s="14" t="s">
        <v>1401</v>
      </c>
      <c r="F691" s="14" t="s">
        <v>1002</v>
      </c>
      <c r="G691" s="14" t="str">
        <f>""</f>
        <v/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228</v>
      </c>
      <c r="P691" s="14" t="s">
        <v>260</v>
      </c>
      <c r="Q691" s="14" t="s">
        <v>260</v>
      </c>
      <c r="R691" s="14" t="s">
        <v>229</v>
      </c>
    </row>
    <row r="692" spans="1:18" s="14" customFormat="1" x14ac:dyDescent="0.25">
      <c r="A692" s="14" t="str">
        <f>"83694"</f>
        <v>83694</v>
      </c>
      <c r="B692" s="14" t="str">
        <f>"07010"</f>
        <v>07010</v>
      </c>
      <c r="C692" s="14" t="str">
        <f>"1800"</f>
        <v>1800</v>
      </c>
      <c r="D692" s="14" t="str">
        <f>""</f>
        <v/>
      </c>
      <c r="E692" s="14" t="s">
        <v>1402</v>
      </c>
      <c r="F692" s="14" t="s">
        <v>1002</v>
      </c>
      <c r="G692" s="14" t="str">
        <f>""</f>
        <v/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228</v>
      </c>
      <c r="P692" s="14" t="s">
        <v>260</v>
      </c>
      <c r="Q692" s="14" t="s">
        <v>260</v>
      </c>
      <c r="R692" s="14" t="s">
        <v>229</v>
      </c>
    </row>
    <row r="693" spans="1:18" s="14" customFormat="1" x14ac:dyDescent="0.25">
      <c r="A693" s="14" t="str">
        <f>"83695"</f>
        <v>83695</v>
      </c>
      <c r="B693" s="14" t="str">
        <f>"07010"</f>
        <v>07010</v>
      </c>
      <c r="C693" s="14" t="str">
        <f>"1800"</f>
        <v>1800</v>
      </c>
      <c r="D693" s="14" t="str">
        <f>""</f>
        <v/>
      </c>
      <c r="E693" s="14" t="s">
        <v>1403</v>
      </c>
      <c r="F693" s="14" t="s">
        <v>1002</v>
      </c>
      <c r="G693" s="14" t="str">
        <f>""</f>
        <v/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228</v>
      </c>
      <c r="P693" s="14" t="s">
        <v>260</v>
      </c>
      <c r="Q693" s="14" t="s">
        <v>260</v>
      </c>
      <c r="R693" s="14" t="s">
        <v>229</v>
      </c>
    </row>
    <row r="694" spans="1:18" s="14" customFormat="1" x14ac:dyDescent="0.25">
      <c r="A694" s="14" t="str">
        <f>"83696"</f>
        <v>83696</v>
      </c>
      <c r="B694" s="14" t="str">
        <f>"07010"</f>
        <v>07010</v>
      </c>
      <c r="C694" s="14" t="str">
        <f>"1800"</f>
        <v>1800</v>
      </c>
      <c r="D694" s="14" t="str">
        <f>""</f>
        <v/>
      </c>
      <c r="E694" s="14" t="s">
        <v>1404</v>
      </c>
      <c r="F694" s="14" t="s">
        <v>1002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228</v>
      </c>
      <c r="P694" s="14" t="s">
        <v>260</v>
      </c>
      <c r="Q694" s="14" t="s">
        <v>260</v>
      </c>
      <c r="R694" s="14" t="s">
        <v>229</v>
      </c>
    </row>
    <row r="695" spans="1:18" s="14" customFormat="1" x14ac:dyDescent="0.25">
      <c r="A695" s="14" t="str">
        <f>"83697"</f>
        <v>83697</v>
      </c>
      <c r="B695" s="14" t="str">
        <f>"07010"</f>
        <v>07010</v>
      </c>
      <c r="C695" s="14" t="str">
        <f>"1800"</f>
        <v>1800</v>
      </c>
      <c r="D695" s="14" t="str">
        <f>""</f>
        <v/>
      </c>
      <c r="E695" s="14" t="s">
        <v>1405</v>
      </c>
      <c r="F695" s="14" t="s">
        <v>1002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228</v>
      </c>
      <c r="P695" s="14" t="s">
        <v>260</v>
      </c>
      <c r="Q695" s="14" t="s">
        <v>260</v>
      </c>
      <c r="R695" s="14" t="s">
        <v>229</v>
      </c>
    </row>
    <row r="696" spans="1:18" s="14" customFormat="1" x14ac:dyDescent="0.25">
      <c r="A696" s="14" t="str">
        <f>"83698"</f>
        <v>83698</v>
      </c>
      <c r="B696" s="14" t="str">
        <f>"07010"</f>
        <v>07010</v>
      </c>
      <c r="C696" s="14" t="str">
        <f>"1800"</f>
        <v>1800</v>
      </c>
      <c r="D696" s="14" t="str">
        <f>""</f>
        <v/>
      </c>
      <c r="E696" s="14" t="s">
        <v>1406</v>
      </c>
      <c r="F696" s="14" t="s">
        <v>1002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228</v>
      </c>
      <c r="P696" s="14" t="s">
        <v>260</v>
      </c>
      <c r="Q696" s="14" t="s">
        <v>260</v>
      </c>
      <c r="R696" s="14" t="s">
        <v>229</v>
      </c>
    </row>
    <row r="697" spans="1:18" s="14" customFormat="1" x14ac:dyDescent="0.25">
      <c r="A697" s="14" t="str">
        <f>"83699"</f>
        <v>83699</v>
      </c>
      <c r="B697" s="14" t="str">
        <f>"07010"</f>
        <v>07010</v>
      </c>
      <c r="C697" s="14" t="str">
        <f>"1800"</f>
        <v>1800</v>
      </c>
      <c r="D697" s="14" t="str">
        <f>""</f>
        <v/>
      </c>
      <c r="E697" s="14" t="s">
        <v>1407</v>
      </c>
      <c r="F697" s="14" t="s">
        <v>1002</v>
      </c>
      <c r="G697" s="14" t="str">
        <f>""</f>
        <v/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228</v>
      </c>
      <c r="P697" s="14" t="s">
        <v>260</v>
      </c>
      <c r="Q697" s="14" t="s">
        <v>260</v>
      </c>
      <c r="R697" s="14" t="s">
        <v>229</v>
      </c>
    </row>
    <row r="698" spans="1:18" s="14" customFormat="1" x14ac:dyDescent="0.25">
      <c r="A698" s="14" t="str">
        <f>"83700"</f>
        <v>83700</v>
      </c>
      <c r="B698" s="14" t="str">
        <f>"07010"</f>
        <v>07010</v>
      </c>
      <c r="C698" s="14" t="str">
        <f>"1800"</f>
        <v>1800</v>
      </c>
      <c r="D698" s="14" t="str">
        <f>""</f>
        <v/>
      </c>
      <c r="E698" s="14" t="s">
        <v>1408</v>
      </c>
      <c r="F698" s="14" t="s">
        <v>1002</v>
      </c>
      <c r="G698" s="14" t="str">
        <f>""</f>
        <v/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228</v>
      </c>
      <c r="P698" s="14" t="s">
        <v>260</v>
      </c>
      <c r="Q698" s="14" t="s">
        <v>260</v>
      </c>
      <c r="R698" s="14" t="s">
        <v>229</v>
      </c>
    </row>
    <row r="699" spans="1:18" s="14" customFormat="1" x14ac:dyDescent="0.25">
      <c r="A699" s="14" t="str">
        <f>"83701"</f>
        <v>83701</v>
      </c>
      <c r="B699" s="14" t="str">
        <f>"07010"</f>
        <v>07010</v>
      </c>
      <c r="C699" s="14" t="str">
        <f>"1800"</f>
        <v>1800</v>
      </c>
      <c r="D699" s="14" t="str">
        <f>""</f>
        <v/>
      </c>
      <c r="E699" s="14" t="s">
        <v>1409</v>
      </c>
      <c r="F699" s="14" t="s">
        <v>1002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228</v>
      </c>
      <c r="P699" s="14" t="s">
        <v>260</v>
      </c>
      <c r="Q699" s="14" t="s">
        <v>260</v>
      </c>
      <c r="R699" s="14" t="s">
        <v>229</v>
      </c>
    </row>
    <row r="700" spans="1:18" s="14" customFormat="1" x14ac:dyDescent="0.25">
      <c r="A700" s="14" t="str">
        <f>"83702"</f>
        <v>83702</v>
      </c>
      <c r="B700" s="14" t="str">
        <f>"07010"</f>
        <v>07010</v>
      </c>
      <c r="C700" s="14" t="str">
        <f>"1800"</f>
        <v>1800</v>
      </c>
      <c r="D700" s="14" t="str">
        <f>""</f>
        <v/>
      </c>
      <c r="E700" s="14" t="s">
        <v>1410</v>
      </c>
      <c r="F700" s="14" t="s">
        <v>1002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228</v>
      </c>
      <c r="P700" s="14" t="s">
        <v>260</v>
      </c>
      <c r="Q700" s="14" t="s">
        <v>260</v>
      </c>
      <c r="R700" s="14" t="s">
        <v>229</v>
      </c>
    </row>
    <row r="701" spans="1:18" s="14" customFormat="1" x14ac:dyDescent="0.25">
      <c r="A701" s="14" t="str">
        <f>"83703"</f>
        <v>83703</v>
      </c>
      <c r="B701" s="14" t="str">
        <f>"07010"</f>
        <v>07010</v>
      </c>
      <c r="C701" s="14" t="str">
        <f>"1800"</f>
        <v>1800</v>
      </c>
      <c r="D701" s="14" t="str">
        <f>""</f>
        <v/>
      </c>
      <c r="E701" s="14" t="s">
        <v>1411</v>
      </c>
      <c r="F701" s="14" t="s">
        <v>1002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228</v>
      </c>
      <c r="P701" s="14" t="s">
        <v>260</v>
      </c>
      <c r="Q701" s="14" t="s">
        <v>260</v>
      </c>
      <c r="R701" s="14" t="s">
        <v>229</v>
      </c>
    </row>
    <row r="702" spans="1:18" s="14" customFormat="1" x14ac:dyDescent="0.25">
      <c r="A702" s="14" t="str">
        <f>"83704"</f>
        <v>83704</v>
      </c>
      <c r="B702" s="14" t="str">
        <f>"07010"</f>
        <v>07010</v>
      </c>
      <c r="C702" s="14" t="str">
        <f>"1800"</f>
        <v>1800</v>
      </c>
      <c r="D702" s="14" t="str">
        <f>""</f>
        <v/>
      </c>
      <c r="E702" s="14" t="s">
        <v>1412</v>
      </c>
      <c r="F702" s="14" t="s">
        <v>1002</v>
      </c>
      <c r="G702" s="14" t="str">
        <f>""</f>
        <v/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228</v>
      </c>
      <c r="P702" s="14" t="s">
        <v>260</v>
      </c>
      <c r="Q702" s="14" t="s">
        <v>260</v>
      </c>
      <c r="R702" s="14" t="s">
        <v>229</v>
      </c>
    </row>
    <row r="703" spans="1:18" s="14" customFormat="1" x14ac:dyDescent="0.25">
      <c r="A703" s="14" t="str">
        <f>"83705"</f>
        <v>83705</v>
      </c>
      <c r="B703" s="14" t="str">
        <f>"07010"</f>
        <v>07010</v>
      </c>
      <c r="C703" s="14" t="str">
        <f>"1800"</f>
        <v>1800</v>
      </c>
      <c r="D703" s="14" t="str">
        <f>""</f>
        <v/>
      </c>
      <c r="E703" s="14" t="s">
        <v>1413</v>
      </c>
      <c r="F703" s="14" t="s">
        <v>1002</v>
      </c>
      <c r="G703" s="14" t="str">
        <f>""</f>
        <v/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228</v>
      </c>
      <c r="P703" s="14" t="s">
        <v>260</v>
      </c>
      <c r="Q703" s="14" t="s">
        <v>260</v>
      </c>
      <c r="R703" s="14" t="s">
        <v>229</v>
      </c>
    </row>
    <row r="704" spans="1:18" s="14" customFormat="1" x14ac:dyDescent="0.25">
      <c r="A704" s="14" t="str">
        <f>"83706"</f>
        <v>83706</v>
      </c>
      <c r="B704" s="14" t="str">
        <f>"07010"</f>
        <v>07010</v>
      </c>
      <c r="C704" s="14" t="str">
        <f>"1800"</f>
        <v>1800</v>
      </c>
      <c r="D704" s="14" t="str">
        <f>""</f>
        <v/>
      </c>
      <c r="E704" s="14" t="s">
        <v>1414</v>
      </c>
      <c r="F704" s="14" t="s">
        <v>1002</v>
      </c>
      <c r="G704" s="14" t="str">
        <f>""</f>
        <v/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228</v>
      </c>
      <c r="P704" s="14" t="s">
        <v>260</v>
      </c>
      <c r="Q704" s="14" t="s">
        <v>260</v>
      </c>
      <c r="R704" s="14" t="s">
        <v>229</v>
      </c>
    </row>
    <row r="705" spans="1:18" s="14" customFormat="1" x14ac:dyDescent="0.25">
      <c r="A705" s="14" t="str">
        <f>"83708"</f>
        <v>83708</v>
      </c>
      <c r="B705" s="14" t="str">
        <f>"07010"</f>
        <v>07010</v>
      </c>
      <c r="C705" s="14" t="str">
        <f>"1800"</f>
        <v>1800</v>
      </c>
      <c r="D705" s="14" t="str">
        <f>""</f>
        <v/>
      </c>
      <c r="E705" s="14" t="s">
        <v>1415</v>
      </c>
      <c r="F705" s="14" t="s">
        <v>1002</v>
      </c>
      <c r="G705" s="14" t="str">
        <f>""</f>
        <v/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228</v>
      </c>
      <c r="P705" s="14" t="s">
        <v>260</v>
      </c>
      <c r="Q705" s="14" t="s">
        <v>260</v>
      </c>
      <c r="R705" s="14" t="s">
        <v>229</v>
      </c>
    </row>
    <row r="706" spans="1:18" s="14" customFormat="1" x14ac:dyDescent="0.25">
      <c r="A706" s="14" t="str">
        <f>"83709"</f>
        <v>83709</v>
      </c>
      <c r="B706" s="14" t="str">
        <f>"07010"</f>
        <v>07010</v>
      </c>
      <c r="C706" s="14" t="str">
        <f>"1800"</f>
        <v>1800</v>
      </c>
      <c r="D706" s="14" t="str">
        <f>""</f>
        <v/>
      </c>
      <c r="E706" s="14" t="s">
        <v>1402</v>
      </c>
      <c r="F706" s="14" t="s">
        <v>1002</v>
      </c>
      <c r="G706" s="14" t="str">
        <f>""</f>
        <v/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228</v>
      </c>
      <c r="P706" s="14" t="s">
        <v>260</v>
      </c>
      <c r="Q706" s="14" t="s">
        <v>260</v>
      </c>
      <c r="R706" s="14" t="s">
        <v>229</v>
      </c>
    </row>
    <row r="707" spans="1:18" s="14" customFormat="1" x14ac:dyDescent="0.25">
      <c r="A707" s="14" t="str">
        <f>"83710"</f>
        <v>83710</v>
      </c>
      <c r="B707" s="14" t="str">
        <f>"07010"</f>
        <v>07010</v>
      </c>
      <c r="C707" s="14" t="str">
        <f>"1800"</f>
        <v>1800</v>
      </c>
      <c r="D707" s="14" t="str">
        <f>""</f>
        <v/>
      </c>
      <c r="E707" s="14" t="s">
        <v>1416</v>
      </c>
      <c r="F707" s="14" t="s">
        <v>1002</v>
      </c>
      <c r="G707" s="14" t="str">
        <f>""</f>
        <v/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228</v>
      </c>
      <c r="P707" s="14" t="s">
        <v>260</v>
      </c>
      <c r="Q707" s="14" t="s">
        <v>260</v>
      </c>
      <c r="R707" s="14" t="s">
        <v>229</v>
      </c>
    </row>
    <row r="708" spans="1:18" s="14" customFormat="1" x14ac:dyDescent="0.25">
      <c r="A708" s="14" t="str">
        <f>"83711"</f>
        <v>83711</v>
      </c>
      <c r="B708" s="14" t="str">
        <f>"07010"</f>
        <v>07010</v>
      </c>
      <c r="C708" s="14" t="str">
        <f>"1800"</f>
        <v>1800</v>
      </c>
      <c r="D708" s="14" t="str">
        <f>""</f>
        <v/>
      </c>
      <c r="E708" s="14" t="s">
        <v>1417</v>
      </c>
      <c r="F708" s="14" t="s">
        <v>1002</v>
      </c>
      <c r="G708" s="14" t="str">
        <f>""</f>
        <v/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228</v>
      </c>
      <c r="P708" s="14" t="s">
        <v>260</v>
      </c>
      <c r="Q708" s="14" t="s">
        <v>260</v>
      </c>
      <c r="R708" s="14" t="s">
        <v>229</v>
      </c>
    </row>
    <row r="709" spans="1:18" s="14" customFormat="1" x14ac:dyDescent="0.25">
      <c r="A709" s="14" t="str">
        <f>"83712"</f>
        <v>83712</v>
      </c>
      <c r="B709" s="14" t="str">
        <f>"07010"</f>
        <v>07010</v>
      </c>
      <c r="C709" s="14" t="str">
        <f>"1800"</f>
        <v>1800</v>
      </c>
      <c r="D709" s="14" t="str">
        <f>""</f>
        <v/>
      </c>
      <c r="E709" s="14" t="s">
        <v>1418</v>
      </c>
      <c r="F709" s="14" t="s">
        <v>1002</v>
      </c>
      <c r="G709" s="14" t="str">
        <f>""</f>
        <v/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228</v>
      </c>
      <c r="P709" s="14" t="s">
        <v>260</v>
      </c>
      <c r="Q709" s="14" t="s">
        <v>260</v>
      </c>
      <c r="R709" s="14" t="s">
        <v>229</v>
      </c>
    </row>
    <row r="710" spans="1:18" s="14" customFormat="1" x14ac:dyDescent="0.25">
      <c r="A710" s="14" t="str">
        <f>"83713"</f>
        <v>83713</v>
      </c>
      <c r="B710" s="14" t="str">
        <f>"07010"</f>
        <v>07010</v>
      </c>
      <c r="C710" s="14" t="str">
        <f>"1800"</f>
        <v>1800</v>
      </c>
      <c r="D710" s="14" t="str">
        <f>""</f>
        <v/>
      </c>
      <c r="E710" s="14" t="s">
        <v>1419</v>
      </c>
      <c r="F710" s="14" t="s">
        <v>1002</v>
      </c>
      <c r="G710" s="14" t="str">
        <f>""</f>
        <v/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228</v>
      </c>
      <c r="P710" s="14" t="s">
        <v>260</v>
      </c>
      <c r="Q710" s="14" t="s">
        <v>260</v>
      </c>
      <c r="R710" s="14" t="s">
        <v>229</v>
      </c>
    </row>
    <row r="711" spans="1:18" s="14" customFormat="1" x14ac:dyDescent="0.25">
      <c r="A711" s="14" t="str">
        <f>"83714"</f>
        <v>83714</v>
      </c>
      <c r="B711" s="14" t="str">
        <f>"07010"</f>
        <v>07010</v>
      </c>
      <c r="C711" s="14" t="str">
        <f>"1800"</f>
        <v>1800</v>
      </c>
      <c r="D711" s="14" t="str">
        <f>""</f>
        <v/>
      </c>
      <c r="E711" s="14" t="s">
        <v>1420</v>
      </c>
      <c r="F711" s="14" t="s">
        <v>1002</v>
      </c>
      <c r="G711" s="14" t="str">
        <f>""</f>
        <v/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228</v>
      </c>
      <c r="P711" s="14" t="s">
        <v>260</v>
      </c>
      <c r="Q711" s="14" t="s">
        <v>260</v>
      </c>
      <c r="R711" s="14" t="s">
        <v>229</v>
      </c>
    </row>
    <row r="712" spans="1:18" s="14" customFormat="1" x14ac:dyDescent="0.25">
      <c r="A712" s="14" t="str">
        <f>"83715"</f>
        <v>83715</v>
      </c>
      <c r="B712" s="14" t="str">
        <f>"07010"</f>
        <v>07010</v>
      </c>
      <c r="C712" s="14" t="str">
        <f>"1800"</f>
        <v>1800</v>
      </c>
      <c r="D712" s="14" t="str">
        <f>""</f>
        <v/>
      </c>
      <c r="E712" s="14" t="s">
        <v>1421</v>
      </c>
      <c r="F712" s="14" t="s">
        <v>1002</v>
      </c>
      <c r="G712" s="14" t="str">
        <f>""</f>
        <v/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228</v>
      </c>
      <c r="P712" s="14" t="s">
        <v>260</v>
      </c>
      <c r="Q712" s="14" t="s">
        <v>260</v>
      </c>
      <c r="R712" s="14" t="s">
        <v>229</v>
      </c>
    </row>
    <row r="713" spans="1:18" s="14" customFormat="1" x14ac:dyDescent="0.25">
      <c r="A713" s="14" t="str">
        <f>"83716"</f>
        <v>83716</v>
      </c>
      <c r="B713" s="14" t="str">
        <f>"07010"</f>
        <v>07010</v>
      </c>
      <c r="C713" s="14" t="str">
        <f>"1800"</f>
        <v>1800</v>
      </c>
      <c r="D713" s="14" t="str">
        <f>""</f>
        <v/>
      </c>
      <c r="E713" s="14" t="s">
        <v>1422</v>
      </c>
      <c r="F713" s="14" t="s">
        <v>1002</v>
      </c>
      <c r="G713" s="14" t="str">
        <f>""</f>
        <v/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228</v>
      </c>
      <c r="P713" s="14" t="s">
        <v>260</v>
      </c>
      <c r="Q713" s="14" t="s">
        <v>260</v>
      </c>
      <c r="R713" s="14" t="s">
        <v>229</v>
      </c>
    </row>
    <row r="714" spans="1:18" s="14" customFormat="1" x14ac:dyDescent="0.25">
      <c r="A714" s="14" t="str">
        <f>"83717"</f>
        <v>83717</v>
      </c>
      <c r="B714" s="14" t="str">
        <f>"07010"</f>
        <v>07010</v>
      </c>
      <c r="C714" s="14" t="str">
        <f>"1800"</f>
        <v>1800</v>
      </c>
      <c r="D714" s="14" t="str">
        <f>""</f>
        <v/>
      </c>
      <c r="E714" s="14" t="s">
        <v>1423</v>
      </c>
      <c r="F714" s="14" t="s">
        <v>1002</v>
      </c>
      <c r="G714" s="14" t="str">
        <f>""</f>
        <v/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228</v>
      </c>
      <c r="P714" s="14" t="s">
        <v>260</v>
      </c>
      <c r="Q714" s="14" t="s">
        <v>260</v>
      </c>
      <c r="R714" s="14" t="s">
        <v>229</v>
      </c>
    </row>
    <row r="715" spans="1:18" s="14" customFormat="1" x14ac:dyDescent="0.25">
      <c r="A715" s="14" t="str">
        <f>"83718"</f>
        <v>83718</v>
      </c>
      <c r="B715" s="14" t="str">
        <f>"07010"</f>
        <v>07010</v>
      </c>
      <c r="C715" s="14" t="str">
        <f>"1800"</f>
        <v>1800</v>
      </c>
      <c r="D715" s="14" t="str">
        <f>""</f>
        <v/>
      </c>
      <c r="E715" s="14" t="s">
        <v>1424</v>
      </c>
      <c r="F715" s="14" t="s">
        <v>1002</v>
      </c>
      <c r="G715" s="14" t="str">
        <f>""</f>
        <v/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228</v>
      </c>
      <c r="P715" s="14" t="s">
        <v>260</v>
      </c>
      <c r="Q715" s="14" t="s">
        <v>260</v>
      </c>
      <c r="R715" s="14" t="s">
        <v>229</v>
      </c>
    </row>
    <row r="716" spans="1:18" s="14" customFormat="1" x14ac:dyDescent="0.25">
      <c r="A716" s="14" t="str">
        <f>"83719"</f>
        <v>83719</v>
      </c>
      <c r="B716" s="14" t="str">
        <f>"07010"</f>
        <v>07010</v>
      </c>
      <c r="C716" s="14" t="str">
        <f>"1800"</f>
        <v>1800</v>
      </c>
      <c r="D716" s="14" t="str">
        <f>""</f>
        <v/>
      </c>
      <c r="E716" s="14" t="s">
        <v>1425</v>
      </c>
      <c r="F716" s="14" t="s">
        <v>1002</v>
      </c>
      <c r="G716" s="14" t="str">
        <f>""</f>
        <v/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228</v>
      </c>
      <c r="P716" s="14" t="s">
        <v>260</v>
      </c>
      <c r="Q716" s="14" t="s">
        <v>260</v>
      </c>
      <c r="R716" s="14" t="s">
        <v>229</v>
      </c>
    </row>
    <row r="717" spans="1:18" s="14" customFormat="1" x14ac:dyDescent="0.25">
      <c r="A717" s="14" t="str">
        <f>"83720"</f>
        <v>83720</v>
      </c>
      <c r="B717" s="14" t="str">
        <f>"07010"</f>
        <v>07010</v>
      </c>
      <c r="C717" s="14" t="str">
        <f>"1800"</f>
        <v>1800</v>
      </c>
      <c r="D717" s="14" t="str">
        <f>""</f>
        <v/>
      </c>
      <c r="E717" s="14" t="s">
        <v>1426</v>
      </c>
      <c r="F717" s="14" t="s">
        <v>1002</v>
      </c>
      <c r="G717" s="14" t="str">
        <f>""</f>
        <v/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228</v>
      </c>
      <c r="P717" s="14" t="s">
        <v>260</v>
      </c>
      <c r="Q717" s="14" t="s">
        <v>260</v>
      </c>
      <c r="R717" s="14" t="s">
        <v>229</v>
      </c>
    </row>
    <row r="718" spans="1:18" s="14" customFormat="1" x14ac:dyDescent="0.25">
      <c r="A718" s="14" t="str">
        <f>"83721"</f>
        <v>83721</v>
      </c>
      <c r="B718" s="14" t="str">
        <f>"07010"</f>
        <v>07010</v>
      </c>
      <c r="C718" s="14" t="str">
        <f>"1800"</f>
        <v>1800</v>
      </c>
      <c r="D718" s="14" t="str">
        <f>""</f>
        <v/>
      </c>
      <c r="E718" s="14" t="s">
        <v>1427</v>
      </c>
      <c r="F718" s="14" t="s">
        <v>1002</v>
      </c>
      <c r="G718" s="14" t="str">
        <f>""</f>
        <v/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228</v>
      </c>
      <c r="P718" s="14" t="s">
        <v>260</v>
      </c>
      <c r="Q718" s="14" t="s">
        <v>260</v>
      </c>
      <c r="R718" s="14" t="s">
        <v>229</v>
      </c>
    </row>
    <row r="719" spans="1:18" s="14" customFormat="1" x14ac:dyDescent="0.25">
      <c r="A719" s="14" t="str">
        <f>"83722"</f>
        <v>83722</v>
      </c>
      <c r="B719" s="14" t="str">
        <f>"07010"</f>
        <v>07010</v>
      </c>
      <c r="C719" s="14" t="str">
        <f>"1800"</f>
        <v>1800</v>
      </c>
      <c r="D719" s="14" t="str">
        <f>""</f>
        <v/>
      </c>
      <c r="E719" s="14" t="s">
        <v>1428</v>
      </c>
      <c r="F719" s="14" t="s">
        <v>1002</v>
      </c>
      <c r="G719" s="14" t="str">
        <f>""</f>
        <v/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228</v>
      </c>
      <c r="P719" s="14" t="s">
        <v>260</v>
      </c>
      <c r="Q719" s="14" t="s">
        <v>260</v>
      </c>
      <c r="R719" s="14" t="s">
        <v>229</v>
      </c>
    </row>
    <row r="720" spans="1:18" s="14" customFormat="1" x14ac:dyDescent="0.25">
      <c r="A720" s="14" t="str">
        <f>"83723"</f>
        <v>83723</v>
      </c>
      <c r="B720" s="14" t="str">
        <f>"07010"</f>
        <v>07010</v>
      </c>
      <c r="C720" s="14" t="str">
        <f>"1800"</f>
        <v>1800</v>
      </c>
      <c r="D720" s="14" t="str">
        <f>""</f>
        <v/>
      </c>
      <c r="E720" s="14" t="s">
        <v>1429</v>
      </c>
      <c r="F720" s="14" t="s">
        <v>1002</v>
      </c>
      <c r="G720" s="14" t="str">
        <f>""</f>
        <v/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228</v>
      </c>
      <c r="P720" s="14" t="s">
        <v>260</v>
      </c>
      <c r="Q720" s="14" t="s">
        <v>260</v>
      </c>
      <c r="R720" s="14" t="s">
        <v>229</v>
      </c>
    </row>
    <row r="721" spans="1:18" s="14" customFormat="1" x14ac:dyDescent="0.25">
      <c r="A721" s="14" t="str">
        <f>"83724"</f>
        <v>83724</v>
      </c>
      <c r="B721" s="14" t="str">
        <f>"07010"</f>
        <v>07010</v>
      </c>
      <c r="C721" s="14" t="str">
        <f>"1800"</f>
        <v>1800</v>
      </c>
      <c r="D721" s="14" t="str">
        <f>""</f>
        <v/>
      </c>
      <c r="E721" s="14" t="s">
        <v>1430</v>
      </c>
      <c r="F721" s="14" t="s">
        <v>1002</v>
      </c>
      <c r="G721" s="14" t="str">
        <f>""</f>
        <v/>
      </c>
      <c r="H721" s="14" t="str">
        <f>" 00"</f>
        <v xml:space="preserve"> 00</v>
      </c>
      <c r="I721" s="14">
        <v>0.01</v>
      </c>
      <c r="J721" s="14">
        <v>9999999.9900000002</v>
      </c>
      <c r="K721" s="14" t="s">
        <v>228</v>
      </c>
      <c r="P721" s="14" t="s">
        <v>260</v>
      </c>
      <c r="Q721" s="14" t="s">
        <v>260</v>
      </c>
      <c r="R721" s="14" t="s">
        <v>229</v>
      </c>
    </row>
    <row r="722" spans="1:18" s="14" customFormat="1" x14ac:dyDescent="0.25">
      <c r="A722" s="14" t="str">
        <f>"83725"</f>
        <v>83725</v>
      </c>
      <c r="B722" s="14" t="str">
        <f>"07010"</f>
        <v>07010</v>
      </c>
      <c r="C722" s="14" t="str">
        <f>"1800"</f>
        <v>1800</v>
      </c>
      <c r="D722" s="14" t="str">
        <f>""</f>
        <v/>
      </c>
      <c r="E722" s="14" t="s">
        <v>1431</v>
      </c>
      <c r="F722" s="14" t="s">
        <v>1002</v>
      </c>
      <c r="G722" s="14" t="str">
        <f>""</f>
        <v/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228</v>
      </c>
      <c r="P722" s="14" t="s">
        <v>260</v>
      </c>
      <c r="Q722" s="14" t="s">
        <v>260</v>
      </c>
      <c r="R722" s="14" t="s">
        <v>229</v>
      </c>
    </row>
    <row r="723" spans="1:18" s="14" customFormat="1" x14ac:dyDescent="0.25">
      <c r="A723" s="14" t="str">
        <f>"83726"</f>
        <v>83726</v>
      </c>
      <c r="B723" s="14" t="str">
        <f>"07010"</f>
        <v>07010</v>
      </c>
      <c r="C723" s="14" t="str">
        <f>"1800"</f>
        <v>1800</v>
      </c>
      <c r="D723" s="14" t="str">
        <f>""</f>
        <v/>
      </c>
      <c r="E723" s="14" t="s">
        <v>1432</v>
      </c>
      <c r="F723" s="14" t="s">
        <v>1002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228</v>
      </c>
      <c r="P723" s="14" t="s">
        <v>260</v>
      </c>
      <c r="Q723" s="14" t="s">
        <v>260</v>
      </c>
      <c r="R723" s="14" t="s">
        <v>229</v>
      </c>
    </row>
    <row r="724" spans="1:18" s="14" customFormat="1" x14ac:dyDescent="0.25">
      <c r="A724" s="14" t="str">
        <f>"83727"</f>
        <v>83727</v>
      </c>
      <c r="B724" s="14" t="str">
        <f>"07010"</f>
        <v>07010</v>
      </c>
      <c r="C724" s="14" t="str">
        <f>"1800"</f>
        <v>1800</v>
      </c>
      <c r="D724" s="14" t="str">
        <f>""</f>
        <v/>
      </c>
      <c r="E724" s="14" t="s">
        <v>1433</v>
      </c>
      <c r="F724" s="14" t="s">
        <v>1002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228</v>
      </c>
      <c r="P724" s="14" t="s">
        <v>260</v>
      </c>
      <c r="Q724" s="14" t="s">
        <v>260</v>
      </c>
      <c r="R724" s="14" t="s">
        <v>229</v>
      </c>
    </row>
    <row r="725" spans="1:18" s="14" customFormat="1" x14ac:dyDescent="0.25">
      <c r="A725" s="14" t="str">
        <f>"83728"</f>
        <v>83728</v>
      </c>
      <c r="B725" s="14" t="str">
        <f>"07010"</f>
        <v>07010</v>
      </c>
      <c r="C725" s="14" t="str">
        <f>"1800"</f>
        <v>1800</v>
      </c>
      <c r="D725" s="14" t="str">
        <f>""</f>
        <v/>
      </c>
      <c r="E725" s="14" t="s">
        <v>1434</v>
      </c>
      <c r="F725" s="14" t="s">
        <v>1002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228</v>
      </c>
      <c r="P725" s="14" t="s">
        <v>260</v>
      </c>
      <c r="Q725" s="14" t="s">
        <v>260</v>
      </c>
      <c r="R725" s="14" t="s">
        <v>229</v>
      </c>
    </row>
    <row r="726" spans="1:18" s="14" customFormat="1" x14ac:dyDescent="0.25">
      <c r="A726" s="14" t="str">
        <f>"83729"</f>
        <v>83729</v>
      </c>
      <c r="B726" s="14" t="str">
        <f>"07010"</f>
        <v>07010</v>
      </c>
      <c r="C726" s="14" t="str">
        <f>"1800"</f>
        <v>1800</v>
      </c>
      <c r="D726" s="14" t="str">
        <f>""</f>
        <v/>
      </c>
      <c r="E726" s="14" t="s">
        <v>1435</v>
      </c>
      <c r="F726" s="14" t="s">
        <v>1002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228</v>
      </c>
      <c r="P726" s="14" t="s">
        <v>260</v>
      </c>
      <c r="Q726" s="14" t="s">
        <v>260</v>
      </c>
      <c r="R726" s="14" t="s">
        <v>229</v>
      </c>
    </row>
    <row r="727" spans="1:18" s="14" customFormat="1" x14ac:dyDescent="0.25">
      <c r="A727" s="14" t="str">
        <f>"83730"</f>
        <v>83730</v>
      </c>
      <c r="B727" s="14" t="str">
        <f>"07010"</f>
        <v>07010</v>
      </c>
      <c r="C727" s="14" t="str">
        <f>"1800"</f>
        <v>1800</v>
      </c>
      <c r="D727" s="14" t="str">
        <f>""</f>
        <v/>
      </c>
      <c r="E727" s="14" t="s">
        <v>1436</v>
      </c>
      <c r="F727" s="14" t="s">
        <v>1002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228</v>
      </c>
      <c r="P727" s="14" t="s">
        <v>260</v>
      </c>
      <c r="Q727" s="14" t="s">
        <v>260</v>
      </c>
      <c r="R727" s="14" t="s">
        <v>229</v>
      </c>
    </row>
    <row r="728" spans="1:18" s="14" customFormat="1" x14ac:dyDescent="0.25">
      <c r="A728" s="14" t="str">
        <f>"83731"</f>
        <v>83731</v>
      </c>
      <c r="B728" s="14" t="str">
        <f>"07010"</f>
        <v>07010</v>
      </c>
      <c r="C728" s="14" t="str">
        <f>"1800"</f>
        <v>1800</v>
      </c>
      <c r="D728" s="14" t="str">
        <f>""</f>
        <v/>
      </c>
      <c r="E728" s="14" t="s">
        <v>1437</v>
      </c>
      <c r="F728" s="14" t="s">
        <v>1002</v>
      </c>
      <c r="G728" s="14" t="str">
        <f>""</f>
        <v/>
      </c>
      <c r="H728" s="14" t="str">
        <f>" 00"</f>
        <v xml:space="preserve"> 00</v>
      </c>
      <c r="I728" s="14">
        <v>0.01</v>
      </c>
      <c r="J728" s="14">
        <v>9999999.9900000002</v>
      </c>
      <c r="K728" s="14" t="s">
        <v>228</v>
      </c>
      <c r="P728" s="14" t="s">
        <v>260</v>
      </c>
      <c r="Q728" s="14" t="s">
        <v>260</v>
      </c>
      <c r="R728" s="14" t="s">
        <v>229</v>
      </c>
    </row>
    <row r="729" spans="1:18" s="14" customFormat="1" x14ac:dyDescent="0.25">
      <c r="A729" s="14" t="str">
        <f>"83732"</f>
        <v>83732</v>
      </c>
      <c r="B729" s="14" t="str">
        <f>"07010"</f>
        <v>07010</v>
      </c>
      <c r="C729" s="14" t="str">
        <f>"1800"</f>
        <v>1800</v>
      </c>
      <c r="D729" s="14" t="str">
        <f>""</f>
        <v/>
      </c>
      <c r="E729" s="14" t="s">
        <v>1438</v>
      </c>
      <c r="F729" s="14" t="s">
        <v>1002</v>
      </c>
      <c r="G729" s="14" t="str">
        <f>""</f>
        <v/>
      </c>
      <c r="H729" s="14" t="str">
        <f>" 00"</f>
        <v xml:space="preserve"> 00</v>
      </c>
      <c r="I729" s="14">
        <v>0.01</v>
      </c>
      <c r="J729" s="14">
        <v>9999999.9900000002</v>
      </c>
      <c r="K729" s="14" t="s">
        <v>228</v>
      </c>
      <c r="P729" s="14" t="s">
        <v>260</v>
      </c>
      <c r="Q729" s="14" t="s">
        <v>260</v>
      </c>
      <c r="R729" s="14" t="s">
        <v>229</v>
      </c>
    </row>
    <row r="730" spans="1:18" s="14" customFormat="1" x14ac:dyDescent="0.25">
      <c r="A730" s="14" t="str">
        <f>"83733"</f>
        <v>83733</v>
      </c>
      <c r="B730" s="14" t="str">
        <f>"07010"</f>
        <v>07010</v>
      </c>
      <c r="C730" s="14" t="str">
        <f>"1800"</f>
        <v>1800</v>
      </c>
      <c r="D730" s="14" t="str">
        <f>""</f>
        <v/>
      </c>
      <c r="E730" s="14" t="s">
        <v>1439</v>
      </c>
      <c r="F730" s="14" t="s">
        <v>1002</v>
      </c>
      <c r="G730" s="14" t="str">
        <f>""</f>
        <v/>
      </c>
      <c r="H730" s="14" t="str">
        <f>" 00"</f>
        <v xml:space="preserve"> 00</v>
      </c>
      <c r="I730" s="14">
        <v>0.01</v>
      </c>
      <c r="J730" s="14">
        <v>9999999.9900000002</v>
      </c>
      <c r="K730" s="14" t="s">
        <v>228</v>
      </c>
      <c r="P730" s="14" t="s">
        <v>260</v>
      </c>
      <c r="Q730" s="14" t="s">
        <v>260</v>
      </c>
      <c r="R730" s="14" t="s">
        <v>229</v>
      </c>
    </row>
    <row r="731" spans="1:18" s="14" customFormat="1" x14ac:dyDescent="0.25">
      <c r="A731" s="14" t="str">
        <f>"83734"</f>
        <v>83734</v>
      </c>
      <c r="B731" s="14" t="str">
        <f>"07010"</f>
        <v>07010</v>
      </c>
      <c r="C731" s="14" t="str">
        <f>"1800"</f>
        <v>1800</v>
      </c>
      <c r="D731" s="14" t="str">
        <f>""</f>
        <v/>
      </c>
      <c r="E731" s="14" t="s">
        <v>1440</v>
      </c>
      <c r="F731" s="14" t="s">
        <v>1002</v>
      </c>
      <c r="G731" s="14" t="str">
        <f>""</f>
        <v/>
      </c>
      <c r="H731" s="14" t="str">
        <f>" 00"</f>
        <v xml:space="preserve"> 00</v>
      </c>
      <c r="I731" s="14">
        <v>0.01</v>
      </c>
      <c r="J731" s="14">
        <v>9999999.9900000002</v>
      </c>
      <c r="K731" s="14" t="s">
        <v>228</v>
      </c>
      <c r="P731" s="14" t="s">
        <v>260</v>
      </c>
      <c r="Q731" s="14" t="s">
        <v>260</v>
      </c>
      <c r="R731" s="14" t="s">
        <v>229</v>
      </c>
    </row>
    <row r="732" spans="1:18" s="14" customFormat="1" x14ac:dyDescent="0.25">
      <c r="A732" s="14" t="str">
        <f>"83735"</f>
        <v>83735</v>
      </c>
      <c r="B732" s="14" t="str">
        <f>"07010"</f>
        <v>07010</v>
      </c>
      <c r="C732" s="14" t="str">
        <f>"1800"</f>
        <v>1800</v>
      </c>
      <c r="D732" s="14" t="str">
        <f>""</f>
        <v/>
      </c>
      <c r="E732" s="14" t="s">
        <v>1441</v>
      </c>
      <c r="F732" s="14" t="s">
        <v>1002</v>
      </c>
      <c r="G732" s="14" t="str">
        <f>""</f>
        <v/>
      </c>
      <c r="H732" s="14" t="str">
        <f>" 00"</f>
        <v xml:space="preserve"> 00</v>
      </c>
      <c r="I732" s="14">
        <v>0.01</v>
      </c>
      <c r="J732" s="14">
        <v>9999999.9900000002</v>
      </c>
      <c r="K732" s="14" t="s">
        <v>228</v>
      </c>
      <c r="P732" s="14" t="s">
        <v>260</v>
      </c>
      <c r="Q732" s="14" t="s">
        <v>260</v>
      </c>
      <c r="R732" s="14" t="s">
        <v>229</v>
      </c>
    </row>
    <row r="733" spans="1:18" s="14" customFormat="1" x14ac:dyDescent="0.25">
      <c r="A733" s="14" t="str">
        <f>"83736"</f>
        <v>83736</v>
      </c>
      <c r="B733" s="14" t="str">
        <f>"07010"</f>
        <v>07010</v>
      </c>
      <c r="C733" s="14" t="str">
        <f>"1800"</f>
        <v>1800</v>
      </c>
      <c r="D733" s="14" t="str">
        <f>""</f>
        <v/>
      </c>
      <c r="E733" s="14" t="s">
        <v>1442</v>
      </c>
      <c r="F733" s="14" t="s">
        <v>1002</v>
      </c>
      <c r="G733" s="14" t="str">
        <f>""</f>
        <v/>
      </c>
      <c r="H733" s="14" t="str">
        <f>" 00"</f>
        <v xml:space="preserve"> 00</v>
      </c>
      <c r="I733" s="14">
        <v>0.01</v>
      </c>
      <c r="J733" s="14">
        <v>9999999.9900000002</v>
      </c>
      <c r="K733" s="14" t="s">
        <v>228</v>
      </c>
      <c r="P733" s="14" t="s">
        <v>260</v>
      </c>
      <c r="Q733" s="14" t="s">
        <v>260</v>
      </c>
      <c r="R733" s="14" t="s">
        <v>229</v>
      </c>
    </row>
    <row r="734" spans="1:18" s="14" customFormat="1" x14ac:dyDescent="0.25">
      <c r="A734" s="14" t="str">
        <f>"83737"</f>
        <v>83737</v>
      </c>
      <c r="B734" s="14" t="str">
        <f>"07010"</f>
        <v>07010</v>
      </c>
      <c r="C734" s="14" t="str">
        <f>"1800"</f>
        <v>1800</v>
      </c>
      <c r="D734" s="14" t="str">
        <f>""</f>
        <v/>
      </c>
      <c r="E734" s="14" t="s">
        <v>1443</v>
      </c>
      <c r="F734" s="14" t="s">
        <v>1002</v>
      </c>
      <c r="G734" s="14" t="str">
        <f>""</f>
        <v/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228</v>
      </c>
      <c r="P734" s="14" t="s">
        <v>260</v>
      </c>
      <c r="Q734" s="14" t="s">
        <v>260</v>
      </c>
      <c r="R734" s="14" t="s">
        <v>229</v>
      </c>
    </row>
    <row r="735" spans="1:18" s="14" customFormat="1" x14ac:dyDescent="0.25">
      <c r="A735" s="14" t="str">
        <f>"83738"</f>
        <v>83738</v>
      </c>
      <c r="B735" s="14" t="str">
        <f>"07010"</f>
        <v>07010</v>
      </c>
      <c r="C735" s="14" t="str">
        <f>"1800"</f>
        <v>1800</v>
      </c>
      <c r="D735" s="14" t="str">
        <f>""</f>
        <v/>
      </c>
      <c r="E735" s="14" t="s">
        <v>1444</v>
      </c>
      <c r="F735" s="14" t="s">
        <v>1002</v>
      </c>
      <c r="G735" s="14" t="str">
        <f>""</f>
        <v/>
      </c>
      <c r="H735" s="14" t="str">
        <f>" 00"</f>
        <v xml:space="preserve"> 00</v>
      </c>
      <c r="I735" s="14">
        <v>0.01</v>
      </c>
      <c r="J735" s="14">
        <v>9999999.9900000002</v>
      </c>
      <c r="K735" s="14" t="s">
        <v>228</v>
      </c>
      <c r="P735" s="14" t="s">
        <v>260</v>
      </c>
      <c r="Q735" s="14" t="s">
        <v>260</v>
      </c>
      <c r="R735" s="14" t="s">
        <v>229</v>
      </c>
    </row>
    <row r="736" spans="1:18" s="14" customFormat="1" x14ac:dyDescent="0.25">
      <c r="A736" s="14" t="str">
        <f>"83739"</f>
        <v>83739</v>
      </c>
      <c r="B736" s="14" t="str">
        <f>"07010"</f>
        <v>07010</v>
      </c>
      <c r="C736" s="14" t="str">
        <f>"1800"</f>
        <v>1800</v>
      </c>
      <c r="D736" s="14" t="str">
        <f>""</f>
        <v/>
      </c>
      <c r="E736" s="14" t="s">
        <v>1445</v>
      </c>
      <c r="F736" s="14" t="s">
        <v>1002</v>
      </c>
      <c r="G736" s="14" t="str">
        <f>""</f>
        <v/>
      </c>
      <c r="H736" s="14" t="str">
        <f>" 00"</f>
        <v xml:space="preserve"> 00</v>
      </c>
      <c r="I736" s="14">
        <v>0.01</v>
      </c>
      <c r="J736" s="14">
        <v>9999999.9900000002</v>
      </c>
      <c r="K736" s="14" t="s">
        <v>228</v>
      </c>
      <c r="P736" s="14" t="s">
        <v>260</v>
      </c>
      <c r="Q736" s="14" t="s">
        <v>260</v>
      </c>
      <c r="R736" s="14" t="s">
        <v>229</v>
      </c>
    </row>
    <row r="737" spans="1:18" s="14" customFormat="1" x14ac:dyDescent="0.25">
      <c r="A737" s="14" t="str">
        <f>"83740"</f>
        <v>83740</v>
      </c>
      <c r="B737" s="14" t="str">
        <f>"07010"</f>
        <v>07010</v>
      </c>
      <c r="C737" s="14" t="str">
        <f>"1800"</f>
        <v>1800</v>
      </c>
      <c r="D737" s="14" t="str">
        <f>""</f>
        <v/>
      </c>
      <c r="E737" s="14" t="s">
        <v>1446</v>
      </c>
      <c r="F737" s="14" t="s">
        <v>1002</v>
      </c>
      <c r="G737" s="14" t="str">
        <f>""</f>
        <v/>
      </c>
      <c r="H737" s="14" t="str">
        <f>" 00"</f>
        <v xml:space="preserve"> 00</v>
      </c>
      <c r="I737" s="14">
        <v>0.01</v>
      </c>
      <c r="J737" s="14">
        <v>9999999.9900000002</v>
      </c>
      <c r="K737" s="14" t="s">
        <v>228</v>
      </c>
      <c r="P737" s="14" t="s">
        <v>260</v>
      </c>
      <c r="Q737" s="14" t="s">
        <v>260</v>
      </c>
      <c r="R737" s="14" t="s">
        <v>229</v>
      </c>
    </row>
    <row r="738" spans="1:18" s="14" customFormat="1" x14ac:dyDescent="0.25">
      <c r="A738" s="14" t="str">
        <f>"83741"</f>
        <v>83741</v>
      </c>
      <c r="B738" s="14" t="str">
        <f>"07010"</f>
        <v>07010</v>
      </c>
      <c r="C738" s="14" t="str">
        <f>"1800"</f>
        <v>1800</v>
      </c>
      <c r="D738" s="14" t="str">
        <f>""</f>
        <v/>
      </c>
      <c r="E738" s="14" t="s">
        <v>1447</v>
      </c>
      <c r="F738" s="14" t="s">
        <v>1002</v>
      </c>
      <c r="G738" s="14" t="str">
        <f>""</f>
        <v/>
      </c>
      <c r="H738" s="14" t="str">
        <f>" 00"</f>
        <v xml:space="preserve"> 00</v>
      </c>
      <c r="I738" s="14">
        <v>0.01</v>
      </c>
      <c r="J738" s="14">
        <v>9999999.9900000002</v>
      </c>
      <c r="K738" s="14" t="s">
        <v>228</v>
      </c>
      <c r="P738" s="14" t="s">
        <v>260</v>
      </c>
      <c r="Q738" s="14" t="s">
        <v>260</v>
      </c>
      <c r="R738" s="14" t="s">
        <v>229</v>
      </c>
    </row>
    <row r="739" spans="1:18" s="14" customFormat="1" x14ac:dyDescent="0.25">
      <c r="A739" s="14" t="str">
        <f>"83742"</f>
        <v>83742</v>
      </c>
      <c r="B739" s="14" t="str">
        <f>"07010"</f>
        <v>07010</v>
      </c>
      <c r="C739" s="14" t="str">
        <f>"1800"</f>
        <v>1800</v>
      </c>
      <c r="D739" s="14" t="str">
        <f>""</f>
        <v/>
      </c>
      <c r="E739" s="14" t="s">
        <v>1448</v>
      </c>
      <c r="F739" s="14" t="s">
        <v>1002</v>
      </c>
      <c r="G739" s="14" t="str">
        <f>""</f>
        <v/>
      </c>
      <c r="H739" s="14" t="str">
        <f>" 00"</f>
        <v xml:space="preserve"> 00</v>
      </c>
      <c r="I739" s="14">
        <v>0.01</v>
      </c>
      <c r="J739" s="14">
        <v>9999999.9900000002</v>
      </c>
      <c r="K739" s="14" t="s">
        <v>228</v>
      </c>
      <c r="P739" s="14" t="s">
        <v>260</v>
      </c>
      <c r="Q739" s="14" t="s">
        <v>260</v>
      </c>
      <c r="R739" s="14" t="s">
        <v>229</v>
      </c>
    </row>
    <row r="740" spans="1:18" s="14" customFormat="1" x14ac:dyDescent="0.25">
      <c r="A740" s="14" t="str">
        <f>"83743"</f>
        <v>83743</v>
      </c>
      <c r="B740" s="14" t="str">
        <f>"07010"</f>
        <v>07010</v>
      </c>
      <c r="C740" s="14" t="str">
        <f>"1800"</f>
        <v>1800</v>
      </c>
      <c r="D740" s="14" t="str">
        <f>""</f>
        <v/>
      </c>
      <c r="E740" s="14" t="s">
        <v>1449</v>
      </c>
      <c r="F740" s="14" t="s">
        <v>1002</v>
      </c>
      <c r="G740" s="14" t="str">
        <f>""</f>
        <v/>
      </c>
      <c r="H740" s="14" t="str">
        <f>" 00"</f>
        <v xml:space="preserve"> 00</v>
      </c>
      <c r="I740" s="14">
        <v>0.01</v>
      </c>
      <c r="J740" s="14">
        <v>9999999.9900000002</v>
      </c>
      <c r="K740" s="14" t="s">
        <v>228</v>
      </c>
      <c r="P740" s="14" t="s">
        <v>260</v>
      </c>
      <c r="Q740" s="14" t="s">
        <v>260</v>
      </c>
      <c r="R740" s="14" t="s">
        <v>229</v>
      </c>
    </row>
    <row r="741" spans="1:18" s="14" customFormat="1" x14ac:dyDescent="0.25">
      <c r="A741" s="14" t="str">
        <f>"83744"</f>
        <v>83744</v>
      </c>
      <c r="B741" s="14" t="str">
        <f>"07010"</f>
        <v>07010</v>
      </c>
      <c r="C741" s="14" t="str">
        <f>"1800"</f>
        <v>1800</v>
      </c>
      <c r="D741" s="14" t="str">
        <f>""</f>
        <v/>
      </c>
      <c r="E741" s="14" t="s">
        <v>1450</v>
      </c>
      <c r="F741" s="14" t="s">
        <v>1002</v>
      </c>
      <c r="G741" s="14" t="str">
        <f>""</f>
        <v/>
      </c>
      <c r="H741" s="14" t="str">
        <f>" 00"</f>
        <v xml:space="preserve"> 00</v>
      </c>
      <c r="I741" s="14">
        <v>0.01</v>
      </c>
      <c r="J741" s="14">
        <v>9999999.9900000002</v>
      </c>
      <c r="K741" s="14" t="s">
        <v>228</v>
      </c>
      <c r="P741" s="14" t="s">
        <v>260</v>
      </c>
      <c r="Q741" s="14" t="s">
        <v>260</v>
      </c>
      <c r="R741" s="14" t="s">
        <v>229</v>
      </c>
    </row>
    <row r="742" spans="1:18" s="14" customFormat="1" x14ac:dyDescent="0.25">
      <c r="A742" s="14" t="str">
        <f>"83745"</f>
        <v>83745</v>
      </c>
      <c r="B742" s="14" t="str">
        <f>"07010"</f>
        <v>07010</v>
      </c>
      <c r="C742" s="14" t="str">
        <f>"1800"</f>
        <v>1800</v>
      </c>
      <c r="D742" s="14" t="str">
        <f>""</f>
        <v/>
      </c>
      <c r="E742" s="14" t="s">
        <v>1451</v>
      </c>
      <c r="F742" s="14" t="s">
        <v>1002</v>
      </c>
      <c r="G742" s="14" t="str">
        <f>""</f>
        <v/>
      </c>
      <c r="H742" s="14" t="str">
        <f>" 00"</f>
        <v xml:space="preserve"> 00</v>
      </c>
      <c r="I742" s="14">
        <v>0.01</v>
      </c>
      <c r="J742" s="14">
        <v>9999999.9900000002</v>
      </c>
      <c r="K742" s="14" t="s">
        <v>228</v>
      </c>
      <c r="P742" s="14" t="s">
        <v>260</v>
      </c>
      <c r="Q742" s="14" t="s">
        <v>260</v>
      </c>
      <c r="R742" s="14" t="s">
        <v>229</v>
      </c>
    </row>
    <row r="743" spans="1:18" s="14" customFormat="1" x14ac:dyDescent="0.25">
      <c r="A743" s="14" t="str">
        <f>"83746"</f>
        <v>83746</v>
      </c>
      <c r="B743" s="14" t="str">
        <f>"07010"</f>
        <v>07010</v>
      </c>
      <c r="C743" s="14" t="str">
        <f>"1800"</f>
        <v>1800</v>
      </c>
      <c r="D743" s="14" t="str">
        <f>""</f>
        <v/>
      </c>
      <c r="E743" s="14" t="s">
        <v>1452</v>
      </c>
      <c r="F743" s="14" t="s">
        <v>1002</v>
      </c>
      <c r="G743" s="14" t="str">
        <f>""</f>
        <v/>
      </c>
      <c r="H743" s="14" t="str">
        <f>" 00"</f>
        <v xml:space="preserve"> 00</v>
      </c>
      <c r="I743" s="14">
        <v>0.01</v>
      </c>
      <c r="J743" s="14">
        <v>9999999.9900000002</v>
      </c>
      <c r="K743" s="14" t="s">
        <v>228</v>
      </c>
      <c r="P743" s="14" t="s">
        <v>260</v>
      </c>
      <c r="Q743" s="14" t="s">
        <v>260</v>
      </c>
      <c r="R743" s="14" t="s">
        <v>229</v>
      </c>
    </row>
    <row r="744" spans="1:18" s="14" customFormat="1" x14ac:dyDescent="0.25">
      <c r="A744" s="14" t="str">
        <f>"83747"</f>
        <v>83747</v>
      </c>
      <c r="B744" s="14" t="str">
        <f>"07010"</f>
        <v>07010</v>
      </c>
      <c r="C744" s="14" t="str">
        <f>"1800"</f>
        <v>1800</v>
      </c>
      <c r="D744" s="14" t="str">
        <f>""</f>
        <v/>
      </c>
      <c r="E744" s="14" t="s">
        <v>1453</v>
      </c>
      <c r="F744" s="14" t="s">
        <v>1002</v>
      </c>
      <c r="G744" s="14" t="str">
        <f>""</f>
        <v/>
      </c>
      <c r="H744" s="14" t="str">
        <f>" 00"</f>
        <v xml:space="preserve"> 00</v>
      </c>
      <c r="I744" s="14">
        <v>0.01</v>
      </c>
      <c r="J744" s="14">
        <v>9999999.9900000002</v>
      </c>
      <c r="K744" s="14" t="s">
        <v>228</v>
      </c>
      <c r="P744" s="14" t="s">
        <v>260</v>
      </c>
      <c r="Q744" s="14" t="s">
        <v>260</v>
      </c>
      <c r="R744" s="14" t="s">
        <v>229</v>
      </c>
    </row>
    <row r="745" spans="1:18" s="14" customFormat="1" x14ac:dyDescent="0.25">
      <c r="A745" s="14" t="str">
        <f>"83748"</f>
        <v>83748</v>
      </c>
      <c r="B745" s="14" t="str">
        <f>"07010"</f>
        <v>07010</v>
      </c>
      <c r="C745" s="14" t="str">
        <f>"1800"</f>
        <v>1800</v>
      </c>
      <c r="D745" s="14" t="str">
        <f>""</f>
        <v/>
      </c>
      <c r="E745" s="14" t="s">
        <v>1454</v>
      </c>
      <c r="F745" s="14" t="s">
        <v>1002</v>
      </c>
      <c r="G745" s="14" t="str">
        <f>""</f>
        <v/>
      </c>
      <c r="H745" s="14" t="str">
        <f>" 00"</f>
        <v xml:space="preserve"> 00</v>
      </c>
      <c r="I745" s="14">
        <v>0.01</v>
      </c>
      <c r="J745" s="14">
        <v>9999999.9900000002</v>
      </c>
      <c r="K745" s="14" t="s">
        <v>228</v>
      </c>
      <c r="P745" s="14" t="s">
        <v>260</v>
      </c>
      <c r="Q745" s="14" t="s">
        <v>260</v>
      </c>
      <c r="R745" s="14" t="s">
        <v>229</v>
      </c>
    </row>
    <row r="746" spans="1:18" s="14" customFormat="1" x14ac:dyDescent="0.25">
      <c r="A746" s="14" t="str">
        <f>"83749"</f>
        <v>83749</v>
      </c>
      <c r="B746" s="14" t="str">
        <f>"07010"</f>
        <v>07010</v>
      </c>
      <c r="C746" s="14" t="str">
        <f>"1800"</f>
        <v>1800</v>
      </c>
      <c r="D746" s="14" t="str">
        <f>""</f>
        <v/>
      </c>
      <c r="E746" s="14" t="s">
        <v>1455</v>
      </c>
      <c r="F746" s="14" t="s">
        <v>1002</v>
      </c>
      <c r="G746" s="14" t="str">
        <f>""</f>
        <v/>
      </c>
      <c r="H746" s="14" t="str">
        <f>" 00"</f>
        <v xml:space="preserve"> 00</v>
      </c>
      <c r="I746" s="14">
        <v>0.01</v>
      </c>
      <c r="J746" s="14">
        <v>9999999.9900000002</v>
      </c>
      <c r="K746" s="14" t="s">
        <v>228</v>
      </c>
      <c r="P746" s="14" t="s">
        <v>260</v>
      </c>
      <c r="Q746" s="14" t="s">
        <v>260</v>
      </c>
      <c r="R746" s="14" t="s">
        <v>229</v>
      </c>
    </row>
    <row r="747" spans="1:18" s="14" customFormat="1" x14ac:dyDescent="0.25">
      <c r="A747" s="14" t="str">
        <f>"83750"</f>
        <v>83750</v>
      </c>
      <c r="B747" s="14" t="str">
        <f>"07010"</f>
        <v>07010</v>
      </c>
      <c r="C747" s="14" t="str">
        <f>"1800"</f>
        <v>1800</v>
      </c>
      <c r="D747" s="14" t="str">
        <f>""</f>
        <v/>
      </c>
      <c r="E747" s="14" t="s">
        <v>1456</v>
      </c>
      <c r="F747" s="14" t="s">
        <v>1002</v>
      </c>
      <c r="G747" s="14" t="str">
        <f>""</f>
        <v/>
      </c>
      <c r="H747" s="14" t="str">
        <f>" 00"</f>
        <v xml:space="preserve"> 00</v>
      </c>
      <c r="I747" s="14">
        <v>0.01</v>
      </c>
      <c r="J747" s="14">
        <v>9999999.9900000002</v>
      </c>
      <c r="K747" s="14" t="s">
        <v>228</v>
      </c>
      <c r="P747" s="14" t="s">
        <v>260</v>
      </c>
      <c r="Q747" s="14" t="s">
        <v>260</v>
      </c>
      <c r="R747" s="14" t="s">
        <v>229</v>
      </c>
    </row>
    <row r="748" spans="1:18" s="14" customFormat="1" x14ac:dyDescent="0.25">
      <c r="A748" s="14" t="str">
        <f>"83751"</f>
        <v>83751</v>
      </c>
      <c r="B748" s="14" t="str">
        <f>"07010"</f>
        <v>07010</v>
      </c>
      <c r="C748" s="14" t="str">
        <f>"1800"</f>
        <v>1800</v>
      </c>
      <c r="D748" s="14" t="str">
        <f>""</f>
        <v/>
      </c>
      <c r="E748" s="14" t="s">
        <v>1457</v>
      </c>
      <c r="F748" s="14" t="s">
        <v>1002</v>
      </c>
      <c r="G748" s="14" t="str">
        <f>""</f>
        <v/>
      </c>
      <c r="H748" s="14" t="str">
        <f>" 00"</f>
        <v xml:space="preserve"> 00</v>
      </c>
      <c r="I748" s="14">
        <v>0.01</v>
      </c>
      <c r="J748" s="14">
        <v>9999999.9900000002</v>
      </c>
      <c r="K748" s="14" t="s">
        <v>228</v>
      </c>
      <c r="P748" s="14" t="s">
        <v>260</v>
      </c>
      <c r="Q748" s="14" t="s">
        <v>260</v>
      </c>
      <c r="R748" s="14" t="s">
        <v>229</v>
      </c>
    </row>
    <row r="749" spans="1:18" s="14" customFormat="1" x14ac:dyDescent="0.25">
      <c r="A749" s="14" t="str">
        <f>"83752"</f>
        <v>83752</v>
      </c>
      <c r="B749" s="14" t="str">
        <f>"07010"</f>
        <v>07010</v>
      </c>
      <c r="C749" s="14" t="str">
        <f>"1800"</f>
        <v>1800</v>
      </c>
      <c r="D749" s="14" t="str">
        <f>""</f>
        <v/>
      </c>
      <c r="E749" s="14" t="s">
        <v>1458</v>
      </c>
      <c r="F749" s="14" t="s">
        <v>1002</v>
      </c>
      <c r="G749" s="14" t="str">
        <f>""</f>
        <v/>
      </c>
      <c r="H749" s="14" t="str">
        <f>" 00"</f>
        <v xml:space="preserve"> 00</v>
      </c>
      <c r="I749" s="14">
        <v>0.01</v>
      </c>
      <c r="J749" s="14">
        <v>9999999.9900000002</v>
      </c>
      <c r="K749" s="14" t="s">
        <v>228</v>
      </c>
      <c r="P749" s="14" t="s">
        <v>260</v>
      </c>
      <c r="Q749" s="14" t="s">
        <v>260</v>
      </c>
      <c r="R749" s="14" t="s">
        <v>229</v>
      </c>
    </row>
    <row r="750" spans="1:18" s="14" customFormat="1" x14ac:dyDescent="0.25">
      <c r="A750" s="14" t="str">
        <f>"83753"</f>
        <v>83753</v>
      </c>
      <c r="B750" s="14" t="str">
        <f>"07010"</f>
        <v>07010</v>
      </c>
      <c r="C750" s="14" t="str">
        <f>"1800"</f>
        <v>1800</v>
      </c>
      <c r="D750" s="14" t="str">
        <f>""</f>
        <v/>
      </c>
      <c r="E750" s="14" t="s">
        <v>1459</v>
      </c>
      <c r="F750" s="14" t="s">
        <v>1002</v>
      </c>
      <c r="G750" s="14" t="str">
        <f>""</f>
        <v/>
      </c>
      <c r="H750" s="14" t="str">
        <f>" 00"</f>
        <v xml:space="preserve"> 00</v>
      </c>
      <c r="I750" s="14">
        <v>0.01</v>
      </c>
      <c r="J750" s="14">
        <v>9999999.9900000002</v>
      </c>
      <c r="K750" s="14" t="s">
        <v>228</v>
      </c>
      <c r="P750" s="14" t="s">
        <v>260</v>
      </c>
      <c r="Q750" s="14" t="s">
        <v>260</v>
      </c>
      <c r="R750" s="14" t="s">
        <v>229</v>
      </c>
    </row>
    <row r="751" spans="1:18" s="14" customFormat="1" x14ac:dyDescent="0.25">
      <c r="A751" s="14" t="str">
        <f>"83754"</f>
        <v>83754</v>
      </c>
      <c r="B751" s="14" t="str">
        <f>"07010"</f>
        <v>07010</v>
      </c>
      <c r="C751" s="14" t="str">
        <f>"1800"</f>
        <v>1800</v>
      </c>
      <c r="D751" s="14" t="str">
        <f>""</f>
        <v/>
      </c>
      <c r="E751" s="14" t="s">
        <v>1460</v>
      </c>
      <c r="F751" s="14" t="s">
        <v>1002</v>
      </c>
      <c r="G751" s="14" t="str">
        <f>""</f>
        <v/>
      </c>
      <c r="H751" s="14" t="str">
        <f>" 00"</f>
        <v xml:space="preserve"> 00</v>
      </c>
      <c r="I751" s="14">
        <v>0.01</v>
      </c>
      <c r="J751" s="14">
        <v>9999999.9900000002</v>
      </c>
      <c r="K751" s="14" t="s">
        <v>228</v>
      </c>
      <c r="P751" s="14" t="s">
        <v>260</v>
      </c>
      <c r="Q751" s="14" t="s">
        <v>260</v>
      </c>
      <c r="R751" s="14" t="s">
        <v>229</v>
      </c>
    </row>
    <row r="752" spans="1:18" s="14" customFormat="1" x14ac:dyDescent="0.25">
      <c r="A752" s="14" t="str">
        <f>"83755"</f>
        <v>83755</v>
      </c>
      <c r="B752" s="14" t="str">
        <f>"07010"</f>
        <v>07010</v>
      </c>
      <c r="C752" s="14" t="str">
        <f>"1800"</f>
        <v>1800</v>
      </c>
      <c r="D752" s="14" t="str">
        <f>""</f>
        <v/>
      </c>
      <c r="E752" s="14" t="s">
        <v>1461</v>
      </c>
      <c r="F752" s="14" t="s">
        <v>1002</v>
      </c>
      <c r="G752" s="14" t="str">
        <f>""</f>
        <v/>
      </c>
      <c r="H752" s="14" t="str">
        <f>" 00"</f>
        <v xml:space="preserve"> 00</v>
      </c>
      <c r="I752" s="14">
        <v>0.01</v>
      </c>
      <c r="J752" s="14">
        <v>9999999.9900000002</v>
      </c>
      <c r="K752" s="14" t="s">
        <v>228</v>
      </c>
      <c r="P752" s="14" t="s">
        <v>260</v>
      </c>
      <c r="Q752" s="14" t="s">
        <v>260</v>
      </c>
      <c r="R752" s="14" t="s">
        <v>229</v>
      </c>
    </row>
    <row r="753" spans="1:18" s="14" customFormat="1" x14ac:dyDescent="0.25">
      <c r="A753" s="14" t="str">
        <f>"83756"</f>
        <v>83756</v>
      </c>
      <c r="B753" s="14" t="str">
        <f>"07010"</f>
        <v>07010</v>
      </c>
      <c r="C753" s="14" t="str">
        <f>"1800"</f>
        <v>1800</v>
      </c>
      <c r="D753" s="14" t="str">
        <f>""</f>
        <v/>
      </c>
      <c r="E753" s="14" t="s">
        <v>1462</v>
      </c>
      <c r="F753" s="14" t="s">
        <v>1002</v>
      </c>
      <c r="G753" s="14" t="str">
        <f>""</f>
        <v/>
      </c>
      <c r="H753" s="14" t="str">
        <f>" 00"</f>
        <v xml:space="preserve"> 00</v>
      </c>
      <c r="I753" s="14">
        <v>0.01</v>
      </c>
      <c r="J753" s="14">
        <v>9999999.9900000002</v>
      </c>
      <c r="K753" s="14" t="s">
        <v>228</v>
      </c>
      <c r="P753" s="14" t="s">
        <v>260</v>
      </c>
      <c r="Q753" s="14" t="s">
        <v>260</v>
      </c>
      <c r="R753" s="14" t="s">
        <v>229</v>
      </c>
    </row>
    <row r="754" spans="1:18" s="14" customFormat="1" x14ac:dyDescent="0.25">
      <c r="A754" s="14" t="str">
        <f>"83757"</f>
        <v>83757</v>
      </c>
      <c r="B754" s="14" t="str">
        <f>"07010"</f>
        <v>07010</v>
      </c>
      <c r="C754" s="14" t="str">
        <f>"1800"</f>
        <v>1800</v>
      </c>
      <c r="D754" s="14" t="str">
        <f>""</f>
        <v/>
      </c>
      <c r="E754" s="14" t="s">
        <v>1463</v>
      </c>
      <c r="F754" s="14" t="s">
        <v>1002</v>
      </c>
      <c r="G754" s="14" t="str">
        <f>""</f>
        <v/>
      </c>
      <c r="H754" s="14" t="str">
        <f>" 00"</f>
        <v xml:space="preserve"> 00</v>
      </c>
      <c r="I754" s="14">
        <v>0.01</v>
      </c>
      <c r="J754" s="14">
        <v>9999999.9900000002</v>
      </c>
      <c r="K754" s="14" t="s">
        <v>228</v>
      </c>
      <c r="P754" s="14" t="s">
        <v>260</v>
      </c>
      <c r="Q754" s="14" t="s">
        <v>260</v>
      </c>
      <c r="R754" s="14" t="s">
        <v>229</v>
      </c>
    </row>
    <row r="755" spans="1:18" s="14" customFormat="1" x14ac:dyDescent="0.25">
      <c r="A755" s="14" t="str">
        <f>"83758"</f>
        <v>83758</v>
      </c>
      <c r="B755" s="14" t="str">
        <f>"07010"</f>
        <v>07010</v>
      </c>
      <c r="C755" s="14" t="str">
        <f>"1800"</f>
        <v>1800</v>
      </c>
      <c r="D755" s="14" t="str">
        <f>""</f>
        <v/>
      </c>
      <c r="E755" s="14" t="s">
        <v>1464</v>
      </c>
      <c r="F755" s="14" t="s">
        <v>1002</v>
      </c>
      <c r="G755" s="14" t="str">
        <f>""</f>
        <v/>
      </c>
      <c r="H755" s="14" t="str">
        <f>" 00"</f>
        <v xml:space="preserve"> 00</v>
      </c>
      <c r="I755" s="14">
        <v>0.01</v>
      </c>
      <c r="J755" s="14">
        <v>9999999.9900000002</v>
      </c>
      <c r="K755" s="14" t="s">
        <v>228</v>
      </c>
      <c r="P755" s="14" t="s">
        <v>260</v>
      </c>
      <c r="Q755" s="14" t="s">
        <v>260</v>
      </c>
      <c r="R755" s="14" t="s">
        <v>229</v>
      </c>
    </row>
    <row r="756" spans="1:18" s="14" customFormat="1" x14ac:dyDescent="0.25">
      <c r="A756" s="14" t="str">
        <f>"83759"</f>
        <v>83759</v>
      </c>
      <c r="B756" s="14" t="str">
        <f>"07010"</f>
        <v>07010</v>
      </c>
      <c r="C756" s="14" t="str">
        <f>"1800"</f>
        <v>1800</v>
      </c>
      <c r="D756" s="14" t="str">
        <f>""</f>
        <v/>
      </c>
      <c r="E756" s="14" t="s">
        <v>1465</v>
      </c>
      <c r="F756" s="14" t="s">
        <v>1002</v>
      </c>
      <c r="G756" s="14" t="str">
        <f>""</f>
        <v/>
      </c>
      <c r="H756" s="14" t="str">
        <f>" 00"</f>
        <v xml:space="preserve"> 00</v>
      </c>
      <c r="I756" s="14">
        <v>0.01</v>
      </c>
      <c r="J756" s="14">
        <v>9999999.9900000002</v>
      </c>
      <c r="K756" s="14" t="s">
        <v>228</v>
      </c>
      <c r="P756" s="14" t="s">
        <v>260</v>
      </c>
      <c r="Q756" s="14" t="s">
        <v>260</v>
      </c>
      <c r="R756" s="14" t="s">
        <v>229</v>
      </c>
    </row>
    <row r="757" spans="1:18" s="14" customFormat="1" x14ac:dyDescent="0.25">
      <c r="A757" s="14" t="str">
        <f>"83760"</f>
        <v>83760</v>
      </c>
      <c r="B757" s="14" t="str">
        <f>"07010"</f>
        <v>07010</v>
      </c>
      <c r="C757" s="14" t="str">
        <f>"1800"</f>
        <v>1800</v>
      </c>
      <c r="D757" s="14" t="str">
        <f>""</f>
        <v/>
      </c>
      <c r="E757" s="14" t="s">
        <v>1466</v>
      </c>
      <c r="F757" s="14" t="s">
        <v>1002</v>
      </c>
      <c r="G757" s="14" t="str">
        <f>""</f>
        <v/>
      </c>
      <c r="H757" s="14" t="str">
        <f>" 00"</f>
        <v xml:space="preserve"> 00</v>
      </c>
      <c r="I757" s="14">
        <v>0.01</v>
      </c>
      <c r="J757" s="14">
        <v>9999999.9900000002</v>
      </c>
      <c r="K757" s="14" t="s">
        <v>228</v>
      </c>
      <c r="P757" s="14" t="s">
        <v>260</v>
      </c>
      <c r="Q757" s="14" t="s">
        <v>260</v>
      </c>
      <c r="R757" s="14" t="s">
        <v>229</v>
      </c>
    </row>
    <row r="758" spans="1:18" s="14" customFormat="1" x14ac:dyDescent="0.25">
      <c r="A758" s="14" t="str">
        <f>"83761"</f>
        <v>83761</v>
      </c>
      <c r="B758" s="14" t="str">
        <f>"07010"</f>
        <v>07010</v>
      </c>
      <c r="C758" s="14" t="str">
        <f>"1800"</f>
        <v>1800</v>
      </c>
      <c r="D758" s="14" t="str">
        <f>""</f>
        <v/>
      </c>
      <c r="E758" s="14" t="s">
        <v>1467</v>
      </c>
      <c r="F758" s="14" t="s">
        <v>1002</v>
      </c>
      <c r="G758" s="14" t="str">
        <f>""</f>
        <v/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228</v>
      </c>
      <c r="P758" s="14" t="s">
        <v>260</v>
      </c>
      <c r="Q758" s="14" t="s">
        <v>260</v>
      </c>
      <c r="R758" s="14" t="s">
        <v>229</v>
      </c>
    </row>
    <row r="759" spans="1:18" s="14" customFormat="1" x14ac:dyDescent="0.25">
      <c r="A759" s="14" t="str">
        <f>"83762"</f>
        <v>83762</v>
      </c>
      <c r="B759" s="14" t="str">
        <f>"07010"</f>
        <v>07010</v>
      </c>
      <c r="C759" s="14" t="str">
        <f>"1800"</f>
        <v>1800</v>
      </c>
      <c r="D759" s="14" t="str">
        <f>""</f>
        <v/>
      </c>
      <c r="E759" s="14" t="s">
        <v>1468</v>
      </c>
      <c r="F759" s="14" t="s">
        <v>1002</v>
      </c>
      <c r="G759" s="14" t="str">
        <f>""</f>
        <v/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228</v>
      </c>
      <c r="P759" s="14" t="s">
        <v>260</v>
      </c>
      <c r="Q759" s="14" t="s">
        <v>260</v>
      </c>
      <c r="R759" s="14" t="s">
        <v>229</v>
      </c>
    </row>
    <row r="760" spans="1:18" s="14" customFormat="1" x14ac:dyDescent="0.25">
      <c r="A760" s="14" t="str">
        <f>"83763"</f>
        <v>83763</v>
      </c>
      <c r="B760" s="14" t="str">
        <f>"07010"</f>
        <v>07010</v>
      </c>
      <c r="C760" s="14" t="str">
        <f>"1800"</f>
        <v>1800</v>
      </c>
      <c r="D760" s="14" t="str">
        <f>""</f>
        <v/>
      </c>
      <c r="E760" s="14" t="s">
        <v>1469</v>
      </c>
      <c r="F760" s="14" t="s">
        <v>1002</v>
      </c>
      <c r="G760" s="14" t="str">
        <f>""</f>
        <v/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228</v>
      </c>
      <c r="P760" s="14" t="s">
        <v>260</v>
      </c>
      <c r="Q760" s="14" t="s">
        <v>260</v>
      </c>
      <c r="R760" s="14" t="s">
        <v>229</v>
      </c>
    </row>
    <row r="761" spans="1:18" s="14" customFormat="1" x14ac:dyDescent="0.25">
      <c r="A761" s="14" t="str">
        <f>"83764"</f>
        <v>83764</v>
      </c>
      <c r="B761" s="14" t="str">
        <f>"07010"</f>
        <v>07010</v>
      </c>
      <c r="C761" s="14" t="str">
        <f>"1800"</f>
        <v>1800</v>
      </c>
      <c r="D761" s="14" t="str">
        <f>""</f>
        <v/>
      </c>
      <c r="E761" s="14" t="s">
        <v>1470</v>
      </c>
      <c r="F761" s="14" t="s">
        <v>1002</v>
      </c>
      <c r="G761" s="14" t="str">
        <f>""</f>
        <v/>
      </c>
      <c r="H761" s="14" t="str">
        <f>" 00"</f>
        <v xml:space="preserve"> 00</v>
      </c>
      <c r="I761" s="14">
        <v>0.01</v>
      </c>
      <c r="J761" s="14">
        <v>9999999.9900000002</v>
      </c>
      <c r="K761" s="14" t="s">
        <v>228</v>
      </c>
      <c r="P761" s="14" t="s">
        <v>260</v>
      </c>
      <c r="Q761" s="14" t="s">
        <v>260</v>
      </c>
      <c r="R761" s="14" t="s">
        <v>229</v>
      </c>
    </row>
    <row r="762" spans="1:18" s="14" customFormat="1" x14ac:dyDescent="0.25">
      <c r="A762" s="14" t="str">
        <f>"83765"</f>
        <v>83765</v>
      </c>
      <c r="B762" s="14" t="str">
        <f>"07010"</f>
        <v>07010</v>
      </c>
      <c r="C762" s="14" t="str">
        <f>"1800"</f>
        <v>1800</v>
      </c>
      <c r="D762" s="14" t="str">
        <f>""</f>
        <v/>
      </c>
      <c r="E762" s="14" t="s">
        <v>1471</v>
      </c>
      <c r="F762" s="14" t="s">
        <v>1002</v>
      </c>
      <c r="G762" s="14" t="str">
        <f>""</f>
        <v/>
      </c>
      <c r="H762" s="14" t="str">
        <f>" 00"</f>
        <v xml:space="preserve"> 00</v>
      </c>
      <c r="I762" s="14">
        <v>0.01</v>
      </c>
      <c r="J762" s="14">
        <v>9999999.9900000002</v>
      </c>
      <c r="K762" s="14" t="s">
        <v>228</v>
      </c>
      <c r="P762" s="14" t="s">
        <v>260</v>
      </c>
      <c r="Q762" s="14" t="s">
        <v>260</v>
      </c>
      <c r="R762" s="14" t="s">
        <v>229</v>
      </c>
    </row>
    <row r="763" spans="1:18" s="14" customFormat="1" x14ac:dyDescent="0.25">
      <c r="A763" s="14" t="str">
        <f>"83766"</f>
        <v>83766</v>
      </c>
      <c r="B763" s="14" t="str">
        <f>"07010"</f>
        <v>07010</v>
      </c>
      <c r="C763" s="14" t="str">
        <f>"1800"</f>
        <v>1800</v>
      </c>
      <c r="D763" s="14" t="str">
        <f>""</f>
        <v/>
      </c>
      <c r="E763" s="14" t="s">
        <v>1472</v>
      </c>
      <c r="F763" s="14" t="s">
        <v>1002</v>
      </c>
      <c r="G763" s="14" t="str">
        <f>""</f>
        <v/>
      </c>
      <c r="H763" s="14" t="str">
        <f>" 00"</f>
        <v xml:space="preserve"> 00</v>
      </c>
      <c r="I763" s="14">
        <v>0.01</v>
      </c>
      <c r="J763" s="14">
        <v>9999999.9900000002</v>
      </c>
      <c r="K763" s="14" t="s">
        <v>228</v>
      </c>
      <c r="P763" s="14" t="s">
        <v>260</v>
      </c>
      <c r="Q763" s="14" t="s">
        <v>260</v>
      </c>
      <c r="R763" s="14" t="s">
        <v>229</v>
      </c>
    </row>
    <row r="764" spans="1:18" s="14" customFormat="1" x14ac:dyDescent="0.25">
      <c r="A764" s="14" t="str">
        <f>"83767"</f>
        <v>83767</v>
      </c>
      <c r="B764" s="14" t="str">
        <f>"07010"</f>
        <v>07010</v>
      </c>
      <c r="C764" s="14" t="str">
        <f>"1800"</f>
        <v>1800</v>
      </c>
      <c r="D764" s="14" t="str">
        <f>""</f>
        <v/>
      </c>
      <c r="E764" s="14" t="s">
        <v>1473</v>
      </c>
      <c r="F764" s="14" t="s">
        <v>1002</v>
      </c>
      <c r="G764" s="14" t="str">
        <f>""</f>
        <v/>
      </c>
      <c r="H764" s="14" t="str">
        <f>" 00"</f>
        <v xml:space="preserve"> 00</v>
      </c>
      <c r="I764" s="14">
        <v>0.01</v>
      </c>
      <c r="J764" s="14">
        <v>9999999.9900000002</v>
      </c>
      <c r="K764" s="14" t="s">
        <v>228</v>
      </c>
      <c r="P764" s="14" t="s">
        <v>260</v>
      </c>
      <c r="Q764" s="14" t="s">
        <v>260</v>
      </c>
      <c r="R764" s="14" t="s">
        <v>229</v>
      </c>
    </row>
    <row r="765" spans="1:18" s="14" customFormat="1" x14ac:dyDescent="0.25">
      <c r="A765" s="14" t="str">
        <f>"83768"</f>
        <v>83768</v>
      </c>
      <c r="B765" s="14" t="str">
        <f>"07010"</f>
        <v>07010</v>
      </c>
      <c r="C765" s="14" t="str">
        <f>"1800"</f>
        <v>1800</v>
      </c>
      <c r="D765" s="14" t="str">
        <f>""</f>
        <v/>
      </c>
      <c r="E765" s="14" t="s">
        <v>1474</v>
      </c>
      <c r="F765" s="14" t="s">
        <v>1002</v>
      </c>
      <c r="G765" s="14" t="str">
        <f>""</f>
        <v/>
      </c>
      <c r="H765" s="14" t="str">
        <f>" 00"</f>
        <v xml:space="preserve"> 00</v>
      </c>
      <c r="I765" s="14">
        <v>0.01</v>
      </c>
      <c r="J765" s="14">
        <v>9999999.9900000002</v>
      </c>
      <c r="K765" s="14" t="s">
        <v>228</v>
      </c>
      <c r="P765" s="14" t="s">
        <v>260</v>
      </c>
      <c r="Q765" s="14" t="s">
        <v>260</v>
      </c>
      <c r="R765" s="14" t="s">
        <v>229</v>
      </c>
    </row>
    <row r="766" spans="1:18" s="14" customFormat="1" x14ac:dyDescent="0.25">
      <c r="A766" s="14" t="str">
        <f>"83769"</f>
        <v>83769</v>
      </c>
      <c r="B766" s="14" t="str">
        <f>"07010"</f>
        <v>07010</v>
      </c>
      <c r="C766" s="14" t="str">
        <f>"1800"</f>
        <v>1800</v>
      </c>
      <c r="D766" s="14" t="str">
        <f>""</f>
        <v/>
      </c>
      <c r="E766" s="14" t="s">
        <v>1475</v>
      </c>
      <c r="F766" s="14" t="s">
        <v>1002</v>
      </c>
      <c r="G766" s="14" t="str">
        <f>""</f>
        <v/>
      </c>
      <c r="H766" s="14" t="str">
        <f>" 00"</f>
        <v xml:space="preserve"> 00</v>
      </c>
      <c r="I766" s="14">
        <v>0.01</v>
      </c>
      <c r="J766" s="14">
        <v>9999999.9900000002</v>
      </c>
      <c r="K766" s="14" t="s">
        <v>228</v>
      </c>
      <c r="P766" s="14" t="s">
        <v>260</v>
      </c>
      <c r="Q766" s="14" t="s">
        <v>260</v>
      </c>
      <c r="R766" s="14" t="s">
        <v>229</v>
      </c>
    </row>
    <row r="767" spans="1:18" s="14" customFormat="1" x14ac:dyDescent="0.25">
      <c r="A767" s="14" t="str">
        <f>"83770"</f>
        <v>83770</v>
      </c>
      <c r="B767" s="14" t="str">
        <f>"07010"</f>
        <v>07010</v>
      </c>
      <c r="C767" s="14" t="str">
        <f>"1800"</f>
        <v>1800</v>
      </c>
      <c r="D767" s="14" t="str">
        <f>""</f>
        <v/>
      </c>
      <c r="E767" s="14" t="s">
        <v>1476</v>
      </c>
      <c r="F767" s="14" t="s">
        <v>1002</v>
      </c>
      <c r="G767" s="14" t="str">
        <f>""</f>
        <v/>
      </c>
      <c r="H767" s="14" t="str">
        <f>" 00"</f>
        <v xml:space="preserve"> 00</v>
      </c>
      <c r="I767" s="14">
        <v>0.01</v>
      </c>
      <c r="J767" s="14">
        <v>9999999.9900000002</v>
      </c>
      <c r="K767" s="14" t="s">
        <v>228</v>
      </c>
      <c r="P767" s="14" t="s">
        <v>260</v>
      </c>
      <c r="Q767" s="14" t="s">
        <v>260</v>
      </c>
      <c r="R767" s="14" t="s">
        <v>229</v>
      </c>
    </row>
    <row r="768" spans="1:18" s="14" customFormat="1" x14ac:dyDescent="0.25">
      <c r="A768" s="14" t="str">
        <f>"83771"</f>
        <v>83771</v>
      </c>
      <c r="B768" s="14" t="str">
        <f>"07010"</f>
        <v>07010</v>
      </c>
      <c r="C768" s="14" t="str">
        <f>"1800"</f>
        <v>1800</v>
      </c>
      <c r="D768" s="14" t="str">
        <f>""</f>
        <v/>
      </c>
      <c r="E768" s="14" t="s">
        <v>1477</v>
      </c>
      <c r="F768" s="14" t="s">
        <v>1002</v>
      </c>
      <c r="G768" s="14" t="str">
        <f>""</f>
        <v/>
      </c>
      <c r="H768" s="14" t="str">
        <f>" 00"</f>
        <v xml:space="preserve"> 00</v>
      </c>
      <c r="I768" s="14">
        <v>0.01</v>
      </c>
      <c r="J768" s="14">
        <v>9999999.9900000002</v>
      </c>
      <c r="K768" s="14" t="s">
        <v>228</v>
      </c>
      <c r="P768" s="14" t="s">
        <v>260</v>
      </c>
      <c r="Q768" s="14" t="s">
        <v>260</v>
      </c>
      <c r="R768" s="14" t="s">
        <v>229</v>
      </c>
    </row>
    <row r="769" spans="1:18" s="14" customFormat="1" x14ac:dyDescent="0.25">
      <c r="A769" s="14" t="str">
        <f>"83772"</f>
        <v>83772</v>
      </c>
      <c r="B769" s="14" t="str">
        <f>"07010"</f>
        <v>07010</v>
      </c>
      <c r="C769" s="14" t="str">
        <f>"1800"</f>
        <v>1800</v>
      </c>
      <c r="D769" s="14" t="str">
        <f>""</f>
        <v/>
      </c>
      <c r="E769" s="14" t="s">
        <v>1478</v>
      </c>
      <c r="F769" s="14" t="s">
        <v>1002</v>
      </c>
      <c r="G769" s="14" t="str">
        <f>""</f>
        <v/>
      </c>
      <c r="H769" s="14" t="str">
        <f>" 00"</f>
        <v xml:space="preserve"> 00</v>
      </c>
      <c r="I769" s="14">
        <v>0.01</v>
      </c>
      <c r="J769" s="14">
        <v>9999999.9900000002</v>
      </c>
      <c r="K769" s="14" t="s">
        <v>228</v>
      </c>
      <c r="P769" s="14" t="s">
        <v>260</v>
      </c>
      <c r="Q769" s="14" t="s">
        <v>260</v>
      </c>
      <c r="R769" s="14" t="s">
        <v>229</v>
      </c>
    </row>
    <row r="770" spans="1:18" s="14" customFormat="1" x14ac:dyDescent="0.25">
      <c r="A770" s="14" t="str">
        <f>"83773"</f>
        <v>83773</v>
      </c>
      <c r="B770" s="14" t="str">
        <f>"07010"</f>
        <v>07010</v>
      </c>
      <c r="C770" s="14" t="str">
        <f>"1800"</f>
        <v>1800</v>
      </c>
      <c r="D770" s="14" t="str">
        <f>""</f>
        <v/>
      </c>
      <c r="E770" s="14" t="s">
        <v>1479</v>
      </c>
      <c r="F770" s="14" t="s">
        <v>1002</v>
      </c>
      <c r="G770" s="14" t="str">
        <f>""</f>
        <v/>
      </c>
      <c r="H770" s="14" t="str">
        <f>" 00"</f>
        <v xml:space="preserve"> 00</v>
      </c>
      <c r="I770" s="14">
        <v>0.01</v>
      </c>
      <c r="J770" s="14">
        <v>9999999.9900000002</v>
      </c>
      <c r="K770" s="14" t="s">
        <v>228</v>
      </c>
      <c r="P770" s="14" t="s">
        <v>260</v>
      </c>
      <c r="Q770" s="14" t="s">
        <v>260</v>
      </c>
      <c r="R770" s="14" t="s">
        <v>229</v>
      </c>
    </row>
    <row r="771" spans="1:18" s="14" customFormat="1" x14ac:dyDescent="0.25">
      <c r="A771" s="14" t="str">
        <f>"83774"</f>
        <v>83774</v>
      </c>
      <c r="B771" s="14" t="str">
        <f>"07010"</f>
        <v>07010</v>
      </c>
      <c r="C771" s="14" t="str">
        <f>"1800"</f>
        <v>1800</v>
      </c>
      <c r="D771" s="14" t="str">
        <f>""</f>
        <v/>
      </c>
      <c r="E771" s="14" t="s">
        <v>1480</v>
      </c>
      <c r="F771" s="14" t="s">
        <v>1002</v>
      </c>
      <c r="G771" s="14" t="str">
        <f>""</f>
        <v/>
      </c>
      <c r="H771" s="14" t="str">
        <f>" 00"</f>
        <v xml:space="preserve"> 00</v>
      </c>
      <c r="I771" s="14">
        <v>0.01</v>
      </c>
      <c r="J771" s="14">
        <v>9999999.9900000002</v>
      </c>
      <c r="K771" s="14" t="s">
        <v>228</v>
      </c>
      <c r="P771" s="14" t="s">
        <v>260</v>
      </c>
      <c r="Q771" s="14" t="s">
        <v>260</v>
      </c>
      <c r="R771" s="14" t="s">
        <v>229</v>
      </c>
    </row>
    <row r="772" spans="1:18" s="14" customFormat="1" x14ac:dyDescent="0.25">
      <c r="A772" s="14" t="str">
        <f>"83775"</f>
        <v>83775</v>
      </c>
      <c r="B772" s="14" t="str">
        <f>"07010"</f>
        <v>07010</v>
      </c>
      <c r="C772" s="14" t="str">
        <f>"1800"</f>
        <v>1800</v>
      </c>
      <c r="D772" s="14" t="str">
        <f>""</f>
        <v/>
      </c>
      <c r="E772" s="14" t="s">
        <v>1481</v>
      </c>
      <c r="F772" s="14" t="s">
        <v>1002</v>
      </c>
      <c r="G772" s="14" t="str">
        <f>""</f>
        <v/>
      </c>
      <c r="H772" s="14" t="str">
        <f>" 00"</f>
        <v xml:space="preserve"> 00</v>
      </c>
      <c r="I772" s="14">
        <v>0.01</v>
      </c>
      <c r="J772" s="14">
        <v>9999999.9900000002</v>
      </c>
      <c r="K772" s="14" t="s">
        <v>228</v>
      </c>
      <c r="P772" s="14" t="s">
        <v>260</v>
      </c>
      <c r="Q772" s="14" t="s">
        <v>260</v>
      </c>
      <c r="R772" s="14" t="s">
        <v>229</v>
      </c>
    </row>
    <row r="773" spans="1:18" s="14" customFormat="1" x14ac:dyDescent="0.25">
      <c r="A773" s="14" t="str">
        <f>"83776"</f>
        <v>83776</v>
      </c>
      <c r="B773" s="14" t="str">
        <f>"07010"</f>
        <v>07010</v>
      </c>
      <c r="C773" s="14" t="str">
        <f>"1800"</f>
        <v>1800</v>
      </c>
      <c r="D773" s="14" t="str">
        <f>""</f>
        <v/>
      </c>
      <c r="E773" s="14" t="s">
        <v>1482</v>
      </c>
      <c r="F773" s="14" t="s">
        <v>1002</v>
      </c>
      <c r="G773" s="14" t="str">
        <f>""</f>
        <v/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228</v>
      </c>
      <c r="P773" s="14" t="s">
        <v>260</v>
      </c>
      <c r="Q773" s="14" t="s">
        <v>260</v>
      </c>
      <c r="R773" s="14" t="s">
        <v>229</v>
      </c>
    </row>
    <row r="774" spans="1:18" s="14" customFormat="1" x14ac:dyDescent="0.25">
      <c r="A774" s="14" t="str">
        <f>"83777"</f>
        <v>83777</v>
      </c>
      <c r="B774" s="14" t="str">
        <f>"07010"</f>
        <v>07010</v>
      </c>
      <c r="C774" s="14" t="str">
        <f>"1800"</f>
        <v>1800</v>
      </c>
      <c r="D774" s="14" t="str">
        <f>""</f>
        <v/>
      </c>
      <c r="E774" s="14" t="s">
        <v>1483</v>
      </c>
      <c r="F774" s="14" t="s">
        <v>1002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228</v>
      </c>
      <c r="P774" s="14" t="s">
        <v>260</v>
      </c>
      <c r="Q774" s="14" t="s">
        <v>260</v>
      </c>
      <c r="R774" s="14" t="s">
        <v>229</v>
      </c>
    </row>
    <row r="775" spans="1:18" s="14" customFormat="1" x14ac:dyDescent="0.25">
      <c r="A775" s="14" t="str">
        <f>"83778"</f>
        <v>83778</v>
      </c>
      <c r="B775" s="14" t="str">
        <f>"07010"</f>
        <v>07010</v>
      </c>
      <c r="C775" s="14" t="str">
        <f>"1800"</f>
        <v>1800</v>
      </c>
      <c r="D775" s="14" t="str">
        <f>""</f>
        <v/>
      </c>
      <c r="E775" s="14" t="s">
        <v>1484</v>
      </c>
      <c r="F775" s="14" t="s">
        <v>1002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228</v>
      </c>
      <c r="P775" s="14" t="s">
        <v>260</v>
      </c>
      <c r="Q775" s="14" t="s">
        <v>260</v>
      </c>
      <c r="R775" s="14" t="s">
        <v>229</v>
      </c>
    </row>
    <row r="776" spans="1:18" s="14" customFormat="1" x14ac:dyDescent="0.25">
      <c r="A776" s="14" t="str">
        <f>"83779"</f>
        <v>83779</v>
      </c>
      <c r="B776" s="14" t="str">
        <f>"07010"</f>
        <v>07010</v>
      </c>
      <c r="C776" s="14" t="str">
        <f>"1800"</f>
        <v>1800</v>
      </c>
      <c r="D776" s="14" t="str">
        <f>""</f>
        <v/>
      </c>
      <c r="E776" s="14" t="s">
        <v>1485</v>
      </c>
      <c r="F776" s="14" t="s">
        <v>1002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228</v>
      </c>
      <c r="P776" s="14" t="s">
        <v>260</v>
      </c>
      <c r="Q776" s="14" t="s">
        <v>260</v>
      </c>
      <c r="R776" s="14" t="s">
        <v>229</v>
      </c>
    </row>
    <row r="777" spans="1:18" s="14" customFormat="1" x14ac:dyDescent="0.25">
      <c r="A777" s="14" t="str">
        <f>"83780"</f>
        <v>83780</v>
      </c>
      <c r="B777" s="14" t="str">
        <f>"07010"</f>
        <v>07010</v>
      </c>
      <c r="C777" s="14" t="str">
        <f>"1800"</f>
        <v>1800</v>
      </c>
      <c r="D777" s="14" t="str">
        <f>""</f>
        <v/>
      </c>
      <c r="E777" s="14" t="s">
        <v>1486</v>
      </c>
      <c r="F777" s="14" t="s">
        <v>1002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228</v>
      </c>
      <c r="P777" s="14" t="s">
        <v>260</v>
      </c>
      <c r="Q777" s="14" t="s">
        <v>260</v>
      </c>
      <c r="R777" s="14" t="s">
        <v>229</v>
      </c>
    </row>
    <row r="778" spans="1:18" s="14" customFormat="1" x14ac:dyDescent="0.25">
      <c r="A778" s="14" t="str">
        <f>"83781"</f>
        <v>83781</v>
      </c>
      <c r="B778" s="14" t="str">
        <f>"07010"</f>
        <v>07010</v>
      </c>
      <c r="C778" s="14" t="str">
        <f>"1800"</f>
        <v>1800</v>
      </c>
      <c r="D778" s="14" t="str">
        <f>""</f>
        <v/>
      </c>
      <c r="E778" s="14" t="s">
        <v>1487</v>
      </c>
      <c r="F778" s="14" t="s">
        <v>1002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228</v>
      </c>
      <c r="P778" s="14" t="s">
        <v>260</v>
      </c>
      <c r="Q778" s="14" t="s">
        <v>260</v>
      </c>
      <c r="R778" s="14" t="s">
        <v>229</v>
      </c>
    </row>
    <row r="779" spans="1:18" s="14" customFormat="1" x14ac:dyDescent="0.25">
      <c r="A779" s="14" t="str">
        <f>"83782"</f>
        <v>83782</v>
      </c>
      <c r="B779" s="14" t="str">
        <f>"07010"</f>
        <v>07010</v>
      </c>
      <c r="C779" s="14" t="str">
        <f>"1800"</f>
        <v>1800</v>
      </c>
      <c r="D779" s="14" t="str">
        <f>""</f>
        <v/>
      </c>
      <c r="E779" s="14" t="s">
        <v>1488</v>
      </c>
      <c r="F779" s="14" t="s">
        <v>1002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228</v>
      </c>
      <c r="P779" s="14" t="s">
        <v>260</v>
      </c>
      <c r="Q779" s="14" t="s">
        <v>260</v>
      </c>
      <c r="R779" s="14" t="s">
        <v>229</v>
      </c>
    </row>
    <row r="780" spans="1:18" s="14" customFormat="1" x14ac:dyDescent="0.25">
      <c r="A780" s="14" t="str">
        <f>"83783"</f>
        <v>83783</v>
      </c>
      <c r="B780" s="14" t="str">
        <f>"07010"</f>
        <v>07010</v>
      </c>
      <c r="C780" s="14" t="str">
        <f>"1800"</f>
        <v>1800</v>
      </c>
      <c r="D780" s="14" t="str">
        <f>""</f>
        <v/>
      </c>
      <c r="E780" s="14" t="s">
        <v>1489</v>
      </c>
      <c r="F780" s="14" t="s">
        <v>1002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228</v>
      </c>
      <c r="P780" s="14" t="s">
        <v>260</v>
      </c>
      <c r="Q780" s="14" t="s">
        <v>260</v>
      </c>
      <c r="R780" s="14" t="s">
        <v>229</v>
      </c>
    </row>
    <row r="781" spans="1:18" s="14" customFormat="1" x14ac:dyDescent="0.25">
      <c r="A781" s="14" t="str">
        <f>"83784"</f>
        <v>83784</v>
      </c>
      <c r="B781" s="14" t="str">
        <f>"07010"</f>
        <v>07010</v>
      </c>
      <c r="C781" s="14" t="str">
        <f>"1800"</f>
        <v>1800</v>
      </c>
      <c r="D781" s="14" t="str">
        <f>""</f>
        <v/>
      </c>
      <c r="E781" s="14" t="s">
        <v>1490</v>
      </c>
      <c r="F781" s="14" t="s">
        <v>1002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228</v>
      </c>
      <c r="P781" s="14" t="s">
        <v>260</v>
      </c>
      <c r="Q781" s="14" t="s">
        <v>260</v>
      </c>
      <c r="R781" s="14" t="s">
        <v>229</v>
      </c>
    </row>
    <row r="782" spans="1:18" s="14" customFormat="1" x14ac:dyDescent="0.25">
      <c r="A782" s="14" t="str">
        <f>"83785"</f>
        <v>83785</v>
      </c>
      <c r="B782" s="14" t="str">
        <f>"07010"</f>
        <v>07010</v>
      </c>
      <c r="C782" s="14" t="str">
        <f>"1800"</f>
        <v>1800</v>
      </c>
      <c r="D782" s="14" t="str">
        <f>""</f>
        <v/>
      </c>
      <c r="E782" s="14" t="s">
        <v>1491</v>
      </c>
      <c r="F782" s="14" t="s">
        <v>1002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228</v>
      </c>
      <c r="P782" s="14" t="s">
        <v>260</v>
      </c>
      <c r="Q782" s="14" t="s">
        <v>260</v>
      </c>
      <c r="R782" s="14" t="s">
        <v>229</v>
      </c>
    </row>
    <row r="783" spans="1:18" s="14" customFormat="1" x14ac:dyDescent="0.25">
      <c r="A783" s="14" t="str">
        <f>"83786"</f>
        <v>83786</v>
      </c>
      <c r="B783" s="14" t="str">
        <f>"07010"</f>
        <v>07010</v>
      </c>
      <c r="C783" s="14" t="str">
        <f>"1800"</f>
        <v>1800</v>
      </c>
      <c r="D783" s="14" t="str">
        <f>""</f>
        <v/>
      </c>
      <c r="E783" s="14" t="s">
        <v>1492</v>
      </c>
      <c r="F783" s="14" t="s">
        <v>1002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228</v>
      </c>
      <c r="P783" s="14" t="s">
        <v>260</v>
      </c>
      <c r="Q783" s="14" t="s">
        <v>260</v>
      </c>
      <c r="R783" s="14" t="s">
        <v>229</v>
      </c>
    </row>
    <row r="784" spans="1:18" s="14" customFormat="1" x14ac:dyDescent="0.25">
      <c r="A784" s="14" t="str">
        <f>"83787"</f>
        <v>83787</v>
      </c>
      <c r="B784" s="14" t="str">
        <f>"07010"</f>
        <v>07010</v>
      </c>
      <c r="C784" s="14" t="str">
        <f>"1800"</f>
        <v>1800</v>
      </c>
      <c r="D784" s="14" t="str">
        <f>""</f>
        <v/>
      </c>
      <c r="E784" s="14" t="s">
        <v>1493</v>
      </c>
      <c r="F784" s="14" t="s">
        <v>1002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228</v>
      </c>
      <c r="P784" s="14" t="s">
        <v>260</v>
      </c>
      <c r="Q784" s="14" t="s">
        <v>260</v>
      </c>
      <c r="R784" s="14" t="s">
        <v>229</v>
      </c>
    </row>
    <row r="785" spans="1:18" s="14" customFormat="1" x14ac:dyDescent="0.25">
      <c r="A785" s="14" t="str">
        <f>"83788"</f>
        <v>83788</v>
      </c>
      <c r="B785" s="14" t="str">
        <f>"07010"</f>
        <v>07010</v>
      </c>
      <c r="C785" s="14" t="str">
        <f>"1800"</f>
        <v>1800</v>
      </c>
      <c r="D785" s="14" t="str">
        <f>""</f>
        <v/>
      </c>
      <c r="E785" s="14" t="s">
        <v>1494</v>
      </c>
      <c r="F785" s="14" t="s">
        <v>1002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228</v>
      </c>
      <c r="P785" s="14" t="s">
        <v>260</v>
      </c>
      <c r="Q785" s="14" t="s">
        <v>260</v>
      </c>
      <c r="R785" s="14" t="s">
        <v>229</v>
      </c>
    </row>
    <row r="786" spans="1:18" s="14" customFormat="1" x14ac:dyDescent="0.25">
      <c r="A786" s="14" t="str">
        <f>"83789"</f>
        <v>83789</v>
      </c>
      <c r="B786" s="14" t="str">
        <f>"07010"</f>
        <v>07010</v>
      </c>
      <c r="C786" s="14" t="str">
        <f>"1800"</f>
        <v>1800</v>
      </c>
      <c r="D786" s="14" t="str">
        <f>""</f>
        <v/>
      </c>
      <c r="E786" s="14" t="s">
        <v>1495</v>
      </c>
      <c r="F786" s="14" t="s">
        <v>1002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228</v>
      </c>
      <c r="P786" s="14" t="s">
        <v>260</v>
      </c>
      <c r="Q786" s="14" t="s">
        <v>260</v>
      </c>
      <c r="R786" s="14" t="s">
        <v>229</v>
      </c>
    </row>
    <row r="787" spans="1:18" s="14" customFormat="1" x14ac:dyDescent="0.25">
      <c r="A787" s="14" t="str">
        <f>"83790"</f>
        <v>83790</v>
      </c>
      <c r="B787" s="14" t="str">
        <f>"07010"</f>
        <v>07010</v>
      </c>
      <c r="C787" s="14" t="str">
        <f>"1800"</f>
        <v>1800</v>
      </c>
      <c r="D787" s="14" t="str">
        <f>""</f>
        <v/>
      </c>
      <c r="E787" s="14" t="s">
        <v>1496</v>
      </c>
      <c r="F787" s="14" t="s">
        <v>1002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228</v>
      </c>
      <c r="P787" s="14" t="s">
        <v>260</v>
      </c>
      <c r="Q787" s="14" t="s">
        <v>260</v>
      </c>
      <c r="R787" s="14" t="s">
        <v>229</v>
      </c>
    </row>
    <row r="788" spans="1:18" s="14" customFormat="1" x14ac:dyDescent="0.25">
      <c r="A788" s="14" t="str">
        <f>"83791"</f>
        <v>83791</v>
      </c>
      <c r="B788" s="14" t="str">
        <f>"07010"</f>
        <v>07010</v>
      </c>
      <c r="C788" s="14" t="str">
        <f>"1800"</f>
        <v>1800</v>
      </c>
      <c r="D788" s="14" t="str">
        <f>""</f>
        <v/>
      </c>
      <c r="E788" s="14" t="s">
        <v>1497</v>
      </c>
      <c r="F788" s="14" t="s">
        <v>1002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228</v>
      </c>
      <c r="P788" s="14" t="s">
        <v>260</v>
      </c>
      <c r="Q788" s="14" t="s">
        <v>260</v>
      </c>
      <c r="R788" s="14" t="s">
        <v>229</v>
      </c>
    </row>
    <row r="789" spans="1:18" s="14" customFormat="1" x14ac:dyDescent="0.25">
      <c r="A789" s="14" t="str">
        <f>"83792"</f>
        <v>83792</v>
      </c>
      <c r="B789" s="14" t="str">
        <f>"07010"</f>
        <v>07010</v>
      </c>
      <c r="C789" s="14" t="str">
        <f>"1800"</f>
        <v>1800</v>
      </c>
      <c r="D789" s="14" t="str">
        <f>""</f>
        <v/>
      </c>
      <c r="E789" s="14" t="s">
        <v>1498</v>
      </c>
      <c r="F789" s="14" t="s">
        <v>1002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228</v>
      </c>
      <c r="P789" s="14" t="s">
        <v>260</v>
      </c>
      <c r="Q789" s="14" t="s">
        <v>260</v>
      </c>
      <c r="R789" s="14" t="s">
        <v>229</v>
      </c>
    </row>
    <row r="790" spans="1:18" s="14" customFormat="1" x14ac:dyDescent="0.25">
      <c r="A790" s="14" t="str">
        <f>"83793"</f>
        <v>83793</v>
      </c>
      <c r="B790" s="14" t="str">
        <f>"07010"</f>
        <v>07010</v>
      </c>
      <c r="C790" s="14" t="str">
        <f>"1800"</f>
        <v>1800</v>
      </c>
      <c r="D790" s="14" t="str">
        <f>""</f>
        <v/>
      </c>
      <c r="E790" s="14" t="s">
        <v>1499</v>
      </c>
      <c r="F790" s="14" t="s">
        <v>1002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228</v>
      </c>
      <c r="P790" s="14" t="s">
        <v>260</v>
      </c>
      <c r="Q790" s="14" t="s">
        <v>260</v>
      </c>
      <c r="R790" s="14" t="s">
        <v>229</v>
      </c>
    </row>
    <row r="791" spans="1:18" s="14" customFormat="1" x14ac:dyDescent="0.25">
      <c r="A791" s="14" t="str">
        <f>"83794"</f>
        <v>83794</v>
      </c>
      <c r="B791" s="14" t="str">
        <f>"07010"</f>
        <v>07010</v>
      </c>
      <c r="C791" s="14" t="str">
        <f>"1800"</f>
        <v>1800</v>
      </c>
      <c r="D791" s="14" t="str">
        <f>""</f>
        <v/>
      </c>
      <c r="E791" s="14" t="s">
        <v>1500</v>
      </c>
      <c r="F791" s="14" t="s">
        <v>1002</v>
      </c>
      <c r="G791" s="14" t="str">
        <f>""</f>
        <v/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228</v>
      </c>
      <c r="P791" s="14" t="s">
        <v>260</v>
      </c>
      <c r="Q791" s="14" t="s">
        <v>260</v>
      </c>
      <c r="R791" s="14" t="s">
        <v>229</v>
      </c>
    </row>
    <row r="792" spans="1:18" s="14" customFormat="1" x14ac:dyDescent="0.25">
      <c r="A792" s="14" t="str">
        <f>"83795"</f>
        <v>83795</v>
      </c>
      <c r="B792" s="14" t="str">
        <f>"07010"</f>
        <v>07010</v>
      </c>
      <c r="C792" s="14" t="str">
        <f>"1800"</f>
        <v>1800</v>
      </c>
      <c r="D792" s="14" t="str">
        <f>""</f>
        <v/>
      </c>
      <c r="E792" s="14" t="s">
        <v>1501</v>
      </c>
      <c r="F792" s="14" t="s">
        <v>1002</v>
      </c>
      <c r="G792" s="14" t="str">
        <f>""</f>
        <v/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228</v>
      </c>
      <c r="P792" s="14" t="s">
        <v>260</v>
      </c>
      <c r="Q792" s="14" t="s">
        <v>260</v>
      </c>
      <c r="R792" s="14" t="s">
        <v>229</v>
      </c>
    </row>
    <row r="793" spans="1:18" s="14" customFormat="1" x14ac:dyDescent="0.25">
      <c r="A793" s="14" t="str">
        <f>"83796"</f>
        <v>83796</v>
      </c>
      <c r="B793" s="14" t="str">
        <f>"07010"</f>
        <v>07010</v>
      </c>
      <c r="C793" s="14" t="str">
        <f>"1800"</f>
        <v>1800</v>
      </c>
      <c r="D793" s="14" t="str">
        <f>""</f>
        <v/>
      </c>
      <c r="E793" s="14" t="s">
        <v>1502</v>
      </c>
      <c r="F793" s="14" t="s">
        <v>1002</v>
      </c>
      <c r="G793" s="14" t="str">
        <f>""</f>
        <v/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228</v>
      </c>
      <c r="P793" s="14" t="s">
        <v>260</v>
      </c>
      <c r="Q793" s="14" t="s">
        <v>260</v>
      </c>
      <c r="R793" s="14" t="s">
        <v>229</v>
      </c>
    </row>
    <row r="794" spans="1:18" s="14" customFormat="1" x14ac:dyDescent="0.25">
      <c r="A794" s="14" t="str">
        <f>"83797"</f>
        <v>83797</v>
      </c>
      <c r="B794" s="14" t="str">
        <f>"07010"</f>
        <v>07010</v>
      </c>
      <c r="C794" s="14" t="str">
        <f>"1800"</f>
        <v>1800</v>
      </c>
      <c r="D794" s="14" t="str">
        <f>""</f>
        <v/>
      </c>
      <c r="E794" s="14" t="s">
        <v>1503</v>
      </c>
      <c r="F794" s="14" t="s">
        <v>1002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228</v>
      </c>
      <c r="P794" s="14" t="s">
        <v>260</v>
      </c>
      <c r="Q794" s="14" t="s">
        <v>260</v>
      </c>
      <c r="R794" s="14" t="s">
        <v>229</v>
      </c>
    </row>
    <row r="795" spans="1:18" s="14" customFormat="1" x14ac:dyDescent="0.25">
      <c r="A795" s="14" t="str">
        <f>"83798"</f>
        <v>83798</v>
      </c>
      <c r="B795" s="14" t="str">
        <f>"07010"</f>
        <v>07010</v>
      </c>
      <c r="C795" s="14" t="str">
        <f>"1800"</f>
        <v>1800</v>
      </c>
      <c r="D795" s="14" t="str">
        <f>""</f>
        <v/>
      </c>
      <c r="E795" s="14" t="s">
        <v>1504</v>
      </c>
      <c r="F795" s="14" t="s">
        <v>1002</v>
      </c>
      <c r="G795" s="14" t="str">
        <f>""</f>
        <v/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228</v>
      </c>
      <c r="P795" s="14" t="s">
        <v>260</v>
      </c>
      <c r="Q795" s="14" t="s">
        <v>260</v>
      </c>
      <c r="R795" s="14" t="s">
        <v>229</v>
      </c>
    </row>
    <row r="796" spans="1:18" s="14" customFormat="1" x14ac:dyDescent="0.25">
      <c r="A796" s="14" t="str">
        <f>"83799"</f>
        <v>83799</v>
      </c>
      <c r="B796" s="14" t="str">
        <f>"07010"</f>
        <v>07010</v>
      </c>
      <c r="C796" s="14" t="str">
        <f>"1800"</f>
        <v>1800</v>
      </c>
      <c r="D796" s="14" t="str">
        <f>""</f>
        <v/>
      </c>
      <c r="E796" s="14" t="s">
        <v>1505</v>
      </c>
      <c r="F796" s="14" t="s">
        <v>1002</v>
      </c>
      <c r="G796" s="14" t="str">
        <f>""</f>
        <v/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228</v>
      </c>
      <c r="P796" s="14" t="s">
        <v>260</v>
      </c>
      <c r="Q796" s="14" t="s">
        <v>260</v>
      </c>
      <c r="R796" s="14" t="s">
        <v>229</v>
      </c>
    </row>
    <row r="797" spans="1:18" s="14" customFormat="1" x14ac:dyDescent="0.25">
      <c r="A797" s="14" t="str">
        <f>"83801"</f>
        <v>83801</v>
      </c>
      <c r="B797" s="14" t="str">
        <f>"07010"</f>
        <v>07010</v>
      </c>
      <c r="C797" s="14" t="str">
        <f>"1800"</f>
        <v>1800</v>
      </c>
      <c r="D797" s="14" t="str">
        <f>""</f>
        <v/>
      </c>
      <c r="E797" s="14" t="s">
        <v>1506</v>
      </c>
      <c r="F797" s="14" t="s">
        <v>1002</v>
      </c>
      <c r="G797" s="14" t="str">
        <f>""</f>
        <v/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228</v>
      </c>
      <c r="P797" s="14" t="s">
        <v>260</v>
      </c>
      <c r="Q797" s="14" t="s">
        <v>260</v>
      </c>
      <c r="R797" s="14" t="s">
        <v>229</v>
      </c>
    </row>
    <row r="798" spans="1:18" s="14" customFormat="1" x14ac:dyDescent="0.25">
      <c r="A798" s="14" t="str">
        <f>"83802"</f>
        <v>83802</v>
      </c>
      <c r="B798" s="14" t="str">
        <f>"07010"</f>
        <v>07010</v>
      </c>
      <c r="C798" s="14" t="str">
        <f>"1800"</f>
        <v>1800</v>
      </c>
      <c r="D798" s="14" t="str">
        <f>""</f>
        <v/>
      </c>
      <c r="E798" s="14" t="s">
        <v>1507</v>
      </c>
      <c r="F798" s="14" t="s">
        <v>1002</v>
      </c>
      <c r="G798" s="14" t="str">
        <f>""</f>
        <v/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228</v>
      </c>
      <c r="P798" s="14" t="s">
        <v>260</v>
      </c>
      <c r="Q798" s="14" t="s">
        <v>260</v>
      </c>
      <c r="R798" s="14" t="s">
        <v>229</v>
      </c>
    </row>
    <row r="799" spans="1:18" s="14" customFormat="1" x14ac:dyDescent="0.25">
      <c r="A799" s="14" t="str">
        <f>"83803"</f>
        <v>83803</v>
      </c>
      <c r="B799" s="14" t="str">
        <f>"07010"</f>
        <v>07010</v>
      </c>
      <c r="C799" s="14" t="str">
        <f>"1800"</f>
        <v>1800</v>
      </c>
      <c r="D799" s="14" t="str">
        <f>""</f>
        <v/>
      </c>
      <c r="E799" s="14" t="s">
        <v>1508</v>
      </c>
      <c r="F799" s="14" t="s">
        <v>1002</v>
      </c>
      <c r="G799" s="14" t="str">
        <f>""</f>
        <v/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228</v>
      </c>
      <c r="P799" s="14" t="s">
        <v>260</v>
      </c>
      <c r="Q799" s="14" t="s">
        <v>260</v>
      </c>
      <c r="R799" s="14" t="s">
        <v>229</v>
      </c>
    </row>
    <row r="800" spans="1:18" s="14" customFormat="1" x14ac:dyDescent="0.25">
      <c r="A800" s="14" t="str">
        <f>"83804"</f>
        <v>83804</v>
      </c>
      <c r="B800" s="14" t="str">
        <f>"07010"</f>
        <v>07010</v>
      </c>
      <c r="C800" s="14" t="str">
        <f>"1800"</f>
        <v>1800</v>
      </c>
      <c r="D800" s="14" t="str">
        <f>""</f>
        <v/>
      </c>
      <c r="E800" s="14" t="s">
        <v>1509</v>
      </c>
      <c r="F800" s="14" t="s">
        <v>1002</v>
      </c>
      <c r="G800" s="14" t="str">
        <f>""</f>
        <v/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228</v>
      </c>
      <c r="P800" s="14" t="s">
        <v>260</v>
      </c>
      <c r="Q800" s="14" t="s">
        <v>260</v>
      </c>
      <c r="R800" s="14" t="s">
        <v>229</v>
      </c>
    </row>
    <row r="801" spans="1:18" s="14" customFormat="1" x14ac:dyDescent="0.25">
      <c r="A801" s="14" t="str">
        <f>"83805"</f>
        <v>83805</v>
      </c>
      <c r="B801" s="14" t="str">
        <f>"07010"</f>
        <v>07010</v>
      </c>
      <c r="C801" s="14" t="str">
        <f>"1800"</f>
        <v>1800</v>
      </c>
      <c r="D801" s="14" t="str">
        <f>""</f>
        <v/>
      </c>
      <c r="E801" s="14" t="s">
        <v>1510</v>
      </c>
      <c r="F801" s="14" t="s">
        <v>1002</v>
      </c>
      <c r="G801" s="14" t="str">
        <f>""</f>
        <v/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228</v>
      </c>
      <c r="P801" s="14" t="s">
        <v>260</v>
      </c>
      <c r="Q801" s="14" t="s">
        <v>260</v>
      </c>
      <c r="R801" s="14" t="s">
        <v>229</v>
      </c>
    </row>
    <row r="802" spans="1:18" s="14" customFormat="1" x14ac:dyDescent="0.25">
      <c r="A802" s="14" t="str">
        <f>"83806"</f>
        <v>83806</v>
      </c>
      <c r="B802" s="14" t="str">
        <f>"07010"</f>
        <v>07010</v>
      </c>
      <c r="C802" s="14" t="str">
        <f>"1800"</f>
        <v>1800</v>
      </c>
      <c r="D802" s="14" t="str">
        <f>""</f>
        <v/>
      </c>
      <c r="E802" s="14" t="s">
        <v>1511</v>
      </c>
      <c r="F802" s="14" t="s">
        <v>1002</v>
      </c>
      <c r="G802" s="14" t="str">
        <f>""</f>
        <v/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228</v>
      </c>
      <c r="P802" s="14" t="s">
        <v>260</v>
      </c>
      <c r="Q802" s="14" t="s">
        <v>260</v>
      </c>
      <c r="R802" s="14" t="s">
        <v>229</v>
      </c>
    </row>
    <row r="803" spans="1:18" s="14" customFormat="1" x14ac:dyDescent="0.25">
      <c r="A803" s="14" t="str">
        <f>"83807"</f>
        <v>83807</v>
      </c>
      <c r="B803" s="14" t="str">
        <f>"07010"</f>
        <v>07010</v>
      </c>
      <c r="C803" s="14" t="str">
        <f>"1800"</f>
        <v>1800</v>
      </c>
      <c r="D803" s="14" t="str">
        <f>""</f>
        <v/>
      </c>
      <c r="E803" s="14" t="s">
        <v>1512</v>
      </c>
      <c r="F803" s="14" t="s">
        <v>1002</v>
      </c>
      <c r="G803" s="14" t="str">
        <f>""</f>
        <v/>
      </c>
      <c r="H803" s="14" t="str">
        <f>" 00"</f>
        <v xml:space="preserve"> 00</v>
      </c>
      <c r="I803" s="14">
        <v>0.01</v>
      </c>
      <c r="J803" s="14">
        <v>9999999.9900000002</v>
      </c>
      <c r="K803" s="14" t="s">
        <v>228</v>
      </c>
      <c r="P803" s="14" t="s">
        <v>260</v>
      </c>
      <c r="Q803" s="14" t="s">
        <v>260</v>
      </c>
      <c r="R803" s="14" t="s">
        <v>229</v>
      </c>
    </row>
    <row r="804" spans="1:18" s="14" customFormat="1" x14ac:dyDescent="0.25">
      <c r="A804" s="14" t="str">
        <f>"83808"</f>
        <v>83808</v>
      </c>
      <c r="B804" s="14" t="str">
        <f>"07010"</f>
        <v>07010</v>
      </c>
      <c r="C804" s="14" t="str">
        <f>"1800"</f>
        <v>1800</v>
      </c>
      <c r="D804" s="14" t="str">
        <f>""</f>
        <v/>
      </c>
      <c r="E804" s="14" t="s">
        <v>1513</v>
      </c>
      <c r="F804" s="14" t="s">
        <v>1002</v>
      </c>
      <c r="G804" s="14" t="str">
        <f>""</f>
        <v/>
      </c>
      <c r="H804" s="14" t="str">
        <f>" 00"</f>
        <v xml:space="preserve"> 00</v>
      </c>
      <c r="I804" s="14">
        <v>0.01</v>
      </c>
      <c r="J804" s="14">
        <v>9999999.9900000002</v>
      </c>
      <c r="K804" s="14" t="s">
        <v>228</v>
      </c>
      <c r="P804" s="14" t="s">
        <v>260</v>
      </c>
      <c r="Q804" s="14" t="s">
        <v>260</v>
      </c>
      <c r="R804" s="14" t="s">
        <v>229</v>
      </c>
    </row>
    <row r="805" spans="1:18" s="14" customFormat="1" x14ac:dyDescent="0.25">
      <c r="A805" s="14" t="str">
        <f>"83809"</f>
        <v>83809</v>
      </c>
      <c r="B805" s="14" t="str">
        <f>"07010"</f>
        <v>07010</v>
      </c>
      <c r="C805" s="14" t="str">
        <f>"1800"</f>
        <v>1800</v>
      </c>
      <c r="D805" s="14" t="str">
        <f>""</f>
        <v/>
      </c>
      <c r="E805" s="14" t="s">
        <v>1514</v>
      </c>
      <c r="F805" s="14" t="s">
        <v>1002</v>
      </c>
      <c r="G805" s="14" t="str">
        <f>""</f>
        <v/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228</v>
      </c>
      <c r="P805" s="14" t="s">
        <v>260</v>
      </c>
      <c r="Q805" s="14" t="s">
        <v>260</v>
      </c>
      <c r="R805" s="14" t="s">
        <v>229</v>
      </c>
    </row>
    <row r="806" spans="1:18" s="14" customFormat="1" x14ac:dyDescent="0.25">
      <c r="A806" s="14" t="str">
        <f>"83810"</f>
        <v>83810</v>
      </c>
      <c r="B806" s="14" t="str">
        <f>"07010"</f>
        <v>07010</v>
      </c>
      <c r="C806" s="14" t="str">
        <f>"1800"</f>
        <v>1800</v>
      </c>
      <c r="D806" s="14" t="str">
        <f>""</f>
        <v/>
      </c>
      <c r="E806" s="14" t="s">
        <v>1515</v>
      </c>
      <c r="F806" s="14" t="s">
        <v>1002</v>
      </c>
      <c r="G806" s="14" t="str">
        <f>""</f>
        <v/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228</v>
      </c>
      <c r="P806" s="14" t="s">
        <v>260</v>
      </c>
      <c r="Q806" s="14" t="s">
        <v>260</v>
      </c>
      <c r="R806" s="14" t="s">
        <v>229</v>
      </c>
    </row>
    <row r="807" spans="1:18" s="14" customFormat="1" x14ac:dyDescent="0.25">
      <c r="A807" s="14" t="str">
        <f>"83811"</f>
        <v>83811</v>
      </c>
      <c r="B807" s="14" t="str">
        <f>"07010"</f>
        <v>07010</v>
      </c>
      <c r="C807" s="14" t="str">
        <f>"1800"</f>
        <v>1800</v>
      </c>
      <c r="D807" s="14" t="str">
        <f>""</f>
        <v/>
      </c>
      <c r="E807" s="14" t="s">
        <v>1516</v>
      </c>
      <c r="F807" s="14" t="s">
        <v>1002</v>
      </c>
      <c r="G807" s="14" t="str">
        <f>""</f>
        <v/>
      </c>
      <c r="H807" s="14" t="str">
        <f>" 00"</f>
        <v xml:space="preserve"> 00</v>
      </c>
      <c r="I807" s="14">
        <v>0.01</v>
      </c>
      <c r="J807" s="14">
        <v>9999999.9900000002</v>
      </c>
      <c r="K807" s="14" t="s">
        <v>228</v>
      </c>
      <c r="P807" s="14" t="s">
        <v>260</v>
      </c>
      <c r="Q807" s="14" t="s">
        <v>260</v>
      </c>
      <c r="R807" s="14" t="s">
        <v>229</v>
      </c>
    </row>
    <row r="808" spans="1:18" s="14" customFormat="1" x14ac:dyDescent="0.25">
      <c r="A808" s="14" t="str">
        <f>"83812"</f>
        <v>83812</v>
      </c>
      <c r="B808" s="14" t="str">
        <f>"07010"</f>
        <v>07010</v>
      </c>
      <c r="C808" s="14" t="str">
        <f>"1800"</f>
        <v>1800</v>
      </c>
      <c r="D808" s="14" t="str">
        <f>""</f>
        <v/>
      </c>
      <c r="E808" s="14" t="s">
        <v>1517</v>
      </c>
      <c r="F808" s="14" t="s">
        <v>1002</v>
      </c>
      <c r="G808" s="14" t="str">
        <f>""</f>
        <v/>
      </c>
      <c r="H808" s="14" t="str">
        <f>" 00"</f>
        <v xml:space="preserve"> 00</v>
      </c>
      <c r="I808" s="14">
        <v>0.01</v>
      </c>
      <c r="J808" s="14">
        <v>9999999.9900000002</v>
      </c>
      <c r="K808" s="14" t="s">
        <v>228</v>
      </c>
      <c r="P808" s="14" t="s">
        <v>260</v>
      </c>
      <c r="Q808" s="14" t="s">
        <v>260</v>
      </c>
      <c r="R808" s="14" t="s">
        <v>229</v>
      </c>
    </row>
    <row r="809" spans="1:18" s="14" customFormat="1" x14ac:dyDescent="0.25">
      <c r="A809" s="14" t="str">
        <f>"83813"</f>
        <v>83813</v>
      </c>
      <c r="B809" s="14" t="str">
        <f>"07010"</f>
        <v>07010</v>
      </c>
      <c r="C809" s="14" t="str">
        <f>"1800"</f>
        <v>1800</v>
      </c>
      <c r="D809" s="14" t="str">
        <f>""</f>
        <v/>
      </c>
      <c r="E809" s="14" t="s">
        <v>1518</v>
      </c>
      <c r="F809" s="14" t="s">
        <v>1002</v>
      </c>
      <c r="G809" s="14" t="str">
        <f>""</f>
        <v/>
      </c>
      <c r="H809" s="14" t="str">
        <f>" 00"</f>
        <v xml:space="preserve"> 00</v>
      </c>
      <c r="I809" s="14">
        <v>0.01</v>
      </c>
      <c r="J809" s="14">
        <v>9999999.9900000002</v>
      </c>
      <c r="K809" s="14" t="s">
        <v>228</v>
      </c>
      <c r="P809" s="14" t="s">
        <v>260</v>
      </c>
      <c r="Q809" s="14" t="s">
        <v>260</v>
      </c>
      <c r="R809" s="14" t="s">
        <v>229</v>
      </c>
    </row>
    <row r="810" spans="1:18" s="14" customFormat="1" x14ac:dyDescent="0.25">
      <c r="A810" s="14" t="str">
        <f>"83814"</f>
        <v>83814</v>
      </c>
      <c r="B810" s="14" t="str">
        <f>"07010"</f>
        <v>07010</v>
      </c>
      <c r="C810" s="14" t="str">
        <f>"1800"</f>
        <v>1800</v>
      </c>
      <c r="D810" s="14" t="str">
        <f>""</f>
        <v/>
      </c>
      <c r="E810" s="14" t="s">
        <v>1519</v>
      </c>
      <c r="F810" s="14" t="s">
        <v>1002</v>
      </c>
      <c r="G810" s="14" t="str">
        <f>""</f>
        <v/>
      </c>
      <c r="H810" s="14" t="str">
        <f>" 00"</f>
        <v xml:space="preserve"> 00</v>
      </c>
      <c r="I810" s="14">
        <v>0.01</v>
      </c>
      <c r="J810" s="14">
        <v>9999999.9900000002</v>
      </c>
      <c r="K810" s="14" t="s">
        <v>228</v>
      </c>
      <c r="P810" s="14" t="s">
        <v>260</v>
      </c>
      <c r="Q810" s="14" t="s">
        <v>260</v>
      </c>
      <c r="R810" s="14" t="s">
        <v>229</v>
      </c>
    </row>
    <row r="811" spans="1:18" s="14" customFormat="1" x14ac:dyDescent="0.25">
      <c r="A811" s="14" t="str">
        <f>"83815"</f>
        <v>83815</v>
      </c>
      <c r="B811" s="14" t="str">
        <f>"07010"</f>
        <v>07010</v>
      </c>
      <c r="C811" s="14" t="str">
        <f>"1800"</f>
        <v>1800</v>
      </c>
      <c r="D811" s="14" t="str">
        <f>""</f>
        <v/>
      </c>
      <c r="E811" s="14" t="s">
        <v>1520</v>
      </c>
      <c r="F811" s="14" t="s">
        <v>1002</v>
      </c>
      <c r="G811" s="14" t="str">
        <f>""</f>
        <v/>
      </c>
      <c r="H811" s="14" t="str">
        <f>" 00"</f>
        <v xml:space="preserve"> 00</v>
      </c>
      <c r="I811" s="14">
        <v>0.01</v>
      </c>
      <c r="J811" s="14">
        <v>9999999.9900000002</v>
      </c>
      <c r="K811" s="14" t="s">
        <v>228</v>
      </c>
      <c r="P811" s="14" t="s">
        <v>260</v>
      </c>
      <c r="Q811" s="14" t="s">
        <v>260</v>
      </c>
      <c r="R811" s="14" t="s">
        <v>229</v>
      </c>
    </row>
    <row r="812" spans="1:18" s="14" customFormat="1" x14ac:dyDescent="0.25">
      <c r="A812" s="14" t="str">
        <f>"83816"</f>
        <v>83816</v>
      </c>
      <c r="B812" s="14" t="str">
        <f>"07010"</f>
        <v>07010</v>
      </c>
      <c r="C812" s="14" t="str">
        <f>"1800"</f>
        <v>1800</v>
      </c>
      <c r="D812" s="14" t="str">
        <f>""</f>
        <v/>
      </c>
      <c r="E812" s="14" t="s">
        <v>1521</v>
      </c>
      <c r="F812" s="14" t="s">
        <v>1002</v>
      </c>
      <c r="G812" s="14" t="str">
        <f>""</f>
        <v/>
      </c>
      <c r="H812" s="14" t="str">
        <f>" 00"</f>
        <v xml:space="preserve"> 00</v>
      </c>
      <c r="I812" s="14">
        <v>0.01</v>
      </c>
      <c r="J812" s="14">
        <v>9999999.9900000002</v>
      </c>
      <c r="K812" s="14" t="s">
        <v>228</v>
      </c>
      <c r="P812" s="14" t="s">
        <v>260</v>
      </c>
      <c r="Q812" s="14" t="s">
        <v>260</v>
      </c>
      <c r="R812" s="14" t="s">
        <v>229</v>
      </c>
    </row>
    <row r="813" spans="1:18" s="14" customFormat="1" x14ac:dyDescent="0.25">
      <c r="A813" s="14" t="str">
        <f>"83817"</f>
        <v>83817</v>
      </c>
      <c r="B813" s="14" t="str">
        <f>"07010"</f>
        <v>07010</v>
      </c>
      <c r="C813" s="14" t="str">
        <f>"1800"</f>
        <v>1800</v>
      </c>
      <c r="D813" s="14" t="str">
        <f>""</f>
        <v/>
      </c>
      <c r="E813" s="14" t="s">
        <v>1522</v>
      </c>
      <c r="F813" s="14" t="s">
        <v>1002</v>
      </c>
      <c r="G813" s="14" t="str">
        <f>""</f>
        <v/>
      </c>
      <c r="H813" s="14" t="str">
        <f>" 00"</f>
        <v xml:space="preserve"> 00</v>
      </c>
      <c r="I813" s="14">
        <v>0.01</v>
      </c>
      <c r="J813" s="14">
        <v>9999999.9900000002</v>
      </c>
      <c r="K813" s="14" t="s">
        <v>228</v>
      </c>
      <c r="P813" s="14" t="s">
        <v>260</v>
      </c>
      <c r="Q813" s="14" t="s">
        <v>260</v>
      </c>
      <c r="R813" s="14" t="s">
        <v>229</v>
      </c>
    </row>
    <row r="814" spans="1:18" s="14" customFormat="1" x14ac:dyDescent="0.25">
      <c r="A814" s="14" t="str">
        <f>"83818"</f>
        <v>83818</v>
      </c>
      <c r="B814" s="14" t="str">
        <f>"07010"</f>
        <v>07010</v>
      </c>
      <c r="C814" s="14" t="str">
        <f>"1800"</f>
        <v>1800</v>
      </c>
      <c r="D814" s="14" t="str">
        <f>""</f>
        <v/>
      </c>
      <c r="E814" s="14" t="s">
        <v>1523</v>
      </c>
      <c r="F814" s="14" t="s">
        <v>1002</v>
      </c>
      <c r="G814" s="14" t="str">
        <f>""</f>
        <v/>
      </c>
      <c r="H814" s="14" t="str">
        <f>" 00"</f>
        <v xml:space="preserve"> 00</v>
      </c>
      <c r="I814" s="14">
        <v>0.01</v>
      </c>
      <c r="J814" s="14">
        <v>9999999.9900000002</v>
      </c>
      <c r="K814" s="14" t="s">
        <v>228</v>
      </c>
      <c r="P814" s="14" t="s">
        <v>260</v>
      </c>
      <c r="Q814" s="14" t="s">
        <v>260</v>
      </c>
      <c r="R814" s="14" t="s">
        <v>229</v>
      </c>
    </row>
    <row r="815" spans="1:18" s="14" customFormat="1" x14ac:dyDescent="0.25">
      <c r="A815" s="14" t="str">
        <f>"83819"</f>
        <v>83819</v>
      </c>
      <c r="B815" s="14" t="str">
        <f>"07010"</f>
        <v>07010</v>
      </c>
      <c r="C815" s="14" t="str">
        <f>"1800"</f>
        <v>1800</v>
      </c>
      <c r="D815" s="14" t="str">
        <f>""</f>
        <v/>
      </c>
      <c r="E815" s="14" t="s">
        <v>1524</v>
      </c>
      <c r="F815" s="14" t="s">
        <v>1002</v>
      </c>
      <c r="G815" s="14" t="str">
        <f>""</f>
        <v/>
      </c>
      <c r="H815" s="14" t="str">
        <f>" 00"</f>
        <v xml:space="preserve"> 00</v>
      </c>
      <c r="I815" s="14">
        <v>0.01</v>
      </c>
      <c r="J815" s="14">
        <v>9999999.9900000002</v>
      </c>
      <c r="K815" s="14" t="s">
        <v>228</v>
      </c>
      <c r="P815" s="14" t="s">
        <v>260</v>
      </c>
      <c r="Q815" s="14" t="s">
        <v>260</v>
      </c>
      <c r="R815" s="14" t="s">
        <v>229</v>
      </c>
    </row>
    <row r="816" spans="1:18" s="14" customFormat="1" x14ac:dyDescent="0.25">
      <c r="A816" s="14" t="str">
        <f>"83820"</f>
        <v>83820</v>
      </c>
      <c r="B816" s="14" t="str">
        <f>"07010"</f>
        <v>07010</v>
      </c>
      <c r="C816" s="14" t="str">
        <f>"1800"</f>
        <v>1800</v>
      </c>
      <c r="D816" s="14" t="str">
        <f>""</f>
        <v/>
      </c>
      <c r="E816" s="14" t="s">
        <v>1525</v>
      </c>
      <c r="F816" s="14" t="s">
        <v>1002</v>
      </c>
      <c r="G816" s="14" t="str">
        <f>""</f>
        <v/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228</v>
      </c>
      <c r="P816" s="14" t="s">
        <v>260</v>
      </c>
      <c r="Q816" s="14" t="s">
        <v>260</v>
      </c>
      <c r="R816" s="14" t="s">
        <v>229</v>
      </c>
    </row>
    <row r="817" spans="1:18" s="14" customFormat="1" x14ac:dyDescent="0.25">
      <c r="A817" s="14" t="str">
        <f>"83821"</f>
        <v>83821</v>
      </c>
      <c r="B817" s="14" t="str">
        <f>"07010"</f>
        <v>07010</v>
      </c>
      <c r="C817" s="14" t="str">
        <f>"1800"</f>
        <v>1800</v>
      </c>
      <c r="D817" s="14" t="str">
        <f>""</f>
        <v/>
      </c>
      <c r="E817" s="14" t="s">
        <v>1526</v>
      </c>
      <c r="F817" s="14" t="s">
        <v>1002</v>
      </c>
      <c r="G817" s="14" t="str">
        <f>""</f>
        <v/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228</v>
      </c>
      <c r="P817" s="14" t="s">
        <v>260</v>
      </c>
      <c r="Q817" s="14" t="s">
        <v>260</v>
      </c>
      <c r="R817" s="14" t="s">
        <v>229</v>
      </c>
    </row>
    <row r="818" spans="1:18" s="14" customFormat="1" x14ac:dyDescent="0.25">
      <c r="A818" s="14" t="str">
        <f>"83822"</f>
        <v>83822</v>
      </c>
      <c r="B818" s="14" t="str">
        <f>"07010"</f>
        <v>07010</v>
      </c>
      <c r="C818" s="14" t="str">
        <f>"1800"</f>
        <v>1800</v>
      </c>
      <c r="D818" s="14" t="str">
        <f>""</f>
        <v/>
      </c>
      <c r="E818" s="14" t="s">
        <v>1527</v>
      </c>
      <c r="F818" s="14" t="s">
        <v>1002</v>
      </c>
      <c r="G818" s="14" t="str">
        <f>""</f>
        <v/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228</v>
      </c>
      <c r="P818" s="14" t="s">
        <v>260</v>
      </c>
      <c r="Q818" s="14" t="s">
        <v>260</v>
      </c>
      <c r="R818" s="14" t="s">
        <v>229</v>
      </c>
    </row>
    <row r="819" spans="1:18" s="14" customFormat="1" x14ac:dyDescent="0.25">
      <c r="A819" s="14" t="str">
        <f>"83823"</f>
        <v>83823</v>
      </c>
      <c r="B819" s="14" t="str">
        <f>"07010"</f>
        <v>07010</v>
      </c>
      <c r="C819" s="14" t="str">
        <f>"1800"</f>
        <v>1800</v>
      </c>
      <c r="D819" s="14" t="str">
        <f>""</f>
        <v/>
      </c>
      <c r="E819" s="14" t="s">
        <v>1528</v>
      </c>
      <c r="F819" s="14" t="s">
        <v>1002</v>
      </c>
      <c r="G819" s="14" t="str">
        <f>""</f>
        <v/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228</v>
      </c>
      <c r="P819" s="14" t="s">
        <v>260</v>
      </c>
      <c r="Q819" s="14" t="s">
        <v>260</v>
      </c>
      <c r="R819" s="14" t="s">
        <v>229</v>
      </c>
    </row>
    <row r="820" spans="1:18" s="14" customFormat="1" x14ac:dyDescent="0.25">
      <c r="A820" s="14" t="str">
        <f>"83824"</f>
        <v>83824</v>
      </c>
      <c r="B820" s="14" t="str">
        <f>"07010"</f>
        <v>07010</v>
      </c>
      <c r="C820" s="14" t="str">
        <f>"1800"</f>
        <v>1800</v>
      </c>
      <c r="D820" s="14" t="str">
        <f>""</f>
        <v/>
      </c>
      <c r="E820" s="14" t="s">
        <v>1529</v>
      </c>
      <c r="F820" s="14" t="s">
        <v>1002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228</v>
      </c>
      <c r="P820" s="14" t="s">
        <v>260</v>
      </c>
      <c r="Q820" s="14" t="s">
        <v>260</v>
      </c>
      <c r="R820" s="14" t="s">
        <v>229</v>
      </c>
    </row>
    <row r="821" spans="1:18" s="14" customFormat="1" x14ac:dyDescent="0.25">
      <c r="A821" s="14" t="str">
        <f>"83950"</f>
        <v>83950</v>
      </c>
      <c r="B821" s="14" t="str">
        <f>"07010"</f>
        <v>07010</v>
      </c>
      <c r="C821" s="14" t="str">
        <f>"1800"</f>
        <v>1800</v>
      </c>
      <c r="D821" s="14" t="str">
        <f>""</f>
        <v/>
      </c>
      <c r="E821" s="14" t="s">
        <v>1530</v>
      </c>
      <c r="F821" s="14" t="s">
        <v>1002</v>
      </c>
      <c r="G821" s="14" t="str">
        <f>""</f>
        <v/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228</v>
      </c>
      <c r="P821" s="14" t="s">
        <v>260</v>
      </c>
      <c r="Q821" s="14" t="s">
        <v>260</v>
      </c>
      <c r="R821" s="14" t="s">
        <v>229</v>
      </c>
    </row>
    <row r="822" spans="1:18" s="14" customFormat="1" x14ac:dyDescent="0.25">
      <c r="A822" s="14" t="str">
        <f>"83999"</f>
        <v>83999</v>
      </c>
      <c r="B822" s="14" t="str">
        <f>"07010"</f>
        <v>07010</v>
      </c>
      <c r="C822" s="14" t="str">
        <f>"1800"</f>
        <v>1800</v>
      </c>
      <c r="D822" s="14" t="str">
        <f>""</f>
        <v/>
      </c>
      <c r="E822" s="14" t="s">
        <v>496</v>
      </c>
      <c r="F822" s="14" t="s">
        <v>1002</v>
      </c>
      <c r="G822" s="14" t="str">
        <f>""</f>
        <v/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228</v>
      </c>
      <c r="P822" s="14" t="s">
        <v>260</v>
      </c>
      <c r="Q822" s="14" t="s">
        <v>260</v>
      </c>
      <c r="R822" s="14" t="s">
        <v>229</v>
      </c>
    </row>
    <row r="823" spans="1:18" s="14" customFormat="1" x14ac:dyDescent="0.25">
      <c r="A823" s="14" t="str">
        <f>"11002"</f>
        <v>11002</v>
      </c>
      <c r="B823" s="14" t="str">
        <f>"01230"</f>
        <v>01230</v>
      </c>
      <c r="C823" s="14" t="str">
        <f>"1300"</f>
        <v>1300</v>
      </c>
      <c r="D823" s="14" t="str">
        <f>""</f>
        <v/>
      </c>
      <c r="E823" s="14" t="s">
        <v>436</v>
      </c>
      <c r="F823" s="14" t="s">
        <v>75</v>
      </c>
      <c r="G823" s="14" t="str">
        <f>""</f>
        <v/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76</v>
      </c>
      <c r="L823" s="14" t="s">
        <v>77</v>
      </c>
      <c r="M823" s="14" t="s">
        <v>78</v>
      </c>
      <c r="P823" s="14" t="s">
        <v>25</v>
      </c>
      <c r="Q823" s="14" t="s">
        <v>25</v>
      </c>
      <c r="R823" s="14" t="s">
        <v>79</v>
      </c>
    </row>
    <row r="824" spans="1:18" s="14" customFormat="1" x14ac:dyDescent="0.25">
      <c r="A824" s="14" t="str">
        <f>"11003"</f>
        <v>11003</v>
      </c>
      <c r="B824" s="14" t="str">
        <f>"01300"</f>
        <v>01300</v>
      </c>
      <c r="C824" s="14" t="str">
        <f>"1300"</f>
        <v>1300</v>
      </c>
      <c r="D824" s="14" t="str">
        <f>""</f>
        <v/>
      </c>
      <c r="E824" s="14" t="s">
        <v>437</v>
      </c>
      <c r="F824" s="14" t="s">
        <v>96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48</v>
      </c>
      <c r="L824" s="14" t="s">
        <v>97</v>
      </c>
      <c r="M824" s="14" t="s">
        <v>98</v>
      </c>
      <c r="P824" s="14" t="s">
        <v>25</v>
      </c>
      <c r="Q824" s="14" t="s">
        <v>25</v>
      </c>
      <c r="R824" s="14" t="s">
        <v>49</v>
      </c>
    </row>
    <row r="825" spans="1:18" s="14" customFormat="1" x14ac:dyDescent="0.25">
      <c r="A825" s="14" t="str">
        <f>"11004"</f>
        <v>11004</v>
      </c>
      <c r="B825" s="14" t="str">
        <f>"03775"</f>
        <v>03775</v>
      </c>
      <c r="C825" s="14" t="str">
        <f>"1300"</f>
        <v>1300</v>
      </c>
      <c r="D825" s="14" t="str">
        <f>""</f>
        <v/>
      </c>
      <c r="E825" s="14" t="s">
        <v>438</v>
      </c>
      <c r="F825" s="14" t="s">
        <v>307</v>
      </c>
      <c r="G825" s="14" t="str">
        <f>""</f>
        <v/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252</v>
      </c>
      <c r="L825" s="14" t="s">
        <v>253</v>
      </c>
      <c r="P825" s="14" t="s">
        <v>25</v>
      </c>
      <c r="Q825" s="14" t="s">
        <v>25</v>
      </c>
      <c r="R825" s="14" t="s">
        <v>253</v>
      </c>
    </row>
    <row r="826" spans="1:18" s="14" customFormat="1" x14ac:dyDescent="0.25">
      <c r="A826" s="14" t="str">
        <f>"11005"</f>
        <v>11005</v>
      </c>
      <c r="B826" s="14" t="str">
        <f>"03092"</f>
        <v>03092</v>
      </c>
      <c r="C826" s="14" t="str">
        <f>"1500"</f>
        <v>1500</v>
      </c>
      <c r="D826" s="14" t="str">
        <f>""</f>
        <v/>
      </c>
      <c r="E826" s="14" t="s">
        <v>439</v>
      </c>
      <c r="F826" s="14" t="s">
        <v>235</v>
      </c>
      <c r="G826" s="14" t="str">
        <f>""</f>
        <v/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236</v>
      </c>
      <c r="L826" s="14" t="s">
        <v>237</v>
      </c>
      <c r="M826" s="14" t="s">
        <v>238</v>
      </c>
      <c r="P826" s="14" t="s">
        <v>25</v>
      </c>
      <c r="Q826" s="14" t="s">
        <v>25</v>
      </c>
      <c r="R826" s="14" t="s">
        <v>1930</v>
      </c>
    </row>
    <row r="827" spans="1:18" s="14" customFormat="1" x14ac:dyDescent="0.25">
      <c r="A827" s="14" t="str">
        <f>"11008"</f>
        <v>11008</v>
      </c>
      <c r="B827" s="14" t="str">
        <f>"01440"</f>
        <v>01440</v>
      </c>
      <c r="C827" s="14" t="str">
        <f>"1300"</f>
        <v>1300</v>
      </c>
      <c r="D827" s="14" t="str">
        <f>""</f>
        <v/>
      </c>
      <c r="E827" s="14" t="s">
        <v>442</v>
      </c>
      <c r="F827" s="14" t="s">
        <v>123</v>
      </c>
      <c r="G827" s="14" t="str">
        <f>""</f>
        <v/>
      </c>
      <c r="H827" s="14" t="str">
        <f>" 00"</f>
        <v xml:space="preserve"> 00</v>
      </c>
      <c r="I827" s="14">
        <v>0.01</v>
      </c>
      <c r="J827" s="14">
        <v>9999999.9900000002</v>
      </c>
      <c r="K827" s="14" t="s">
        <v>124</v>
      </c>
      <c r="L827" s="14" t="s">
        <v>69</v>
      </c>
      <c r="M827" s="14" t="s">
        <v>70</v>
      </c>
      <c r="N827" s="14" t="s">
        <v>71</v>
      </c>
      <c r="P827" s="14" t="s">
        <v>25</v>
      </c>
      <c r="Q827" s="14" t="s">
        <v>25</v>
      </c>
      <c r="R827" s="14" t="s">
        <v>72</v>
      </c>
    </row>
    <row r="828" spans="1:18" s="14" customFormat="1" x14ac:dyDescent="0.25">
      <c r="A828" s="14" t="str">
        <f>"11011"</f>
        <v>11011</v>
      </c>
      <c r="B828" s="14" t="str">
        <f>"05140"</f>
        <v>05140</v>
      </c>
      <c r="C828" s="14" t="str">
        <f>"1700"</f>
        <v>1700</v>
      </c>
      <c r="D828" s="14" t="str">
        <f>""</f>
        <v/>
      </c>
      <c r="E828" s="14" t="s">
        <v>446</v>
      </c>
      <c r="F828" s="14" t="s">
        <v>400</v>
      </c>
      <c r="G828" s="14" t="str">
        <f>""</f>
        <v/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37</v>
      </c>
      <c r="L828" s="14" t="s">
        <v>34</v>
      </c>
      <c r="P828" s="14" t="s">
        <v>25</v>
      </c>
      <c r="Q828" s="14" t="s">
        <v>25</v>
      </c>
      <c r="R828" s="14" t="s">
        <v>401</v>
      </c>
    </row>
    <row r="829" spans="1:18" s="14" customFormat="1" x14ac:dyDescent="0.25">
      <c r="A829" s="14" t="str">
        <f>"11012"</f>
        <v>11012</v>
      </c>
      <c r="B829" s="14" t="str">
        <f>"03020"</f>
        <v>03020</v>
      </c>
      <c r="C829" s="14" t="str">
        <f>"1400"</f>
        <v>1400</v>
      </c>
      <c r="D829" s="14" t="str">
        <f>""</f>
        <v/>
      </c>
      <c r="E829" s="14" t="s">
        <v>447</v>
      </c>
      <c r="F829" s="14" t="s">
        <v>220</v>
      </c>
      <c r="G829" s="14" t="str">
        <f>""</f>
        <v/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34</v>
      </c>
      <c r="P829" s="14" t="s">
        <v>25</v>
      </c>
      <c r="Q829" s="14" t="s">
        <v>25</v>
      </c>
      <c r="R829" s="14" t="s">
        <v>35</v>
      </c>
    </row>
    <row r="830" spans="1:18" s="14" customFormat="1" x14ac:dyDescent="0.25">
      <c r="A830" s="14" t="str">
        <f>"11013"</f>
        <v>11013</v>
      </c>
      <c r="B830" s="14" t="str">
        <f>"03094"</f>
        <v>03094</v>
      </c>
      <c r="C830" s="14" t="str">
        <f>"1400"</f>
        <v>1400</v>
      </c>
      <c r="D830" s="14" t="str">
        <f>""</f>
        <v/>
      </c>
      <c r="E830" s="14" t="s">
        <v>448</v>
      </c>
      <c r="F830" s="14" t="s">
        <v>240</v>
      </c>
      <c r="G830" s="14" t="str">
        <f>""</f>
        <v/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241</v>
      </c>
      <c r="L830" s="14" t="s">
        <v>231</v>
      </c>
      <c r="P830" s="14" t="s">
        <v>25</v>
      </c>
      <c r="Q830" s="14" t="s">
        <v>25</v>
      </c>
      <c r="R830" s="14" t="s">
        <v>242</v>
      </c>
    </row>
    <row r="831" spans="1:18" s="14" customFormat="1" x14ac:dyDescent="0.25">
      <c r="A831" s="14" t="str">
        <f>"11014"</f>
        <v>11014</v>
      </c>
      <c r="B831" s="14" t="str">
        <f>"03020"</f>
        <v>03020</v>
      </c>
      <c r="C831" s="14" t="str">
        <f>"1400"</f>
        <v>1400</v>
      </c>
      <c r="D831" s="14" t="str">
        <f>""</f>
        <v/>
      </c>
      <c r="E831" s="14" t="s">
        <v>449</v>
      </c>
      <c r="F831" s="14" t="s">
        <v>220</v>
      </c>
      <c r="G831" s="14" t="str">
        <f>""</f>
        <v/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34</v>
      </c>
      <c r="P831" s="14" t="s">
        <v>25</v>
      </c>
      <c r="Q831" s="14" t="s">
        <v>25</v>
      </c>
      <c r="R831" s="14" t="s">
        <v>35</v>
      </c>
    </row>
    <row r="832" spans="1:18" s="14" customFormat="1" x14ac:dyDescent="0.25">
      <c r="A832" s="14" t="str">
        <f>"11015"</f>
        <v>11015</v>
      </c>
      <c r="B832" s="14" t="str">
        <f>"03020"</f>
        <v>03020</v>
      </c>
      <c r="C832" s="14" t="str">
        <f>"1400"</f>
        <v>1400</v>
      </c>
      <c r="D832" s="14" t="str">
        <f>""</f>
        <v/>
      </c>
      <c r="E832" s="14" t="s">
        <v>450</v>
      </c>
      <c r="F832" s="14" t="s">
        <v>220</v>
      </c>
      <c r="G832" s="14" t="str">
        <f>""</f>
        <v/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34</v>
      </c>
      <c r="P832" s="14" t="s">
        <v>25</v>
      </c>
      <c r="Q832" s="14" t="s">
        <v>25</v>
      </c>
      <c r="R832" s="14" t="s">
        <v>35</v>
      </c>
    </row>
    <row r="833" spans="1:18" s="14" customFormat="1" x14ac:dyDescent="0.25">
      <c r="A833" s="14" t="str">
        <f>"11016"</f>
        <v>11016</v>
      </c>
      <c r="B833" s="14" t="str">
        <f>"03020"</f>
        <v>03020</v>
      </c>
      <c r="C833" s="14" t="str">
        <f>"1400"</f>
        <v>1400</v>
      </c>
      <c r="D833" s="14" t="str">
        <f>""</f>
        <v/>
      </c>
      <c r="E833" s="14" t="s">
        <v>451</v>
      </c>
      <c r="F833" s="14" t="s">
        <v>220</v>
      </c>
      <c r="G833" s="14" t="str">
        <f>""</f>
        <v/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34</v>
      </c>
      <c r="P833" s="14" t="s">
        <v>25</v>
      </c>
      <c r="Q833" s="14" t="s">
        <v>25</v>
      </c>
      <c r="R833" s="14" t="s">
        <v>35</v>
      </c>
    </row>
    <row r="834" spans="1:18" s="14" customFormat="1" x14ac:dyDescent="0.25">
      <c r="A834" s="14" t="str">
        <f>"11017"</f>
        <v>11017</v>
      </c>
      <c r="B834" s="14" t="str">
        <f>"03020"</f>
        <v>03020</v>
      </c>
      <c r="C834" s="14" t="str">
        <f>"1400"</f>
        <v>1400</v>
      </c>
      <c r="D834" s="14" t="str">
        <f>""</f>
        <v/>
      </c>
      <c r="E834" s="14" t="s">
        <v>452</v>
      </c>
      <c r="F834" s="14" t="s">
        <v>220</v>
      </c>
      <c r="G834" s="14" t="str">
        <f>""</f>
        <v/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34</v>
      </c>
      <c r="P834" s="14" t="s">
        <v>25</v>
      </c>
      <c r="Q834" s="14" t="s">
        <v>25</v>
      </c>
      <c r="R834" s="14" t="s">
        <v>35</v>
      </c>
    </row>
    <row r="835" spans="1:18" s="14" customFormat="1" x14ac:dyDescent="0.25">
      <c r="A835" s="14" t="str">
        <f>"11018"</f>
        <v>11018</v>
      </c>
      <c r="B835" s="14" t="str">
        <f>"03020"</f>
        <v>03020</v>
      </c>
      <c r="C835" s="14" t="str">
        <f>"1400"</f>
        <v>1400</v>
      </c>
      <c r="D835" s="14" t="str">
        <f>""</f>
        <v/>
      </c>
      <c r="E835" s="14" t="s">
        <v>453</v>
      </c>
      <c r="F835" s="14" t="s">
        <v>220</v>
      </c>
      <c r="G835" s="14" t="str">
        <f>""</f>
        <v/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34</v>
      </c>
      <c r="P835" s="14" t="s">
        <v>25</v>
      </c>
      <c r="Q835" s="14" t="s">
        <v>25</v>
      </c>
      <c r="R835" s="14" t="s">
        <v>35</v>
      </c>
    </row>
    <row r="836" spans="1:18" s="14" customFormat="1" x14ac:dyDescent="0.25">
      <c r="A836" s="14" t="str">
        <f>"11020"</f>
        <v>11020</v>
      </c>
      <c r="B836" s="14" t="str">
        <f>"03020"</f>
        <v>03020</v>
      </c>
      <c r="C836" s="14" t="str">
        <f>"1400"</f>
        <v>1400</v>
      </c>
      <c r="D836" s="14" t="str">
        <f>""</f>
        <v/>
      </c>
      <c r="E836" s="14" t="s">
        <v>455</v>
      </c>
      <c r="F836" s="14" t="s">
        <v>220</v>
      </c>
      <c r="G836" s="14" t="str">
        <f>""</f>
        <v/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34</v>
      </c>
      <c r="P836" s="14" t="s">
        <v>25</v>
      </c>
      <c r="Q836" s="14" t="s">
        <v>25</v>
      </c>
      <c r="R836" s="14" t="s">
        <v>35</v>
      </c>
    </row>
    <row r="837" spans="1:18" s="14" customFormat="1" x14ac:dyDescent="0.25">
      <c r="A837" s="14" t="str">
        <f>"11021"</f>
        <v>11021</v>
      </c>
      <c r="B837" s="14" t="str">
        <f>"03020"</f>
        <v>03020</v>
      </c>
      <c r="C837" s="14" t="str">
        <f>"1400"</f>
        <v>1400</v>
      </c>
      <c r="D837" s="14" t="str">
        <f>""</f>
        <v/>
      </c>
      <c r="E837" s="14" t="s">
        <v>456</v>
      </c>
      <c r="F837" s="14" t="s">
        <v>220</v>
      </c>
      <c r="G837" s="14" t="str">
        <f>""</f>
        <v/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34</v>
      </c>
      <c r="P837" s="14" t="s">
        <v>25</v>
      </c>
      <c r="Q837" s="14" t="s">
        <v>25</v>
      </c>
      <c r="R837" s="14" t="s">
        <v>35</v>
      </c>
    </row>
    <row r="838" spans="1:18" s="14" customFormat="1" x14ac:dyDescent="0.25">
      <c r="A838" s="14" t="str">
        <f>"11023"</f>
        <v>11023</v>
      </c>
      <c r="B838" s="14" t="str">
        <f>"03000"</f>
        <v>03000</v>
      </c>
      <c r="C838" s="14" t="str">
        <f>"1400"</f>
        <v>1400</v>
      </c>
      <c r="D838" s="14" t="str">
        <f>""</f>
        <v/>
      </c>
      <c r="E838" s="14" t="s">
        <v>457</v>
      </c>
      <c r="F838" s="14" t="s">
        <v>217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34</v>
      </c>
      <c r="P838" s="14" t="s">
        <v>25</v>
      </c>
      <c r="Q838" s="14" t="s">
        <v>25</v>
      </c>
      <c r="R838" s="14" t="s">
        <v>35</v>
      </c>
    </row>
    <row r="839" spans="1:18" s="14" customFormat="1" x14ac:dyDescent="0.25">
      <c r="A839" s="14" t="str">
        <f>"11024"</f>
        <v>11024</v>
      </c>
      <c r="B839" s="14" t="str">
        <f>"01780"</f>
        <v>01780</v>
      </c>
      <c r="C839" s="14" t="str">
        <f>"1300"</f>
        <v>1300</v>
      </c>
      <c r="D839" s="14" t="str">
        <f>""</f>
        <v/>
      </c>
      <c r="E839" s="14" t="s">
        <v>458</v>
      </c>
      <c r="F839" s="14" t="s">
        <v>175</v>
      </c>
      <c r="G839" s="14" t="str">
        <f>""</f>
        <v/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112</v>
      </c>
      <c r="L839" s="14" t="s">
        <v>113</v>
      </c>
      <c r="M839" s="14" t="s">
        <v>114</v>
      </c>
      <c r="P839" s="14" t="s">
        <v>25</v>
      </c>
      <c r="Q839" s="14" t="s">
        <v>25</v>
      </c>
      <c r="R839" s="14" t="s">
        <v>115</v>
      </c>
    </row>
    <row r="840" spans="1:18" s="14" customFormat="1" x14ac:dyDescent="0.25">
      <c r="A840" s="14" t="str">
        <f>"11025"</f>
        <v>11025</v>
      </c>
      <c r="B840" s="14" t="str">
        <f>"01000"</f>
        <v>01000</v>
      </c>
      <c r="C840" s="14" t="str">
        <f>"1400"</f>
        <v>1400</v>
      </c>
      <c r="D840" s="14" t="str">
        <f>""</f>
        <v/>
      </c>
      <c r="E840" s="14" t="s">
        <v>459</v>
      </c>
      <c r="F840" s="14" t="s">
        <v>44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37</v>
      </c>
      <c r="L840" s="14" t="s">
        <v>34</v>
      </c>
      <c r="P840" s="14" t="s">
        <v>25</v>
      </c>
      <c r="Q840" s="14" t="s">
        <v>25</v>
      </c>
      <c r="R840" s="14" t="s">
        <v>38</v>
      </c>
    </row>
    <row r="841" spans="1:18" s="14" customFormat="1" x14ac:dyDescent="0.25">
      <c r="A841" s="14" t="str">
        <f>"11026"</f>
        <v>11026</v>
      </c>
      <c r="B841" s="14" t="str">
        <f>"03000"</f>
        <v>03000</v>
      </c>
      <c r="C841" s="14" t="str">
        <f>"1400"</f>
        <v>1400</v>
      </c>
      <c r="D841" s="14" t="str">
        <f>""</f>
        <v/>
      </c>
      <c r="E841" s="14" t="s">
        <v>460</v>
      </c>
      <c r="F841" s="14" t="s">
        <v>217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34</v>
      </c>
      <c r="P841" s="14" t="s">
        <v>25</v>
      </c>
      <c r="Q841" s="14" t="s">
        <v>25</v>
      </c>
      <c r="R841" s="14" t="s">
        <v>35</v>
      </c>
    </row>
    <row r="842" spans="1:18" s="14" customFormat="1" x14ac:dyDescent="0.25">
      <c r="A842" s="14" t="str">
        <f>"11028"</f>
        <v>11028</v>
      </c>
      <c r="B842" s="14" t="str">
        <f>"01035"</f>
        <v>01035</v>
      </c>
      <c r="C842" s="14" t="str">
        <f>"1600"</f>
        <v>1600</v>
      </c>
      <c r="D842" s="14" t="str">
        <f>""</f>
        <v/>
      </c>
      <c r="E842" s="14" t="s">
        <v>462</v>
      </c>
      <c r="F842" s="14" t="s">
        <v>56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37</v>
      </c>
      <c r="L842" s="14" t="s">
        <v>34</v>
      </c>
      <c r="P842" s="14" t="s">
        <v>25</v>
      </c>
      <c r="Q842" s="14" t="s">
        <v>25</v>
      </c>
      <c r="R842" s="14" t="s">
        <v>38</v>
      </c>
    </row>
    <row r="843" spans="1:18" s="14" customFormat="1" x14ac:dyDescent="0.25">
      <c r="A843" s="14" t="str">
        <f>"11029"</f>
        <v>11029</v>
      </c>
      <c r="B843" s="14" t="str">
        <f>"01000"</f>
        <v>01000</v>
      </c>
      <c r="C843" s="14" t="str">
        <f>"1400"</f>
        <v>1400</v>
      </c>
      <c r="D843" s="14" t="str">
        <f>""</f>
        <v/>
      </c>
      <c r="E843" s="14" t="s">
        <v>463</v>
      </c>
      <c r="F843" s="14" t="s">
        <v>44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37</v>
      </c>
      <c r="L843" s="14" t="s">
        <v>34</v>
      </c>
      <c r="P843" s="14" t="s">
        <v>25</v>
      </c>
      <c r="Q843" s="14" t="s">
        <v>25</v>
      </c>
      <c r="R843" s="14" t="s">
        <v>38</v>
      </c>
    </row>
    <row r="844" spans="1:18" s="14" customFormat="1" x14ac:dyDescent="0.25">
      <c r="A844" s="14" t="str">
        <f>"11030"</f>
        <v>11030</v>
      </c>
      <c r="B844" s="14" t="str">
        <f>"01780"</f>
        <v>01780</v>
      </c>
      <c r="C844" s="14" t="str">
        <f>"1300"</f>
        <v>1300</v>
      </c>
      <c r="D844" s="14" t="str">
        <f>""</f>
        <v/>
      </c>
      <c r="E844" s="14" t="s">
        <v>464</v>
      </c>
      <c r="F844" s="14" t="s">
        <v>175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37</v>
      </c>
      <c r="L844" s="14" t="s">
        <v>181</v>
      </c>
      <c r="M844" s="14" t="s">
        <v>113</v>
      </c>
      <c r="P844" s="14" t="s">
        <v>25</v>
      </c>
      <c r="Q844" s="14" t="s">
        <v>25</v>
      </c>
      <c r="R844" s="14" t="s">
        <v>115</v>
      </c>
    </row>
    <row r="845" spans="1:18" s="14" customFormat="1" x14ac:dyDescent="0.25">
      <c r="A845" s="14" t="str">
        <f>"11031"</f>
        <v>11031</v>
      </c>
      <c r="B845" s="14" t="str">
        <f>"01300"</f>
        <v>01300</v>
      </c>
      <c r="C845" s="14" t="str">
        <f>"1300"</f>
        <v>1300</v>
      </c>
      <c r="D845" s="14" t="str">
        <f>""</f>
        <v/>
      </c>
      <c r="E845" s="14" t="s">
        <v>465</v>
      </c>
      <c r="F845" s="14" t="s">
        <v>96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48</v>
      </c>
      <c r="L845" s="14" t="s">
        <v>97</v>
      </c>
      <c r="M845" s="14" t="s">
        <v>98</v>
      </c>
      <c r="P845" s="14" t="s">
        <v>25</v>
      </c>
      <c r="Q845" s="14" t="s">
        <v>25</v>
      </c>
      <c r="R845" s="14" t="s">
        <v>49</v>
      </c>
    </row>
    <row r="846" spans="1:18" s="14" customFormat="1" x14ac:dyDescent="0.25">
      <c r="A846" s="14" t="str">
        <f>"11034"</f>
        <v>11034</v>
      </c>
      <c r="B846" s="14" t="str">
        <f>"01660"</f>
        <v>01660</v>
      </c>
      <c r="C846" s="14" t="str">
        <f>"1300"</f>
        <v>1300</v>
      </c>
      <c r="D846" s="14" t="str">
        <f>""</f>
        <v/>
      </c>
      <c r="E846" s="14" t="s">
        <v>468</v>
      </c>
      <c r="F846" s="14" t="s">
        <v>145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147</v>
      </c>
      <c r="L846" s="14" t="s">
        <v>148</v>
      </c>
      <c r="P846" s="14" t="s">
        <v>25</v>
      </c>
      <c r="Q846" s="14" t="s">
        <v>25</v>
      </c>
      <c r="R846" s="14" t="s">
        <v>146</v>
      </c>
    </row>
    <row r="847" spans="1:18" s="14" customFormat="1" x14ac:dyDescent="0.25">
      <c r="A847" s="14" t="str">
        <f>"11035"</f>
        <v>11035</v>
      </c>
      <c r="B847" s="14" t="str">
        <f>"01780"</f>
        <v>01780</v>
      </c>
      <c r="C847" s="14" t="str">
        <f>"1300"</f>
        <v>1300</v>
      </c>
      <c r="D847" s="14" t="str">
        <f>""</f>
        <v/>
      </c>
      <c r="E847" s="14" t="s">
        <v>469</v>
      </c>
      <c r="F847" s="14" t="s">
        <v>175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112</v>
      </c>
      <c r="L847" s="14" t="s">
        <v>113</v>
      </c>
      <c r="M847" s="14" t="s">
        <v>114</v>
      </c>
      <c r="P847" s="14" t="s">
        <v>25</v>
      </c>
      <c r="Q847" s="14" t="s">
        <v>25</v>
      </c>
      <c r="R847" s="14" t="s">
        <v>115</v>
      </c>
    </row>
    <row r="848" spans="1:18" s="14" customFormat="1" x14ac:dyDescent="0.25">
      <c r="A848" s="14" t="str">
        <f>"11036"</f>
        <v>11036</v>
      </c>
      <c r="B848" s="14" t="str">
        <f>"01240"</f>
        <v>01240</v>
      </c>
      <c r="C848" s="14" t="str">
        <f>"1400"</f>
        <v>1400</v>
      </c>
      <c r="D848" s="14" t="str">
        <f>""</f>
        <v/>
      </c>
      <c r="E848" s="14" t="s">
        <v>470</v>
      </c>
      <c r="F848" s="14" t="s">
        <v>80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81</v>
      </c>
      <c r="L848" s="14" t="s">
        <v>37</v>
      </c>
      <c r="P848" s="14" t="s">
        <v>25</v>
      </c>
      <c r="Q848" s="14" t="s">
        <v>25</v>
      </c>
      <c r="R848" s="14" t="s">
        <v>81</v>
      </c>
    </row>
    <row r="849" spans="1:18" s="14" customFormat="1" x14ac:dyDescent="0.25">
      <c r="A849" s="14" t="str">
        <f>"11037"</f>
        <v>11037</v>
      </c>
      <c r="B849" s="14" t="str">
        <f>"01441"</f>
        <v>01441</v>
      </c>
      <c r="C849" s="14" t="str">
        <f>"1300"</f>
        <v>1300</v>
      </c>
      <c r="D849" s="14" t="str">
        <f>""</f>
        <v/>
      </c>
      <c r="E849" s="14" t="s">
        <v>471</v>
      </c>
      <c r="F849" s="14" t="s">
        <v>125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124</v>
      </c>
      <c r="L849" s="14" t="s">
        <v>69</v>
      </c>
      <c r="M849" s="14" t="s">
        <v>70</v>
      </c>
      <c r="N849" s="14" t="s">
        <v>71</v>
      </c>
      <c r="P849" s="14" t="s">
        <v>25</v>
      </c>
      <c r="Q849" s="14" t="s">
        <v>25</v>
      </c>
      <c r="R849" s="14" t="s">
        <v>72</v>
      </c>
    </row>
    <row r="850" spans="1:18" s="14" customFormat="1" x14ac:dyDescent="0.25">
      <c r="A850" s="14" t="str">
        <f>"11038"</f>
        <v>11038</v>
      </c>
      <c r="B850" s="14" t="str">
        <f>"01180"</f>
        <v>01180</v>
      </c>
      <c r="C850" s="14" t="str">
        <f>"1100"</f>
        <v>1100</v>
      </c>
      <c r="D850" s="14" t="str">
        <f>""</f>
        <v/>
      </c>
      <c r="E850" s="14" t="s">
        <v>472</v>
      </c>
      <c r="F850" s="14" t="s">
        <v>65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37</v>
      </c>
      <c r="L850" s="14" t="s">
        <v>34</v>
      </c>
      <c r="P850" s="14" t="s">
        <v>25</v>
      </c>
      <c r="Q850" s="14" t="s">
        <v>25</v>
      </c>
      <c r="R850" s="14" t="s">
        <v>38</v>
      </c>
    </row>
    <row r="851" spans="1:18" s="14" customFormat="1" x14ac:dyDescent="0.25">
      <c r="A851" s="14" t="str">
        <f>"11039"</f>
        <v>11039</v>
      </c>
      <c r="B851" s="14" t="str">
        <f>"05020"</f>
        <v>05020</v>
      </c>
      <c r="C851" s="14" t="str">
        <f>"1700"</f>
        <v>1700</v>
      </c>
      <c r="D851" s="14" t="str">
        <f>""</f>
        <v/>
      </c>
      <c r="E851" s="14" t="s">
        <v>473</v>
      </c>
      <c r="F851" s="14" t="s">
        <v>374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375</v>
      </c>
      <c r="L851" s="14" t="s">
        <v>376</v>
      </c>
      <c r="M851" s="14" t="s">
        <v>47</v>
      </c>
      <c r="N851" s="14" t="s">
        <v>377</v>
      </c>
      <c r="P851" s="14" t="s">
        <v>25</v>
      </c>
      <c r="Q851" s="14" t="s">
        <v>25</v>
      </c>
      <c r="R851" s="14" t="s">
        <v>47</v>
      </c>
    </row>
    <row r="852" spans="1:18" s="14" customFormat="1" x14ac:dyDescent="0.25">
      <c r="A852" s="14" t="str">
        <f>"11040"</f>
        <v>11040</v>
      </c>
      <c r="B852" s="14" t="str">
        <f>"01670"</f>
        <v>01670</v>
      </c>
      <c r="C852" s="14" t="str">
        <f>"1100"</f>
        <v>1100</v>
      </c>
      <c r="D852" s="14" t="str">
        <f>""</f>
        <v/>
      </c>
      <c r="E852" s="14" t="s">
        <v>474</v>
      </c>
      <c r="F852" s="14" t="s">
        <v>151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147</v>
      </c>
      <c r="L852" s="14" t="s">
        <v>148</v>
      </c>
      <c r="P852" s="14" t="s">
        <v>25</v>
      </c>
      <c r="Q852" s="14" t="s">
        <v>25</v>
      </c>
      <c r="R852" s="14" t="s">
        <v>146</v>
      </c>
    </row>
    <row r="853" spans="1:18" s="14" customFormat="1" x14ac:dyDescent="0.25">
      <c r="A853" s="14" t="str">
        <f>"11041"</f>
        <v>11041</v>
      </c>
      <c r="B853" s="14" t="str">
        <f>"01040"</f>
        <v>01040</v>
      </c>
      <c r="C853" s="14" t="str">
        <f>"1100"</f>
        <v>1100</v>
      </c>
      <c r="D853" s="14" t="str">
        <f>""</f>
        <v/>
      </c>
      <c r="E853" s="14" t="s">
        <v>475</v>
      </c>
      <c r="F853" s="14" t="s">
        <v>57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53</v>
      </c>
      <c r="L853" s="14" t="s">
        <v>58</v>
      </c>
      <c r="M853" s="14" t="s">
        <v>55</v>
      </c>
      <c r="P853" s="14" t="s">
        <v>25</v>
      </c>
      <c r="Q853" s="14" t="s">
        <v>25</v>
      </c>
      <c r="R853" s="14" t="s">
        <v>58</v>
      </c>
    </row>
    <row r="854" spans="1:18" s="14" customFormat="1" x14ac:dyDescent="0.25">
      <c r="A854" s="14" t="str">
        <f>"11042"</f>
        <v>11042</v>
      </c>
      <c r="B854" s="14" t="str">
        <f>"01710"</f>
        <v>01710</v>
      </c>
      <c r="C854" s="14" t="str">
        <f>"1100"</f>
        <v>1100</v>
      </c>
      <c r="D854" s="14" t="str">
        <f>""</f>
        <v/>
      </c>
      <c r="E854" s="14" t="s">
        <v>476</v>
      </c>
      <c r="F854" s="14" t="s">
        <v>161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147</v>
      </c>
      <c r="L854" s="14" t="s">
        <v>154</v>
      </c>
      <c r="P854" s="14" t="s">
        <v>25</v>
      </c>
      <c r="Q854" s="14" t="s">
        <v>25</v>
      </c>
      <c r="R854" s="14" t="s">
        <v>146</v>
      </c>
    </row>
    <row r="855" spans="1:18" s="14" customFormat="1" x14ac:dyDescent="0.25">
      <c r="A855" s="14" t="str">
        <f>"11043"</f>
        <v>11043</v>
      </c>
      <c r="B855" s="14" t="str">
        <f>"01390"</f>
        <v>01390</v>
      </c>
      <c r="C855" s="14" t="str">
        <f>"1100"</f>
        <v>1100</v>
      </c>
      <c r="D855" s="14" t="str">
        <f>""</f>
        <v/>
      </c>
      <c r="E855" s="14" t="s">
        <v>477</v>
      </c>
      <c r="F855" s="14" t="s">
        <v>116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112</v>
      </c>
      <c r="L855" s="14" t="s">
        <v>113</v>
      </c>
      <c r="M855" s="14" t="s">
        <v>114</v>
      </c>
      <c r="P855" s="14" t="s">
        <v>25</v>
      </c>
      <c r="Q855" s="14" t="s">
        <v>25</v>
      </c>
      <c r="R855" s="14" t="s">
        <v>115</v>
      </c>
    </row>
    <row r="856" spans="1:18" s="14" customFormat="1" x14ac:dyDescent="0.25">
      <c r="A856" s="14" t="str">
        <f>"11044"</f>
        <v>11044</v>
      </c>
      <c r="B856" s="14" t="str">
        <f>"01780"</f>
        <v>01780</v>
      </c>
      <c r="C856" s="14" t="str">
        <f>"1300"</f>
        <v>1300</v>
      </c>
      <c r="D856" s="14" t="str">
        <f>""</f>
        <v/>
      </c>
      <c r="E856" s="14" t="s">
        <v>478</v>
      </c>
      <c r="F856" s="14" t="s">
        <v>175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112</v>
      </c>
      <c r="L856" s="14" t="s">
        <v>113</v>
      </c>
      <c r="M856" s="14" t="s">
        <v>114</v>
      </c>
      <c r="P856" s="14" t="s">
        <v>25</v>
      </c>
      <c r="Q856" s="14" t="s">
        <v>25</v>
      </c>
      <c r="R856" s="14" t="s">
        <v>115</v>
      </c>
    </row>
    <row r="857" spans="1:18" s="14" customFormat="1" x14ac:dyDescent="0.25">
      <c r="A857" s="14" t="str">
        <f>"11045"</f>
        <v>11045</v>
      </c>
      <c r="B857" s="14" t="str">
        <f>"01320"</f>
        <v>01320</v>
      </c>
      <c r="C857" s="14" t="str">
        <f>"1100"</f>
        <v>1100</v>
      </c>
      <c r="D857" s="14" t="str">
        <f>""</f>
        <v/>
      </c>
      <c r="E857" s="14" t="s">
        <v>479</v>
      </c>
      <c r="F857" s="14" t="s">
        <v>103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48</v>
      </c>
      <c r="L857" s="14" t="s">
        <v>97</v>
      </c>
      <c r="M857" s="14" t="s">
        <v>98</v>
      </c>
      <c r="P857" s="14" t="s">
        <v>25</v>
      </c>
      <c r="Q857" s="14" t="s">
        <v>25</v>
      </c>
      <c r="R857" s="14" t="s">
        <v>49</v>
      </c>
    </row>
    <row r="858" spans="1:18" s="14" customFormat="1" x14ac:dyDescent="0.25">
      <c r="A858" s="14" t="str">
        <f>"11046"</f>
        <v>11046</v>
      </c>
      <c r="B858" s="14" t="str">
        <f>"01780"</f>
        <v>01780</v>
      </c>
      <c r="C858" s="14" t="str">
        <f>"1300"</f>
        <v>1300</v>
      </c>
      <c r="D858" s="14" t="str">
        <f>""</f>
        <v/>
      </c>
      <c r="E858" s="14" t="s">
        <v>480</v>
      </c>
      <c r="F858" s="14" t="s">
        <v>175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112</v>
      </c>
      <c r="L858" s="14" t="s">
        <v>113</v>
      </c>
      <c r="M858" s="14" t="s">
        <v>114</v>
      </c>
      <c r="P858" s="14" t="s">
        <v>25</v>
      </c>
      <c r="Q858" s="14" t="s">
        <v>25</v>
      </c>
      <c r="R858" s="14" t="s">
        <v>115</v>
      </c>
    </row>
    <row r="859" spans="1:18" s="14" customFormat="1" x14ac:dyDescent="0.25">
      <c r="A859" s="14" t="str">
        <f>"11047"</f>
        <v>11047</v>
      </c>
      <c r="B859" s="14" t="str">
        <f>"03120"</f>
        <v>03120</v>
      </c>
      <c r="C859" s="14" t="str">
        <f>"1500"</f>
        <v>1500</v>
      </c>
      <c r="D859" s="14" t="str">
        <f>""</f>
        <v/>
      </c>
      <c r="E859" s="14" t="s">
        <v>481</v>
      </c>
      <c r="F859" s="14" t="s">
        <v>243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244</v>
      </c>
      <c r="P859" s="14" t="s">
        <v>25</v>
      </c>
      <c r="Q859" s="14" t="s">
        <v>25</v>
      </c>
      <c r="R859" s="14" t="s">
        <v>245</v>
      </c>
    </row>
    <row r="860" spans="1:18" s="14" customFormat="1" x14ac:dyDescent="0.25">
      <c r="A860" s="14" t="str">
        <f>"11049"</f>
        <v>11049</v>
      </c>
      <c r="B860" s="14" t="str">
        <f>"03020"</f>
        <v>03020</v>
      </c>
      <c r="C860" s="14" t="str">
        <f>"1400"</f>
        <v>1400</v>
      </c>
      <c r="D860" s="14" t="str">
        <f>""</f>
        <v/>
      </c>
      <c r="E860" s="14" t="s">
        <v>483</v>
      </c>
      <c r="F860" s="14" t="s">
        <v>220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34</v>
      </c>
      <c r="L860" s="14" t="s">
        <v>25</v>
      </c>
      <c r="P860" s="14" t="s">
        <v>25</v>
      </c>
      <c r="Q860" s="14" t="s">
        <v>25</v>
      </c>
      <c r="R860" s="14" t="s">
        <v>35</v>
      </c>
    </row>
    <row r="861" spans="1:18" s="14" customFormat="1" x14ac:dyDescent="0.25">
      <c r="A861" s="14" t="str">
        <f>"11050"</f>
        <v>11050</v>
      </c>
      <c r="B861" s="14" t="str">
        <f>"03020"</f>
        <v>03020</v>
      </c>
      <c r="C861" s="14" t="str">
        <f>"1400"</f>
        <v>1400</v>
      </c>
      <c r="D861" s="14" t="str">
        <f>""</f>
        <v/>
      </c>
      <c r="E861" s="14" t="s">
        <v>484</v>
      </c>
      <c r="F861" s="14" t="s">
        <v>220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34</v>
      </c>
      <c r="L861" s="14" t="s">
        <v>25</v>
      </c>
      <c r="P861" s="14" t="s">
        <v>25</v>
      </c>
      <c r="Q861" s="14" t="s">
        <v>25</v>
      </c>
      <c r="R861" s="14" t="s">
        <v>35</v>
      </c>
    </row>
    <row r="862" spans="1:18" s="14" customFormat="1" x14ac:dyDescent="0.25">
      <c r="A862" s="14" t="str">
        <f>"11051"</f>
        <v>11051</v>
      </c>
      <c r="B862" s="14" t="str">
        <f>"01770"</f>
        <v>01770</v>
      </c>
      <c r="C862" s="14" t="str">
        <f>"1100"</f>
        <v>1100</v>
      </c>
      <c r="D862" s="14" t="str">
        <f>""</f>
        <v/>
      </c>
      <c r="E862" s="14" t="s">
        <v>485</v>
      </c>
      <c r="F862" s="14" t="s">
        <v>172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147</v>
      </c>
      <c r="L862" s="14" t="s">
        <v>154</v>
      </c>
      <c r="P862" s="14" t="s">
        <v>25</v>
      </c>
      <c r="Q862" s="14" t="s">
        <v>25</v>
      </c>
      <c r="R862" s="14" t="s">
        <v>146</v>
      </c>
    </row>
    <row r="863" spans="1:18" s="14" customFormat="1" x14ac:dyDescent="0.25">
      <c r="A863" s="14" t="str">
        <f>"11052"</f>
        <v>11052</v>
      </c>
      <c r="B863" s="14" t="str">
        <f>"06000"</f>
        <v>06000</v>
      </c>
      <c r="C863" s="14" t="str">
        <f>"1700"</f>
        <v>1700</v>
      </c>
      <c r="D863" s="14" t="str">
        <f>""</f>
        <v/>
      </c>
      <c r="E863" s="14" t="s">
        <v>1921</v>
      </c>
      <c r="F863" s="14" t="s">
        <v>409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34</v>
      </c>
      <c r="L863" s="14" t="s">
        <v>25</v>
      </c>
      <c r="P863" s="14" t="s">
        <v>25</v>
      </c>
      <c r="Q863" s="14" t="s">
        <v>25</v>
      </c>
      <c r="R863" s="14" t="s">
        <v>35</v>
      </c>
    </row>
    <row r="864" spans="1:18" s="14" customFormat="1" x14ac:dyDescent="0.25">
      <c r="A864" s="14" t="str">
        <f>"40002"</f>
        <v>40002</v>
      </c>
      <c r="B864" s="14" t="str">
        <f>"03050"</f>
        <v>03050</v>
      </c>
      <c r="C864" s="14" t="str">
        <f>"1400"</f>
        <v>1400</v>
      </c>
      <c r="D864" s="14" t="str">
        <f>""</f>
        <v/>
      </c>
      <c r="E864" s="14" t="s">
        <v>994</v>
      </c>
      <c r="F864" s="14" t="s">
        <v>225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226</v>
      </c>
      <c r="P864" s="14" t="s">
        <v>995</v>
      </c>
      <c r="Q864" s="14" t="s">
        <v>995</v>
      </c>
      <c r="R864" s="14" t="s">
        <v>995</v>
      </c>
    </row>
    <row r="865" spans="1:18" s="14" customFormat="1" x14ac:dyDescent="0.25">
      <c r="A865" s="14" t="str">
        <f>"10001"</f>
        <v>10001</v>
      </c>
      <c r="B865" s="14" t="str">
        <f>"03092"</f>
        <v>03092</v>
      </c>
      <c r="C865" s="14" t="str">
        <f>"1500"</f>
        <v>1500</v>
      </c>
      <c r="D865" s="14" t="str">
        <f>"03092"</f>
        <v>03092</v>
      </c>
      <c r="E865" s="14" t="s">
        <v>20</v>
      </c>
      <c r="F865" s="14" t="s">
        <v>235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236</v>
      </c>
      <c r="L865" s="14" t="s">
        <v>237</v>
      </c>
      <c r="M865" s="14" t="s">
        <v>238</v>
      </c>
      <c r="P865" s="14" t="s">
        <v>239</v>
      </c>
      <c r="Q865" s="14" t="s">
        <v>25</v>
      </c>
      <c r="R865" s="14" t="s">
        <v>1930</v>
      </c>
    </row>
    <row r="866" spans="1:18" s="14" customFormat="1" x14ac:dyDescent="0.25">
      <c r="A866" s="14" t="str">
        <f>"10001"</f>
        <v>10001</v>
      </c>
      <c r="B866" s="14" t="str">
        <f>"03140"</f>
        <v>03140</v>
      </c>
      <c r="C866" s="14" t="str">
        <f>"1500"</f>
        <v>1500</v>
      </c>
      <c r="D866" s="14" t="str">
        <f>"03140A"</f>
        <v>03140A</v>
      </c>
      <c r="E866" s="14" t="s">
        <v>20</v>
      </c>
      <c r="F866" s="14" t="s">
        <v>247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236</v>
      </c>
      <c r="L866" s="14" t="s">
        <v>237</v>
      </c>
      <c r="M866" s="14" t="s">
        <v>238</v>
      </c>
      <c r="P866" s="14" t="s">
        <v>239</v>
      </c>
      <c r="Q866" s="14" t="s">
        <v>25</v>
      </c>
      <c r="R866" s="14" t="s">
        <v>1930</v>
      </c>
    </row>
    <row r="867" spans="1:18" s="14" customFormat="1" x14ac:dyDescent="0.25">
      <c r="A867" s="14" t="str">
        <f>"10001"</f>
        <v>10001</v>
      </c>
      <c r="B867" s="14" t="str">
        <f>"03145"</f>
        <v>03145</v>
      </c>
      <c r="C867" s="14" t="str">
        <f>"1500"</f>
        <v>1500</v>
      </c>
      <c r="D867" s="14" t="str">
        <f>"03145"</f>
        <v>03145</v>
      </c>
      <c r="E867" s="14" t="s">
        <v>20</v>
      </c>
      <c r="F867" s="14" t="s">
        <v>248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236</v>
      </c>
      <c r="L867" s="14" t="s">
        <v>237</v>
      </c>
      <c r="M867" s="14" t="s">
        <v>238</v>
      </c>
      <c r="P867" s="14" t="s">
        <v>239</v>
      </c>
      <c r="Q867" s="14" t="s">
        <v>25</v>
      </c>
      <c r="R867" s="14" t="s">
        <v>1930</v>
      </c>
    </row>
    <row r="868" spans="1:18" s="14" customFormat="1" x14ac:dyDescent="0.25">
      <c r="A868" s="14" t="str">
        <f>"10001"</f>
        <v>10001</v>
      </c>
      <c r="B868" s="14" t="str">
        <f>"03150"</f>
        <v>03150</v>
      </c>
      <c r="C868" s="14" t="str">
        <f>"1500"</f>
        <v>1500</v>
      </c>
      <c r="D868" s="14" t="str">
        <f>"03150"</f>
        <v>03150</v>
      </c>
      <c r="E868" s="14" t="s">
        <v>20</v>
      </c>
      <c r="F868" s="14" t="s">
        <v>249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236</v>
      </c>
      <c r="L868" s="14" t="s">
        <v>237</v>
      </c>
      <c r="M868" s="14" t="s">
        <v>238</v>
      </c>
      <c r="P868" s="14" t="s">
        <v>239</v>
      </c>
      <c r="Q868" s="14" t="s">
        <v>25</v>
      </c>
      <c r="R868" s="14" t="s">
        <v>250</v>
      </c>
    </row>
    <row r="869" spans="1:18" s="14" customFormat="1" x14ac:dyDescent="0.25">
      <c r="A869" s="14" t="str">
        <f>"10001"</f>
        <v>10001</v>
      </c>
      <c r="B869" s="14" t="str">
        <f>"03800"</f>
        <v>03800</v>
      </c>
      <c r="C869" s="14" t="str">
        <f>"1000"</f>
        <v>1000</v>
      </c>
      <c r="D869" s="14" t="str">
        <f>""</f>
        <v/>
      </c>
      <c r="E869" s="14" t="s">
        <v>20</v>
      </c>
      <c r="F869" s="14" t="s">
        <v>310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34</v>
      </c>
      <c r="P869" s="14" t="s">
        <v>239</v>
      </c>
      <c r="Q869" s="14" t="s">
        <v>25</v>
      </c>
      <c r="R869" s="14" t="s">
        <v>35</v>
      </c>
    </row>
    <row r="870" spans="1:18" s="14" customFormat="1" x14ac:dyDescent="0.25">
      <c r="A870" s="14" t="str">
        <f>"18098"</f>
        <v>18098</v>
      </c>
      <c r="B870" s="14" t="str">
        <f>"03150"</f>
        <v>03150</v>
      </c>
      <c r="C870" s="14" t="str">
        <f>"1500"</f>
        <v>1500</v>
      </c>
      <c r="D870" s="14" t="str">
        <f>"18098"</f>
        <v>18098</v>
      </c>
      <c r="E870" s="14" t="s">
        <v>249</v>
      </c>
      <c r="F870" s="14" t="s">
        <v>249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236</v>
      </c>
      <c r="L870" s="14" t="s">
        <v>237</v>
      </c>
      <c r="M870" s="14" t="s">
        <v>238</v>
      </c>
      <c r="P870" s="14" t="s">
        <v>239</v>
      </c>
      <c r="Q870" s="14" t="s">
        <v>25</v>
      </c>
      <c r="R870" s="14" t="s">
        <v>1930</v>
      </c>
    </row>
    <row r="871" spans="1:18" s="14" customFormat="1" x14ac:dyDescent="0.25">
      <c r="A871" s="14" t="str">
        <f>"18121"</f>
        <v>18121</v>
      </c>
      <c r="B871" s="14" t="str">
        <f>"03140"</f>
        <v>03140</v>
      </c>
      <c r="C871" s="14" t="str">
        <f>"1500"</f>
        <v>1500</v>
      </c>
      <c r="D871" s="14" t="str">
        <f>"18121"</f>
        <v>18121</v>
      </c>
      <c r="E871" s="14" t="s">
        <v>686</v>
      </c>
      <c r="F871" s="14" t="s">
        <v>247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236</v>
      </c>
      <c r="L871" s="14" t="s">
        <v>237</v>
      </c>
      <c r="M871" s="14" t="s">
        <v>238</v>
      </c>
      <c r="P871" s="14" t="s">
        <v>239</v>
      </c>
      <c r="Q871" s="14" t="s">
        <v>239</v>
      </c>
      <c r="R871" s="14" t="s">
        <v>1930</v>
      </c>
    </row>
    <row r="872" spans="1:18" s="14" customFormat="1" x14ac:dyDescent="0.25">
      <c r="A872" s="14" t="str">
        <f>"18128"</f>
        <v>18128</v>
      </c>
      <c r="B872" s="14" t="str">
        <f>"00100"</f>
        <v>00100</v>
      </c>
      <c r="C872" s="14" t="str">
        <f>"1400"</f>
        <v>1400</v>
      </c>
      <c r="D872" s="14" t="str">
        <f>"18128"</f>
        <v>18128</v>
      </c>
      <c r="E872" s="14" t="s">
        <v>693</v>
      </c>
      <c r="F872" s="14" t="s">
        <v>21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22</v>
      </c>
      <c r="L872" s="14" t="s">
        <v>23</v>
      </c>
      <c r="P872" s="14" t="s">
        <v>239</v>
      </c>
      <c r="Q872" s="14" t="s">
        <v>25</v>
      </c>
      <c r="R872" s="14" t="s">
        <v>23</v>
      </c>
    </row>
    <row r="873" spans="1:18" s="14" customFormat="1" x14ac:dyDescent="0.25">
      <c r="A873" s="14" t="str">
        <f>"35010"</f>
        <v>35010</v>
      </c>
      <c r="B873" s="14" t="str">
        <f>"03140"</f>
        <v>03140</v>
      </c>
      <c r="C873" s="14" t="str">
        <f>"1930"</f>
        <v>1930</v>
      </c>
      <c r="D873" s="14" t="str">
        <f>"35010"</f>
        <v>35010</v>
      </c>
      <c r="E873" s="14" t="s">
        <v>983</v>
      </c>
      <c r="F873" s="14" t="s">
        <v>247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236</v>
      </c>
      <c r="L873" s="14" t="s">
        <v>237</v>
      </c>
      <c r="M873" s="14" t="s">
        <v>238</v>
      </c>
      <c r="P873" s="14" t="s">
        <v>239</v>
      </c>
      <c r="Q873" s="14" t="s">
        <v>25</v>
      </c>
      <c r="R873" s="14" t="s">
        <v>1930</v>
      </c>
    </row>
    <row r="874" spans="1:18" s="14" customFormat="1" x14ac:dyDescent="0.25">
      <c r="A874" s="14" t="str">
        <f>"35105"</f>
        <v>35105</v>
      </c>
      <c r="B874" s="14" t="str">
        <f>"03140"</f>
        <v>03140</v>
      </c>
      <c r="C874" s="14" t="str">
        <f>"1930"</f>
        <v>1930</v>
      </c>
      <c r="D874" s="14" t="str">
        <f>"35105"</f>
        <v>35105</v>
      </c>
      <c r="E874" s="14" t="s">
        <v>988</v>
      </c>
      <c r="F874" s="14" t="s">
        <v>247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236</v>
      </c>
      <c r="L874" s="14" t="s">
        <v>237</v>
      </c>
      <c r="M874" s="14" t="s">
        <v>238</v>
      </c>
      <c r="P874" s="14" t="s">
        <v>239</v>
      </c>
      <c r="Q874" s="14" t="s">
        <v>25</v>
      </c>
      <c r="R874" s="14" t="s">
        <v>1930</v>
      </c>
    </row>
    <row r="875" spans="1:18" s="14" customFormat="1" x14ac:dyDescent="0.25">
      <c r="A875" s="14" t="str">
        <f>"35135"</f>
        <v>35135</v>
      </c>
      <c r="B875" s="14" t="str">
        <f>"03140"</f>
        <v>03140</v>
      </c>
      <c r="C875" s="14" t="str">
        <f>"1930"</f>
        <v>1930</v>
      </c>
      <c r="D875" s="14" t="str">
        <f>"35135"</f>
        <v>35135</v>
      </c>
      <c r="E875" s="14" t="s">
        <v>990</v>
      </c>
      <c r="F875" s="14" t="s">
        <v>247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236</v>
      </c>
      <c r="L875" s="14" t="s">
        <v>237</v>
      </c>
      <c r="M875" s="14" t="s">
        <v>238</v>
      </c>
      <c r="P875" s="14" t="s">
        <v>239</v>
      </c>
      <c r="Q875" s="14" t="s">
        <v>25</v>
      </c>
      <c r="R875" s="14" t="s">
        <v>1930</v>
      </c>
    </row>
    <row r="876" spans="1:18" s="14" customFormat="1" x14ac:dyDescent="0.25">
      <c r="A876" s="14" t="str">
        <f>"90005"</f>
        <v>90005</v>
      </c>
      <c r="B876" s="14" t="str">
        <f>"03000"</f>
        <v>03000</v>
      </c>
      <c r="C876" s="14" t="str">
        <f>"1921"</f>
        <v>1921</v>
      </c>
      <c r="D876" s="14" t="str">
        <f>""</f>
        <v/>
      </c>
      <c r="E876" s="14" t="s">
        <v>1794</v>
      </c>
      <c r="F876" s="14" t="s">
        <v>217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34</v>
      </c>
      <c r="P876" s="14" t="s">
        <v>239</v>
      </c>
      <c r="Q876" s="14" t="s">
        <v>25</v>
      </c>
      <c r="R876" s="14" t="s">
        <v>35</v>
      </c>
    </row>
    <row r="877" spans="1:18" s="14" customFormat="1" x14ac:dyDescent="0.25">
      <c r="A877" s="14" t="str">
        <f>"90007"</f>
        <v>90007</v>
      </c>
      <c r="B877" s="14" t="str">
        <f>"03000"</f>
        <v>03000</v>
      </c>
      <c r="C877" s="14" t="str">
        <f>"1930"</f>
        <v>1930</v>
      </c>
      <c r="D877" s="14" t="str">
        <f>""</f>
        <v/>
      </c>
      <c r="E877" s="14" t="s">
        <v>1795</v>
      </c>
      <c r="F877" s="14" t="s">
        <v>217</v>
      </c>
      <c r="G877" s="14" t="str">
        <f>""</f>
        <v/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34</v>
      </c>
      <c r="P877" s="14" t="s">
        <v>239</v>
      </c>
      <c r="Q877" s="14" t="s">
        <v>25</v>
      </c>
      <c r="R877" s="14" t="s">
        <v>35</v>
      </c>
    </row>
    <row r="878" spans="1:18" s="14" customFormat="1" x14ac:dyDescent="0.25">
      <c r="A878" s="14" t="str">
        <f>"90010"</f>
        <v>90010</v>
      </c>
      <c r="B878" s="14" t="str">
        <f>"03000"</f>
        <v>03000</v>
      </c>
      <c r="C878" s="14" t="str">
        <f>"1921"</f>
        <v>1921</v>
      </c>
      <c r="D878" s="14" t="str">
        <f>""</f>
        <v/>
      </c>
      <c r="E878" s="14" t="s">
        <v>1796</v>
      </c>
      <c r="F878" s="14" t="s">
        <v>217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34</v>
      </c>
      <c r="P878" s="14" t="s">
        <v>239</v>
      </c>
      <c r="Q878" s="14" t="s">
        <v>25</v>
      </c>
      <c r="R878" s="14" t="s">
        <v>35</v>
      </c>
    </row>
    <row r="879" spans="1:18" s="14" customFormat="1" x14ac:dyDescent="0.25">
      <c r="A879" s="14" t="str">
        <f>"90015"</f>
        <v>90015</v>
      </c>
      <c r="B879" s="14" t="str">
        <f>"03000"</f>
        <v>03000</v>
      </c>
      <c r="C879" s="14" t="str">
        <f>"1921"</f>
        <v>1921</v>
      </c>
      <c r="D879" s="14" t="str">
        <f>""</f>
        <v/>
      </c>
      <c r="E879" s="14" t="s">
        <v>1797</v>
      </c>
      <c r="F879" s="14" t="s">
        <v>217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34</v>
      </c>
      <c r="P879" s="14" t="s">
        <v>239</v>
      </c>
      <c r="Q879" s="14" t="s">
        <v>25</v>
      </c>
      <c r="R879" s="14" t="s">
        <v>35</v>
      </c>
    </row>
    <row r="880" spans="1:18" s="14" customFormat="1" x14ac:dyDescent="0.25">
      <c r="A880" s="14" t="str">
        <f>"90020"</f>
        <v>90020</v>
      </c>
      <c r="B880" s="14" t="str">
        <f>"03000"</f>
        <v>03000</v>
      </c>
      <c r="C880" s="14" t="str">
        <f>"1930"</f>
        <v>1930</v>
      </c>
      <c r="D880" s="14" t="str">
        <f>""</f>
        <v/>
      </c>
      <c r="E880" s="14" t="s">
        <v>1798</v>
      </c>
      <c r="F880" s="14" t="s">
        <v>217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34</v>
      </c>
      <c r="P880" s="14" t="s">
        <v>239</v>
      </c>
      <c r="Q880" s="14" t="s">
        <v>25</v>
      </c>
      <c r="R880" s="14" t="s">
        <v>35</v>
      </c>
    </row>
    <row r="881" spans="1:18" s="14" customFormat="1" x14ac:dyDescent="0.25">
      <c r="A881" s="14" t="str">
        <f>"90105"</f>
        <v>90105</v>
      </c>
      <c r="B881" s="14" t="str">
        <f>"03000"</f>
        <v>03000</v>
      </c>
      <c r="C881" s="14" t="str">
        <f>"1930"</f>
        <v>1930</v>
      </c>
      <c r="D881" s="14" t="str">
        <f>""</f>
        <v/>
      </c>
      <c r="E881" s="14" t="s">
        <v>1799</v>
      </c>
      <c r="F881" s="14" t="s">
        <v>217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34</v>
      </c>
      <c r="P881" s="14" t="s">
        <v>239</v>
      </c>
      <c r="Q881" s="14" t="s">
        <v>25</v>
      </c>
      <c r="R881" s="14" t="s">
        <v>35</v>
      </c>
    </row>
    <row r="882" spans="1:18" s="14" customFormat="1" x14ac:dyDescent="0.25">
      <c r="A882" s="14" t="str">
        <f>"90110"</f>
        <v>90110</v>
      </c>
      <c r="B882" s="14" t="str">
        <f>"03000"</f>
        <v>03000</v>
      </c>
      <c r="C882" s="14" t="str">
        <f>"1930"</f>
        <v>1930</v>
      </c>
      <c r="D882" s="14" t="str">
        <f>""</f>
        <v/>
      </c>
      <c r="E882" s="14" t="s">
        <v>1800</v>
      </c>
      <c r="F882" s="14" t="s">
        <v>217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34</v>
      </c>
      <c r="P882" s="14" t="s">
        <v>239</v>
      </c>
      <c r="Q882" s="14" t="s">
        <v>25</v>
      </c>
      <c r="R882" s="14" t="s">
        <v>35</v>
      </c>
    </row>
    <row r="883" spans="1:18" s="14" customFormat="1" x14ac:dyDescent="0.25">
      <c r="A883" s="14" t="str">
        <f>"90121"</f>
        <v>90121</v>
      </c>
      <c r="B883" s="14" t="str">
        <f>"03000"</f>
        <v>03000</v>
      </c>
      <c r="C883" s="14" t="str">
        <f>"1300"</f>
        <v>1300</v>
      </c>
      <c r="D883" s="14" t="str">
        <f>""</f>
        <v/>
      </c>
      <c r="E883" s="14" t="s">
        <v>1801</v>
      </c>
      <c r="F883" s="14" t="s">
        <v>217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34</v>
      </c>
      <c r="P883" s="14" t="s">
        <v>239</v>
      </c>
      <c r="Q883" s="14" t="s">
        <v>25</v>
      </c>
      <c r="R883" s="14" t="s">
        <v>35</v>
      </c>
    </row>
    <row r="884" spans="1:18" s="14" customFormat="1" x14ac:dyDescent="0.25">
      <c r="A884" s="14" t="str">
        <f>"90130"</f>
        <v>90130</v>
      </c>
      <c r="B884" s="14" t="str">
        <f>"03000"</f>
        <v>03000</v>
      </c>
      <c r="C884" s="14" t="str">
        <f>"1930"</f>
        <v>1930</v>
      </c>
      <c r="D884" s="14" t="str">
        <f>""</f>
        <v/>
      </c>
      <c r="E884" s="14" t="s">
        <v>1802</v>
      </c>
      <c r="F884" s="14" t="s">
        <v>217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34</v>
      </c>
      <c r="P884" s="14" t="s">
        <v>239</v>
      </c>
      <c r="Q884" s="14" t="s">
        <v>25</v>
      </c>
      <c r="R884" s="14" t="s">
        <v>35</v>
      </c>
    </row>
    <row r="885" spans="1:18" s="14" customFormat="1" x14ac:dyDescent="0.25">
      <c r="A885" s="14" t="str">
        <f>"90135"</f>
        <v>90135</v>
      </c>
      <c r="B885" s="14" t="str">
        <f>"03000"</f>
        <v>03000</v>
      </c>
      <c r="C885" s="14" t="str">
        <f>"1930"</f>
        <v>1930</v>
      </c>
      <c r="D885" s="14" t="str">
        <f>""</f>
        <v/>
      </c>
      <c r="E885" s="14" t="s">
        <v>1803</v>
      </c>
      <c r="F885" s="14" t="s">
        <v>217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34</v>
      </c>
      <c r="P885" s="14" t="s">
        <v>239</v>
      </c>
      <c r="Q885" s="14" t="s">
        <v>25</v>
      </c>
      <c r="R885" s="14" t="s">
        <v>35</v>
      </c>
    </row>
    <row r="886" spans="1:18" s="14" customFormat="1" x14ac:dyDescent="0.25">
      <c r="A886" s="14" t="str">
        <f>"90136"</f>
        <v>90136</v>
      </c>
      <c r="B886" s="14" t="str">
        <f>"03000"</f>
        <v>03000</v>
      </c>
      <c r="C886" s="14" t="str">
        <f>"1930"</f>
        <v>1930</v>
      </c>
      <c r="D886" s="14" t="str">
        <f>""</f>
        <v/>
      </c>
      <c r="E886" s="14" t="s">
        <v>1804</v>
      </c>
      <c r="F886" s="14" t="s">
        <v>217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34</v>
      </c>
      <c r="P886" s="14" t="s">
        <v>239</v>
      </c>
      <c r="Q886" s="14" t="s">
        <v>25</v>
      </c>
      <c r="R886" s="14" t="s">
        <v>35</v>
      </c>
    </row>
    <row r="887" spans="1:18" s="14" customFormat="1" x14ac:dyDescent="0.25">
      <c r="A887" s="14" t="str">
        <f>"90145"</f>
        <v>90145</v>
      </c>
      <c r="B887" s="14" t="str">
        <f>"02000"</f>
        <v>02000</v>
      </c>
      <c r="C887" s="14" t="str">
        <f>"1400"</f>
        <v>1400</v>
      </c>
      <c r="D887" s="14" t="str">
        <f>""</f>
        <v/>
      </c>
      <c r="E887" s="14" t="s">
        <v>1805</v>
      </c>
      <c r="F887" s="14" t="s">
        <v>189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28</v>
      </c>
      <c r="L887" s="14" t="s">
        <v>204</v>
      </c>
      <c r="P887" s="14" t="s">
        <v>239</v>
      </c>
      <c r="Q887" s="14" t="s">
        <v>25</v>
      </c>
      <c r="R887" s="14" t="s">
        <v>205</v>
      </c>
    </row>
    <row r="888" spans="1:18" s="14" customFormat="1" x14ac:dyDescent="0.25">
      <c r="A888" s="14" t="str">
        <f>"90150"</f>
        <v>90150</v>
      </c>
      <c r="B888" s="14" t="str">
        <f>"03000"</f>
        <v>03000</v>
      </c>
      <c r="C888" s="14" t="str">
        <f>"1500"</f>
        <v>1500</v>
      </c>
      <c r="D888" s="14" t="str">
        <f>""</f>
        <v/>
      </c>
      <c r="E888" s="14" t="s">
        <v>1806</v>
      </c>
      <c r="F888" s="14" t="s">
        <v>217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34</v>
      </c>
      <c r="P888" s="14" t="s">
        <v>239</v>
      </c>
      <c r="Q888" s="14" t="s">
        <v>25</v>
      </c>
      <c r="R888" s="14" t="s">
        <v>35</v>
      </c>
    </row>
    <row r="889" spans="1:18" s="14" customFormat="1" x14ac:dyDescent="0.25">
      <c r="A889" s="14" t="str">
        <f>"90165"</f>
        <v>90165</v>
      </c>
      <c r="B889" s="14" t="str">
        <f>"03000"</f>
        <v>03000</v>
      </c>
      <c r="C889" s="14" t="str">
        <f>"1930"</f>
        <v>1930</v>
      </c>
      <c r="D889" s="14" t="str">
        <f>""</f>
        <v/>
      </c>
      <c r="E889" s="14" t="s">
        <v>1807</v>
      </c>
      <c r="F889" s="14" t="s">
        <v>217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34</v>
      </c>
      <c r="P889" s="14" t="s">
        <v>239</v>
      </c>
      <c r="Q889" s="14" t="s">
        <v>25</v>
      </c>
      <c r="R889" s="14" t="s">
        <v>35</v>
      </c>
    </row>
    <row r="890" spans="1:18" s="14" customFormat="1" x14ac:dyDescent="0.25">
      <c r="A890" s="14" t="str">
        <f>"90175"</f>
        <v>90175</v>
      </c>
      <c r="B890" s="14" t="str">
        <f>"03000"</f>
        <v>03000</v>
      </c>
      <c r="C890" s="14" t="str">
        <f>"1930"</f>
        <v>1930</v>
      </c>
      <c r="D890" s="14" t="str">
        <f>""</f>
        <v/>
      </c>
      <c r="E890" s="14" t="s">
        <v>1808</v>
      </c>
      <c r="F890" s="14" t="s">
        <v>217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34</v>
      </c>
      <c r="P890" s="14" t="s">
        <v>239</v>
      </c>
      <c r="Q890" s="14" t="s">
        <v>25</v>
      </c>
      <c r="R890" s="14" t="s">
        <v>35</v>
      </c>
    </row>
    <row r="891" spans="1:18" s="14" customFormat="1" x14ac:dyDescent="0.25">
      <c r="A891" s="14" t="str">
        <f>"90205"</f>
        <v>90205</v>
      </c>
      <c r="B891" s="14" t="str">
        <f>"03000"</f>
        <v>03000</v>
      </c>
      <c r="C891" s="14" t="str">
        <f>"1500"</f>
        <v>1500</v>
      </c>
      <c r="D891" s="14" t="str">
        <f>""</f>
        <v/>
      </c>
      <c r="E891" s="14" t="s">
        <v>1809</v>
      </c>
      <c r="F891" s="14" t="s">
        <v>217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34</v>
      </c>
      <c r="P891" s="14" t="s">
        <v>239</v>
      </c>
      <c r="Q891" s="14" t="s">
        <v>25</v>
      </c>
      <c r="R891" s="14" t="s">
        <v>35</v>
      </c>
    </row>
    <row r="892" spans="1:18" s="14" customFormat="1" x14ac:dyDescent="0.25">
      <c r="A892" s="14" t="str">
        <f>"91005"</f>
        <v>91005</v>
      </c>
      <c r="B892" s="14" t="str">
        <f>"03000"</f>
        <v>03000</v>
      </c>
      <c r="C892" s="14" t="str">
        <f>"1500"</f>
        <v>1500</v>
      </c>
      <c r="D892" s="14" t="str">
        <f>"91005"</f>
        <v>91005</v>
      </c>
      <c r="E892" s="14" t="s">
        <v>1810</v>
      </c>
      <c r="F892" s="14" t="s">
        <v>217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34</v>
      </c>
      <c r="P892" s="14" t="s">
        <v>239</v>
      </c>
      <c r="Q892" s="14" t="s">
        <v>239</v>
      </c>
      <c r="R892" s="14" t="s">
        <v>35</v>
      </c>
    </row>
    <row r="893" spans="1:18" s="14" customFormat="1" x14ac:dyDescent="0.25">
      <c r="A893" s="14" t="str">
        <f>"91025"</f>
        <v>91025</v>
      </c>
      <c r="B893" s="14" t="str">
        <f>"03000"</f>
        <v>03000</v>
      </c>
      <c r="C893" s="14" t="str">
        <f>"1500"</f>
        <v>1500</v>
      </c>
      <c r="D893" s="14" t="str">
        <f>"91025"</f>
        <v>91025</v>
      </c>
      <c r="E893" s="14" t="s">
        <v>1811</v>
      </c>
      <c r="F893" s="14" t="s">
        <v>217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34</v>
      </c>
      <c r="P893" s="14" t="s">
        <v>239</v>
      </c>
      <c r="Q893" s="14" t="s">
        <v>239</v>
      </c>
      <c r="R893" s="14" t="s">
        <v>35</v>
      </c>
    </row>
    <row r="894" spans="1:18" s="14" customFormat="1" x14ac:dyDescent="0.25">
      <c r="A894" s="14" t="str">
        <f>"91050"</f>
        <v>91050</v>
      </c>
      <c r="B894" s="14" t="str">
        <f>"03140"</f>
        <v>03140</v>
      </c>
      <c r="C894" s="14" t="str">
        <f>"1500"</f>
        <v>1500</v>
      </c>
      <c r="D894" s="14" t="str">
        <f>"91050"</f>
        <v>91050</v>
      </c>
      <c r="E894" s="14" t="s">
        <v>1812</v>
      </c>
      <c r="F894" s="14" t="s">
        <v>247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236</v>
      </c>
      <c r="L894" s="14" t="s">
        <v>237</v>
      </c>
      <c r="M894" s="14" t="s">
        <v>238</v>
      </c>
      <c r="P894" s="14" t="s">
        <v>239</v>
      </c>
      <c r="Q894" s="14" t="s">
        <v>239</v>
      </c>
      <c r="R894" s="14" t="s">
        <v>1930</v>
      </c>
    </row>
    <row r="895" spans="1:18" s="14" customFormat="1" x14ac:dyDescent="0.25">
      <c r="A895" s="14" t="str">
        <f>"91372"</f>
        <v>91372</v>
      </c>
      <c r="B895" s="14" t="str">
        <f>"03050"</f>
        <v>03050</v>
      </c>
      <c r="C895" s="14" t="str">
        <f>"1500"</f>
        <v>1500</v>
      </c>
      <c r="D895" s="14" t="str">
        <f>"91372A"</f>
        <v>91372A</v>
      </c>
      <c r="E895" s="14" t="s">
        <v>1813</v>
      </c>
      <c r="F895" s="14" t="s">
        <v>225</v>
      </c>
      <c r="G895" s="14" t="str">
        <f>"GN0091372"</f>
        <v>GN0091372</v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226</v>
      </c>
      <c r="L895" s="14" t="s">
        <v>227</v>
      </c>
      <c r="P895" s="14" t="s">
        <v>239</v>
      </c>
      <c r="Q895" s="14" t="s">
        <v>239</v>
      </c>
      <c r="R895" s="14" t="s">
        <v>229</v>
      </c>
    </row>
    <row r="896" spans="1:18" s="14" customFormat="1" x14ac:dyDescent="0.25">
      <c r="A896" s="14" t="str">
        <f>"91372"</f>
        <v>91372</v>
      </c>
      <c r="B896" s="14" t="str">
        <f>"03140"</f>
        <v>03140</v>
      </c>
      <c r="C896" s="14" t="str">
        <f>"1500"</f>
        <v>1500</v>
      </c>
      <c r="D896" s="14" t="str">
        <f>"91372"</f>
        <v>91372</v>
      </c>
      <c r="E896" s="14" t="s">
        <v>1813</v>
      </c>
      <c r="F896" s="14" t="s">
        <v>247</v>
      </c>
      <c r="G896" s="14" t="str">
        <f>"GN0091372"</f>
        <v>GN0091372</v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236</v>
      </c>
      <c r="L896" s="14" t="s">
        <v>237</v>
      </c>
      <c r="M896" s="14" t="s">
        <v>238</v>
      </c>
      <c r="P896" s="14" t="s">
        <v>239</v>
      </c>
      <c r="Q896" s="14" t="s">
        <v>239</v>
      </c>
      <c r="R896" s="14" t="s">
        <v>1930</v>
      </c>
    </row>
    <row r="897" spans="1:18" s="14" customFormat="1" x14ac:dyDescent="0.25">
      <c r="A897" s="14" t="str">
        <f>"91379"</f>
        <v>91379</v>
      </c>
      <c r="B897" s="14" t="str">
        <f>"03140"</f>
        <v>03140</v>
      </c>
      <c r="C897" s="14" t="str">
        <f>"1930"</f>
        <v>1930</v>
      </c>
      <c r="D897" s="14" t="str">
        <f>"91379"</f>
        <v>91379</v>
      </c>
      <c r="E897" s="14" t="s">
        <v>1815</v>
      </c>
      <c r="F897" s="14" t="s">
        <v>247</v>
      </c>
      <c r="G897" s="14" t="str">
        <f>"GN0091379"</f>
        <v>GN0091379</v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236</v>
      </c>
      <c r="L897" s="14" t="s">
        <v>237</v>
      </c>
      <c r="M897" s="14" t="s">
        <v>238</v>
      </c>
      <c r="P897" s="14" t="s">
        <v>239</v>
      </c>
      <c r="Q897" s="14" t="s">
        <v>239</v>
      </c>
      <c r="R897" s="14" t="s">
        <v>1930</v>
      </c>
    </row>
    <row r="898" spans="1:18" s="14" customFormat="1" x14ac:dyDescent="0.25">
      <c r="A898" s="14" t="str">
        <f>"91390"</f>
        <v>91390</v>
      </c>
      <c r="B898" s="14" t="str">
        <f>"03170"</f>
        <v>03170</v>
      </c>
      <c r="C898" s="14" t="str">
        <f>"1921"</f>
        <v>1921</v>
      </c>
      <c r="D898" s="14" t="str">
        <f>"91390"</f>
        <v>91390</v>
      </c>
      <c r="E898" s="14" t="s">
        <v>1816</v>
      </c>
      <c r="F898" s="14" t="s">
        <v>251</v>
      </c>
      <c r="G898" s="14" t="str">
        <f>"GN0091390"</f>
        <v>GN0091390</v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252</v>
      </c>
      <c r="L898" s="14" t="s">
        <v>253</v>
      </c>
      <c r="O898" s="14" t="s">
        <v>252</v>
      </c>
      <c r="P898" s="14" t="s">
        <v>239</v>
      </c>
      <c r="Q898" s="14" t="s">
        <v>239</v>
      </c>
      <c r="R898" s="14" t="s">
        <v>254</v>
      </c>
    </row>
    <row r="899" spans="1:18" s="14" customFormat="1" x14ac:dyDescent="0.25">
      <c r="A899" s="14" t="str">
        <f>"91395"</f>
        <v>91395</v>
      </c>
      <c r="B899" s="14" t="str">
        <f>"03140"</f>
        <v>03140</v>
      </c>
      <c r="C899" s="14" t="str">
        <f>"1500"</f>
        <v>1500</v>
      </c>
      <c r="D899" s="14" t="str">
        <f>"91395"</f>
        <v>91395</v>
      </c>
      <c r="E899" s="14" t="s">
        <v>1817</v>
      </c>
      <c r="F899" s="14" t="s">
        <v>247</v>
      </c>
      <c r="G899" s="14" t="str">
        <f>"GN0091395"</f>
        <v>GN0091395</v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236</v>
      </c>
      <c r="L899" s="14" t="s">
        <v>237</v>
      </c>
      <c r="M899" s="14" t="s">
        <v>238</v>
      </c>
      <c r="O899" s="14" t="s">
        <v>236</v>
      </c>
      <c r="P899" s="14" t="s">
        <v>239</v>
      </c>
      <c r="Q899" s="14" t="s">
        <v>239</v>
      </c>
      <c r="R899" s="14" t="s">
        <v>1930</v>
      </c>
    </row>
    <row r="900" spans="1:18" s="14" customFormat="1" x14ac:dyDescent="0.25">
      <c r="A900" s="14" t="str">
        <f>"91396"</f>
        <v>91396</v>
      </c>
      <c r="B900" s="14" t="str">
        <f>"03140"</f>
        <v>03140</v>
      </c>
      <c r="C900" s="14" t="str">
        <f>"1921"</f>
        <v>1921</v>
      </c>
      <c r="D900" s="14" t="str">
        <f>"91396"</f>
        <v>91396</v>
      </c>
      <c r="E900" s="14" t="s">
        <v>1818</v>
      </c>
      <c r="F900" s="14" t="s">
        <v>247</v>
      </c>
      <c r="G900" s="14" t="str">
        <f>"GN0091396"</f>
        <v>GN0091396</v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236</v>
      </c>
      <c r="L900" s="14" t="s">
        <v>237</v>
      </c>
      <c r="M900" s="14" t="s">
        <v>238</v>
      </c>
      <c r="O900" s="14" t="s">
        <v>236</v>
      </c>
      <c r="P900" s="14" t="s">
        <v>239</v>
      </c>
      <c r="Q900" s="14" t="s">
        <v>239</v>
      </c>
      <c r="R900" s="14" t="s">
        <v>1930</v>
      </c>
    </row>
    <row r="901" spans="1:18" s="14" customFormat="1" x14ac:dyDescent="0.25">
      <c r="A901" s="14" t="str">
        <f>"91400"</f>
        <v>91400</v>
      </c>
      <c r="B901" s="14" t="str">
        <f>"03140"</f>
        <v>03140</v>
      </c>
      <c r="C901" s="14" t="str">
        <f>"1500"</f>
        <v>1500</v>
      </c>
      <c r="D901" s="14" t="str">
        <f>"91400"</f>
        <v>91400</v>
      </c>
      <c r="E901" s="14" t="s">
        <v>1819</v>
      </c>
      <c r="F901" s="14" t="s">
        <v>247</v>
      </c>
      <c r="G901" s="14" t="str">
        <f>"GN0091400"</f>
        <v>GN0091400</v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236</v>
      </c>
      <c r="L901" s="14" t="s">
        <v>237</v>
      </c>
      <c r="P901" s="14" t="s">
        <v>239</v>
      </c>
      <c r="Q901" s="14" t="s">
        <v>239</v>
      </c>
      <c r="R901" s="14" t="s">
        <v>1930</v>
      </c>
    </row>
    <row r="902" spans="1:18" s="14" customFormat="1" x14ac:dyDescent="0.25">
      <c r="A902" s="14" t="str">
        <f>"91402"</f>
        <v>91402</v>
      </c>
      <c r="B902" s="14" t="str">
        <f>"03140"</f>
        <v>03140</v>
      </c>
      <c r="C902" s="14" t="str">
        <f>"1500"</f>
        <v>1500</v>
      </c>
      <c r="D902" s="14" t="str">
        <f>"91402"</f>
        <v>91402</v>
      </c>
      <c r="E902" s="14" t="s">
        <v>1820</v>
      </c>
      <c r="F902" s="14" t="s">
        <v>247</v>
      </c>
      <c r="G902" s="14" t="str">
        <f>"GN0091402"</f>
        <v>GN0091402</v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236</v>
      </c>
      <c r="L902" s="14" t="s">
        <v>237</v>
      </c>
      <c r="P902" s="14" t="s">
        <v>239</v>
      </c>
      <c r="Q902" s="14" t="s">
        <v>239</v>
      </c>
      <c r="R902" s="14" t="s">
        <v>1930</v>
      </c>
    </row>
    <row r="903" spans="1:18" s="14" customFormat="1" x14ac:dyDescent="0.25">
      <c r="A903" s="14" t="str">
        <f>"91403"</f>
        <v>91403</v>
      </c>
      <c r="B903" s="14" t="str">
        <f>"03140"</f>
        <v>03140</v>
      </c>
      <c r="C903" s="14" t="str">
        <f>"1500"</f>
        <v>1500</v>
      </c>
      <c r="D903" s="14" t="str">
        <f>"91403"</f>
        <v>91403</v>
      </c>
      <c r="E903" s="14" t="s">
        <v>1821</v>
      </c>
      <c r="F903" s="14" t="s">
        <v>247</v>
      </c>
      <c r="G903" s="14" t="str">
        <f>"GN0091403"</f>
        <v>GN0091403</v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236</v>
      </c>
      <c r="L903" s="14" t="s">
        <v>237</v>
      </c>
      <c r="M903" s="14" t="s">
        <v>1822</v>
      </c>
      <c r="P903" s="14" t="s">
        <v>239</v>
      </c>
      <c r="Q903" s="14" t="s">
        <v>239</v>
      </c>
      <c r="R903" s="14" t="s">
        <v>1930</v>
      </c>
    </row>
    <row r="904" spans="1:18" s="14" customFormat="1" x14ac:dyDescent="0.25">
      <c r="A904" s="14" t="str">
        <f>"91404"</f>
        <v>91404</v>
      </c>
      <c r="B904" s="14" t="str">
        <f>"03140"</f>
        <v>03140</v>
      </c>
      <c r="C904" s="14" t="str">
        <f>"1700"</f>
        <v>1700</v>
      </c>
      <c r="D904" s="14" t="str">
        <f>"91404"</f>
        <v>91404</v>
      </c>
      <c r="E904" s="14" t="s">
        <v>1823</v>
      </c>
      <c r="F904" s="14" t="s">
        <v>247</v>
      </c>
      <c r="G904" s="14" t="str">
        <f>"GN0091404"</f>
        <v>GN0091404</v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236</v>
      </c>
      <c r="L904" s="14" t="s">
        <v>237</v>
      </c>
      <c r="M904" s="14" t="s">
        <v>1822</v>
      </c>
      <c r="P904" s="14" t="s">
        <v>239</v>
      </c>
      <c r="Q904" s="14" t="s">
        <v>239</v>
      </c>
      <c r="R904" s="14" t="s">
        <v>1930</v>
      </c>
    </row>
    <row r="905" spans="1:18" s="14" customFormat="1" x14ac:dyDescent="0.25">
      <c r="A905" s="14" t="str">
        <f>"91405"</f>
        <v>91405</v>
      </c>
      <c r="B905" s="14" t="str">
        <f>"03140"</f>
        <v>03140</v>
      </c>
      <c r="C905" s="14" t="str">
        <f>"1500"</f>
        <v>1500</v>
      </c>
      <c r="D905" s="14" t="str">
        <f>"91405"</f>
        <v>91405</v>
      </c>
      <c r="E905" s="14" t="s">
        <v>1824</v>
      </c>
      <c r="F905" s="14" t="s">
        <v>247</v>
      </c>
      <c r="G905" s="14" t="str">
        <f>"GN0091405"</f>
        <v>GN0091405</v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236</v>
      </c>
      <c r="L905" s="14" t="s">
        <v>237</v>
      </c>
      <c r="M905" s="14" t="s">
        <v>1822</v>
      </c>
      <c r="P905" s="14" t="s">
        <v>239</v>
      </c>
      <c r="Q905" s="14" t="s">
        <v>239</v>
      </c>
      <c r="R905" s="14" t="s">
        <v>1930</v>
      </c>
    </row>
    <row r="906" spans="1:18" s="14" customFormat="1" x14ac:dyDescent="0.25">
      <c r="A906" s="14" t="str">
        <f>"92155"</f>
        <v>92155</v>
      </c>
      <c r="B906" s="14" t="str">
        <f>"03050"</f>
        <v>03050</v>
      </c>
      <c r="C906" s="14" t="str">
        <f>"1500"</f>
        <v>1500</v>
      </c>
      <c r="D906" s="14" t="str">
        <f>"92155"</f>
        <v>92155</v>
      </c>
      <c r="E906" s="14" t="s">
        <v>1825</v>
      </c>
      <c r="F906" s="14" t="s">
        <v>225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226</v>
      </c>
      <c r="L906" s="14" t="s">
        <v>227</v>
      </c>
      <c r="P906" s="14" t="s">
        <v>239</v>
      </c>
      <c r="Q906" s="14" t="s">
        <v>25</v>
      </c>
      <c r="R906" s="14" t="s">
        <v>229</v>
      </c>
    </row>
    <row r="907" spans="1:18" s="14" customFormat="1" x14ac:dyDescent="0.25">
      <c r="A907" s="14" t="str">
        <f>"92157"</f>
        <v>92157</v>
      </c>
      <c r="B907" s="14" t="str">
        <f>"03140"</f>
        <v>03140</v>
      </c>
      <c r="C907" s="14" t="str">
        <f>"1500"</f>
        <v>1500</v>
      </c>
      <c r="D907" s="14" t="str">
        <f>"92157"</f>
        <v>92157</v>
      </c>
      <c r="E907" s="14" t="s">
        <v>1826</v>
      </c>
      <c r="F907" s="14" t="s">
        <v>247</v>
      </c>
      <c r="G907" s="14" t="str">
        <f>"GN0092157"</f>
        <v>GN0092157</v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236</v>
      </c>
      <c r="L907" s="14" t="s">
        <v>237</v>
      </c>
      <c r="M907" s="14" t="s">
        <v>1814</v>
      </c>
      <c r="N907" s="14" t="s">
        <v>238</v>
      </c>
      <c r="O907" s="14" t="s">
        <v>236</v>
      </c>
      <c r="P907" s="14" t="s">
        <v>239</v>
      </c>
      <c r="Q907" s="14" t="s">
        <v>239</v>
      </c>
      <c r="R907" s="14" t="s">
        <v>1930</v>
      </c>
    </row>
    <row r="908" spans="1:18" s="14" customFormat="1" x14ac:dyDescent="0.25">
      <c r="A908" s="14" t="str">
        <f>"92158"</f>
        <v>92158</v>
      </c>
      <c r="B908" s="14" t="str">
        <f>"03140"</f>
        <v>03140</v>
      </c>
      <c r="C908" s="14" t="str">
        <f>"1930"</f>
        <v>1930</v>
      </c>
      <c r="D908" s="14" t="str">
        <f>"92158"</f>
        <v>92158</v>
      </c>
      <c r="E908" s="14" t="s">
        <v>1827</v>
      </c>
      <c r="F908" s="14" t="s">
        <v>247</v>
      </c>
      <c r="G908" s="14" t="str">
        <f>"GN0092158"</f>
        <v>GN0092158</v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236</v>
      </c>
      <c r="L908" s="14" t="s">
        <v>237</v>
      </c>
      <c r="M908" s="14" t="s">
        <v>1822</v>
      </c>
      <c r="P908" s="14" t="s">
        <v>239</v>
      </c>
      <c r="Q908" s="14" t="s">
        <v>239</v>
      </c>
      <c r="R908" s="14" t="s">
        <v>1930</v>
      </c>
    </row>
    <row r="909" spans="1:18" s="14" customFormat="1" x14ac:dyDescent="0.25">
      <c r="A909" s="14" t="str">
        <f>"92159"</f>
        <v>92159</v>
      </c>
      <c r="B909" s="14" t="str">
        <f>"03140"</f>
        <v>03140</v>
      </c>
      <c r="C909" s="14" t="str">
        <f>"1500"</f>
        <v>1500</v>
      </c>
      <c r="D909" s="14" t="str">
        <f>"92159"</f>
        <v>92159</v>
      </c>
      <c r="E909" s="14" t="s">
        <v>1828</v>
      </c>
      <c r="F909" s="14" t="s">
        <v>247</v>
      </c>
      <c r="G909" s="14" t="str">
        <f>"GN0092159"</f>
        <v>GN0092159</v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236</v>
      </c>
      <c r="L909" s="14" t="s">
        <v>237</v>
      </c>
      <c r="M909" s="14" t="s">
        <v>1822</v>
      </c>
      <c r="P909" s="14" t="s">
        <v>239</v>
      </c>
      <c r="Q909" s="14" t="s">
        <v>239</v>
      </c>
      <c r="R909" s="14" t="s">
        <v>1930</v>
      </c>
    </row>
    <row r="910" spans="1:18" s="14" customFormat="1" x14ac:dyDescent="0.25">
      <c r="A910" s="14" t="str">
        <f>"93005"</f>
        <v>93005</v>
      </c>
      <c r="B910" s="14" t="str">
        <f>"03000"</f>
        <v>03000</v>
      </c>
      <c r="C910" s="14" t="str">
        <f>"1500"</f>
        <v>1500</v>
      </c>
      <c r="D910" s="14" t="str">
        <f>"93005"</f>
        <v>93005</v>
      </c>
      <c r="E910" s="14" t="s">
        <v>1829</v>
      </c>
      <c r="F910" s="14" t="s">
        <v>217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34</v>
      </c>
      <c r="P910" s="14" t="s">
        <v>239</v>
      </c>
      <c r="Q910" s="14" t="s">
        <v>239</v>
      </c>
      <c r="R910" s="14" t="s">
        <v>35</v>
      </c>
    </row>
    <row r="911" spans="1:18" s="14" customFormat="1" x14ac:dyDescent="0.25">
      <c r="A911" s="14" t="str">
        <f>"93168"</f>
        <v>93168</v>
      </c>
      <c r="B911" s="14" t="str">
        <f>"03140"</f>
        <v>03140</v>
      </c>
      <c r="C911" s="14" t="str">
        <f>"1500"</f>
        <v>1500</v>
      </c>
      <c r="D911" s="14" t="str">
        <f>"93168"</f>
        <v>93168</v>
      </c>
      <c r="E911" s="14" t="s">
        <v>1830</v>
      </c>
      <c r="F911" s="14" t="s">
        <v>247</v>
      </c>
      <c r="G911" s="14" t="str">
        <f>"GN0093168"</f>
        <v>GN0093168</v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236</v>
      </c>
      <c r="L911" s="14" t="s">
        <v>237</v>
      </c>
      <c r="M911" s="14" t="s">
        <v>1814</v>
      </c>
      <c r="N911" s="14" t="s">
        <v>238</v>
      </c>
      <c r="P911" s="14" t="s">
        <v>239</v>
      </c>
      <c r="Q911" s="14" t="s">
        <v>239</v>
      </c>
      <c r="R911" s="14" t="s">
        <v>1930</v>
      </c>
    </row>
    <row r="912" spans="1:18" s="14" customFormat="1" x14ac:dyDescent="0.25">
      <c r="A912" s="14" t="str">
        <f>"93170"</f>
        <v>93170</v>
      </c>
      <c r="B912" s="14" t="str">
        <f>"03140"</f>
        <v>03140</v>
      </c>
      <c r="C912" s="14" t="str">
        <f>"1930"</f>
        <v>1930</v>
      </c>
      <c r="D912" s="14" t="str">
        <f>"93170"</f>
        <v>93170</v>
      </c>
      <c r="E912" s="14" t="s">
        <v>1831</v>
      </c>
      <c r="F912" s="14" t="s">
        <v>247</v>
      </c>
      <c r="G912" s="14" t="str">
        <f>"GN0093170"</f>
        <v>GN0093170</v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236</v>
      </c>
      <c r="L912" s="14" t="s">
        <v>237</v>
      </c>
      <c r="M912" s="14" t="s">
        <v>1814</v>
      </c>
      <c r="N912" s="14" t="s">
        <v>238</v>
      </c>
      <c r="O912" s="14" t="s">
        <v>236</v>
      </c>
      <c r="P912" s="14" t="s">
        <v>239</v>
      </c>
      <c r="Q912" s="14" t="s">
        <v>239</v>
      </c>
      <c r="R912" s="14" t="s">
        <v>1930</v>
      </c>
    </row>
    <row r="913" spans="1:18" s="14" customFormat="1" x14ac:dyDescent="0.25">
      <c r="A913" s="14" t="str">
        <f>"93171"</f>
        <v>93171</v>
      </c>
      <c r="B913" s="14" t="str">
        <f>"03140"</f>
        <v>03140</v>
      </c>
      <c r="C913" s="14" t="str">
        <f>"1500"</f>
        <v>1500</v>
      </c>
      <c r="D913" s="14" t="str">
        <f>"93171"</f>
        <v>93171</v>
      </c>
      <c r="E913" s="14" t="s">
        <v>1832</v>
      </c>
      <c r="F913" s="14" t="s">
        <v>247</v>
      </c>
      <c r="G913" s="14" t="str">
        <f>"GN0093171"</f>
        <v>GN0093171</v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236</v>
      </c>
      <c r="L913" s="14" t="s">
        <v>237</v>
      </c>
      <c r="M913" s="14" t="s">
        <v>238</v>
      </c>
      <c r="O913" s="14" t="s">
        <v>236</v>
      </c>
      <c r="P913" s="14" t="s">
        <v>239</v>
      </c>
      <c r="Q913" s="14" t="s">
        <v>239</v>
      </c>
      <c r="R913" s="14" t="s">
        <v>1930</v>
      </c>
    </row>
    <row r="914" spans="1:18" s="14" customFormat="1" x14ac:dyDescent="0.25">
      <c r="A914" s="14" t="str">
        <f>"93172"</f>
        <v>93172</v>
      </c>
      <c r="B914" s="14" t="str">
        <f>"03140"</f>
        <v>03140</v>
      </c>
      <c r="C914" s="14" t="str">
        <f>"1500"</f>
        <v>1500</v>
      </c>
      <c r="D914" s="14" t="str">
        <f>"93172"</f>
        <v>93172</v>
      </c>
      <c r="E914" s="14" t="s">
        <v>1833</v>
      </c>
      <c r="F914" s="14" t="s">
        <v>247</v>
      </c>
      <c r="G914" s="14" t="str">
        <f>"GN0093172"</f>
        <v>GN0093172</v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236</v>
      </c>
      <c r="L914" s="14" t="s">
        <v>237</v>
      </c>
      <c r="M914" s="14" t="s">
        <v>238</v>
      </c>
      <c r="O914" s="14" t="s">
        <v>236</v>
      </c>
      <c r="P914" s="14" t="s">
        <v>239</v>
      </c>
      <c r="Q914" s="14" t="s">
        <v>239</v>
      </c>
      <c r="R914" s="14" t="s">
        <v>1930</v>
      </c>
    </row>
    <row r="915" spans="1:18" s="14" customFormat="1" x14ac:dyDescent="0.25">
      <c r="A915" s="14" t="str">
        <f>"93173"</f>
        <v>93173</v>
      </c>
      <c r="B915" s="14" t="str">
        <f>"03140"</f>
        <v>03140</v>
      </c>
      <c r="C915" s="14" t="str">
        <f>"1500"</f>
        <v>1500</v>
      </c>
      <c r="D915" s="14" t="str">
        <f>"93173"</f>
        <v>93173</v>
      </c>
      <c r="E915" s="14" t="s">
        <v>1834</v>
      </c>
      <c r="F915" s="14" t="s">
        <v>247</v>
      </c>
      <c r="G915" s="14" t="str">
        <f>"GN0093173"</f>
        <v>GN0093173</v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236</v>
      </c>
      <c r="L915" s="14" t="s">
        <v>237</v>
      </c>
      <c r="M915" s="14" t="s">
        <v>1814</v>
      </c>
      <c r="N915" s="14" t="s">
        <v>238</v>
      </c>
      <c r="O915" s="14" t="s">
        <v>236</v>
      </c>
      <c r="P915" s="14" t="s">
        <v>239</v>
      </c>
      <c r="Q915" s="14" t="s">
        <v>239</v>
      </c>
      <c r="R915" s="14" t="s">
        <v>1930</v>
      </c>
    </row>
    <row r="916" spans="1:18" s="14" customFormat="1" x14ac:dyDescent="0.25">
      <c r="A916" s="14" t="str">
        <f>"93175"</f>
        <v>93175</v>
      </c>
      <c r="B916" s="14" t="str">
        <f>"03140"</f>
        <v>03140</v>
      </c>
      <c r="C916" s="14" t="str">
        <f>"1500"</f>
        <v>1500</v>
      </c>
      <c r="D916" s="14" t="str">
        <f>"93175"</f>
        <v>93175</v>
      </c>
      <c r="E916" s="14" t="s">
        <v>1835</v>
      </c>
      <c r="F916" s="14" t="s">
        <v>247</v>
      </c>
      <c r="G916" s="14" t="str">
        <f>"GN0093175"</f>
        <v>GN0093175</v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236</v>
      </c>
      <c r="L916" s="14" t="s">
        <v>237</v>
      </c>
      <c r="M916" s="14" t="s">
        <v>238</v>
      </c>
      <c r="O916" s="14" t="s">
        <v>236</v>
      </c>
      <c r="P916" s="14" t="s">
        <v>239</v>
      </c>
      <c r="Q916" s="14" t="s">
        <v>239</v>
      </c>
      <c r="R916" s="14" t="s">
        <v>1930</v>
      </c>
    </row>
    <row r="917" spans="1:18" s="14" customFormat="1" x14ac:dyDescent="0.25">
      <c r="A917" s="14" t="str">
        <f>"93176"</f>
        <v>93176</v>
      </c>
      <c r="B917" s="14" t="str">
        <f>"03140"</f>
        <v>03140</v>
      </c>
      <c r="C917" s="14" t="str">
        <f>"1930"</f>
        <v>1930</v>
      </c>
      <c r="D917" s="14" t="str">
        <f>"93176"</f>
        <v>93176</v>
      </c>
      <c r="E917" s="14" t="s">
        <v>1836</v>
      </c>
      <c r="F917" s="14" t="s">
        <v>247</v>
      </c>
      <c r="G917" s="14" t="str">
        <f>"GN0093176"</f>
        <v>GN0093176</v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236</v>
      </c>
      <c r="L917" s="14" t="s">
        <v>237</v>
      </c>
      <c r="M917" s="14" t="s">
        <v>238</v>
      </c>
      <c r="P917" s="14" t="s">
        <v>239</v>
      </c>
      <c r="Q917" s="14" t="s">
        <v>239</v>
      </c>
      <c r="R917" s="14" t="s">
        <v>1930</v>
      </c>
    </row>
    <row r="918" spans="1:18" s="14" customFormat="1" x14ac:dyDescent="0.25">
      <c r="A918" s="14" t="str">
        <f>"93177"</f>
        <v>93177</v>
      </c>
      <c r="B918" s="14" t="str">
        <f>"03140"</f>
        <v>03140</v>
      </c>
      <c r="C918" s="14" t="str">
        <f>"1500"</f>
        <v>1500</v>
      </c>
      <c r="D918" s="14" t="str">
        <f>"93177"</f>
        <v>93177</v>
      </c>
      <c r="E918" s="14" t="s">
        <v>1837</v>
      </c>
      <c r="F918" s="14" t="s">
        <v>247</v>
      </c>
      <c r="G918" s="14" t="str">
        <f>"GN0093177"</f>
        <v>GN0093177</v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236</v>
      </c>
      <c r="L918" s="14" t="s">
        <v>237</v>
      </c>
      <c r="M918" s="14" t="s">
        <v>238</v>
      </c>
      <c r="P918" s="14" t="s">
        <v>239</v>
      </c>
      <c r="Q918" s="14" t="s">
        <v>239</v>
      </c>
      <c r="R918" s="14" t="s">
        <v>1930</v>
      </c>
    </row>
    <row r="919" spans="1:18" s="14" customFormat="1" x14ac:dyDescent="0.25">
      <c r="A919" s="14" t="str">
        <f>"93178"</f>
        <v>93178</v>
      </c>
      <c r="B919" s="14" t="str">
        <f>"03140"</f>
        <v>03140</v>
      </c>
      <c r="C919" s="14" t="str">
        <f>"1500"</f>
        <v>1500</v>
      </c>
      <c r="D919" s="14" t="str">
        <f>"93178"</f>
        <v>93178</v>
      </c>
      <c r="E919" s="14" t="s">
        <v>1838</v>
      </c>
      <c r="F919" s="14" t="s">
        <v>247</v>
      </c>
      <c r="G919" s="14" t="str">
        <f>"GN0093178"</f>
        <v>GN0093178</v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236</v>
      </c>
      <c r="L919" s="14" t="s">
        <v>237</v>
      </c>
      <c r="M919" s="14" t="s">
        <v>238</v>
      </c>
      <c r="P919" s="14" t="s">
        <v>239</v>
      </c>
      <c r="Q919" s="14" t="s">
        <v>239</v>
      </c>
      <c r="R919" s="14" t="s">
        <v>1930</v>
      </c>
    </row>
    <row r="920" spans="1:18" s="14" customFormat="1" x14ac:dyDescent="0.25">
      <c r="A920" s="14" t="str">
        <f>"93179"</f>
        <v>93179</v>
      </c>
      <c r="B920" s="14" t="str">
        <f>"03140"</f>
        <v>03140</v>
      </c>
      <c r="C920" s="14" t="str">
        <f>"1500"</f>
        <v>1500</v>
      </c>
      <c r="D920" s="14" t="str">
        <f>"93179"</f>
        <v>93179</v>
      </c>
      <c r="E920" s="14" t="s">
        <v>1839</v>
      </c>
      <c r="F920" s="14" t="s">
        <v>247</v>
      </c>
      <c r="G920" s="14" t="str">
        <f>"GN0093179"</f>
        <v>GN0093179</v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236</v>
      </c>
      <c r="L920" s="14" t="s">
        <v>237</v>
      </c>
      <c r="M920" s="14" t="s">
        <v>238</v>
      </c>
      <c r="P920" s="14" t="s">
        <v>239</v>
      </c>
      <c r="Q920" s="14" t="s">
        <v>239</v>
      </c>
      <c r="R920" s="14" t="s">
        <v>1930</v>
      </c>
    </row>
    <row r="921" spans="1:18" s="14" customFormat="1" x14ac:dyDescent="0.25">
      <c r="A921" s="14" t="str">
        <f>"94035"</f>
        <v>94035</v>
      </c>
      <c r="B921" s="14" t="str">
        <f>"03050"</f>
        <v>03050</v>
      </c>
      <c r="C921" s="14" t="str">
        <f>"2100"</f>
        <v>2100</v>
      </c>
      <c r="D921" s="14" t="str">
        <f>"94035"</f>
        <v>94035</v>
      </c>
      <c r="E921" s="14" t="s">
        <v>1840</v>
      </c>
      <c r="F921" s="14" t="s">
        <v>225</v>
      </c>
      <c r="G921" s="14" t="str">
        <f>""</f>
        <v/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226</v>
      </c>
      <c r="L921" s="14" t="s">
        <v>227</v>
      </c>
      <c r="P921" s="14" t="s">
        <v>239</v>
      </c>
      <c r="Q921" s="14" t="s">
        <v>25</v>
      </c>
      <c r="R921" s="14" t="s">
        <v>229</v>
      </c>
    </row>
    <row r="922" spans="1:18" s="14" customFormat="1" x14ac:dyDescent="0.25">
      <c r="A922" s="14" t="str">
        <f>"94041"</f>
        <v>94041</v>
      </c>
      <c r="B922" s="14" t="str">
        <f>"03050"</f>
        <v>03050</v>
      </c>
      <c r="C922" s="14" t="str">
        <f>"2100"</f>
        <v>2100</v>
      </c>
      <c r="D922" s="14" t="str">
        <f>"94041"</f>
        <v>94041</v>
      </c>
      <c r="E922" s="14" t="s">
        <v>1841</v>
      </c>
      <c r="F922" s="14" t="s">
        <v>225</v>
      </c>
      <c r="G922" s="14" t="str">
        <f>""</f>
        <v/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226</v>
      </c>
      <c r="L922" s="14" t="s">
        <v>227</v>
      </c>
      <c r="P922" s="14" t="s">
        <v>239</v>
      </c>
      <c r="Q922" s="14" t="s">
        <v>25</v>
      </c>
      <c r="R922" s="14" t="s">
        <v>229</v>
      </c>
    </row>
    <row r="923" spans="1:18" s="14" customFormat="1" x14ac:dyDescent="0.25">
      <c r="A923" s="14" t="str">
        <f>"94042"</f>
        <v>94042</v>
      </c>
      <c r="B923" s="14" t="str">
        <f>"03050"</f>
        <v>03050</v>
      </c>
      <c r="C923" s="14" t="str">
        <f>"2100"</f>
        <v>2100</v>
      </c>
      <c r="D923" s="14" t="str">
        <f>"94042"</f>
        <v>94042</v>
      </c>
      <c r="E923" s="14" t="s">
        <v>1842</v>
      </c>
      <c r="F923" s="14" t="s">
        <v>225</v>
      </c>
      <c r="G923" s="14" t="str">
        <f>""</f>
        <v/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226</v>
      </c>
      <c r="L923" s="14" t="s">
        <v>227</v>
      </c>
      <c r="P923" s="14" t="s">
        <v>239</v>
      </c>
      <c r="Q923" s="14" t="s">
        <v>25</v>
      </c>
      <c r="R923" s="14" t="s">
        <v>229</v>
      </c>
    </row>
    <row r="924" spans="1:18" s="14" customFormat="1" x14ac:dyDescent="0.25">
      <c r="A924" s="14" t="str">
        <f>"94043"</f>
        <v>94043</v>
      </c>
      <c r="B924" s="14" t="str">
        <f>"03050"</f>
        <v>03050</v>
      </c>
      <c r="C924" s="14" t="str">
        <f>"2100"</f>
        <v>2100</v>
      </c>
      <c r="D924" s="14" t="str">
        <f>"94043"</f>
        <v>94043</v>
      </c>
      <c r="E924" s="14" t="s">
        <v>1843</v>
      </c>
      <c r="F924" s="14" t="s">
        <v>225</v>
      </c>
      <c r="G924" s="14" t="str">
        <f>""</f>
        <v/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226</v>
      </c>
      <c r="L924" s="14" t="s">
        <v>227</v>
      </c>
      <c r="P924" s="14" t="s">
        <v>239</v>
      </c>
      <c r="Q924" s="14" t="s">
        <v>25</v>
      </c>
      <c r="R924" s="14" t="s">
        <v>229</v>
      </c>
    </row>
    <row r="925" spans="1:18" s="14" customFormat="1" x14ac:dyDescent="0.25">
      <c r="A925" s="14" t="str">
        <f>"94045"</f>
        <v>94045</v>
      </c>
      <c r="B925" s="14" t="str">
        <f>"03050"</f>
        <v>03050</v>
      </c>
      <c r="C925" s="14" t="str">
        <f>"2100"</f>
        <v>2100</v>
      </c>
      <c r="D925" s="14" t="str">
        <f>"94045"</f>
        <v>94045</v>
      </c>
      <c r="E925" s="14" t="s">
        <v>1844</v>
      </c>
      <c r="F925" s="14" t="s">
        <v>225</v>
      </c>
      <c r="G925" s="14" t="str">
        <f>""</f>
        <v/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226</v>
      </c>
      <c r="L925" s="14" t="s">
        <v>227</v>
      </c>
      <c r="P925" s="14" t="s">
        <v>239</v>
      </c>
      <c r="Q925" s="14" t="s">
        <v>25</v>
      </c>
      <c r="R925" s="14" t="s">
        <v>229</v>
      </c>
    </row>
    <row r="926" spans="1:18" s="14" customFormat="1" x14ac:dyDescent="0.25">
      <c r="A926" s="14" t="str">
        <f>"94046"</f>
        <v>94046</v>
      </c>
      <c r="B926" s="14" t="str">
        <f>"03050"</f>
        <v>03050</v>
      </c>
      <c r="C926" s="14" t="str">
        <f>"2100"</f>
        <v>2100</v>
      </c>
      <c r="D926" s="14" t="str">
        <f>"94046"</f>
        <v>94046</v>
      </c>
      <c r="E926" s="14" t="s">
        <v>1845</v>
      </c>
      <c r="F926" s="14" t="s">
        <v>225</v>
      </c>
      <c r="G926" s="14" t="str">
        <f>""</f>
        <v/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226</v>
      </c>
      <c r="L926" s="14" t="s">
        <v>227</v>
      </c>
      <c r="P926" s="14" t="s">
        <v>239</v>
      </c>
      <c r="Q926" s="14" t="s">
        <v>25</v>
      </c>
      <c r="R926" s="14" t="s">
        <v>229</v>
      </c>
    </row>
    <row r="927" spans="1:18" s="14" customFormat="1" x14ac:dyDescent="0.25">
      <c r="A927" s="14" t="str">
        <f>"94115"</f>
        <v>94115</v>
      </c>
      <c r="B927" s="14" t="str">
        <f>"03050"</f>
        <v>03050</v>
      </c>
      <c r="C927" s="14" t="str">
        <f>"2100"</f>
        <v>2100</v>
      </c>
      <c r="D927" s="14" t="str">
        <f>"94115"</f>
        <v>94115</v>
      </c>
      <c r="E927" s="14" t="s">
        <v>1846</v>
      </c>
      <c r="F927" s="14" t="s">
        <v>225</v>
      </c>
      <c r="G927" s="14" t="str">
        <f>""</f>
        <v/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226</v>
      </c>
      <c r="L927" s="14" t="s">
        <v>227</v>
      </c>
      <c r="P927" s="14" t="s">
        <v>239</v>
      </c>
      <c r="Q927" s="14" t="s">
        <v>25</v>
      </c>
      <c r="R927" s="14" t="s">
        <v>229</v>
      </c>
    </row>
    <row r="928" spans="1:18" s="14" customFormat="1" x14ac:dyDescent="0.25">
      <c r="A928" s="14" t="str">
        <f>"94225"</f>
        <v>94225</v>
      </c>
      <c r="B928" s="14" t="str">
        <f>"03050"</f>
        <v>03050</v>
      </c>
      <c r="C928" s="14" t="str">
        <f>"2100"</f>
        <v>2100</v>
      </c>
      <c r="D928" s="14" t="str">
        <f>"94225"</f>
        <v>94225</v>
      </c>
      <c r="E928" s="14" t="s">
        <v>1847</v>
      </c>
      <c r="F928" s="14" t="s">
        <v>225</v>
      </c>
      <c r="G928" s="14" t="str">
        <f>""</f>
        <v/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226</v>
      </c>
      <c r="L928" s="14" t="s">
        <v>227</v>
      </c>
      <c r="P928" s="14" t="s">
        <v>239</v>
      </c>
      <c r="Q928" s="14" t="s">
        <v>25</v>
      </c>
      <c r="R928" s="14" t="s">
        <v>229</v>
      </c>
    </row>
    <row r="929" spans="1:18" s="14" customFormat="1" x14ac:dyDescent="0.25">
      <c r="A929" s="14" t="str">
        <f>"95005"</f>
        <v>95005</v>
      </c>
      <c r="B929" s="14" t="str">
        <f>"03000"</f>
        <v>03000</v>
      </c>
      <c r="C929" s="14" t="str">
        <f>"1500"</f>
        <v>1500</v>
      </c>
      <c r="D929" s="14" t="str">
        <f>""</f>
        <v/>
      </c>
      <c r="E929" s="14" t="s">
        <v>1848</v>
      </c>
      <c r="F929" s="14" t="s">
        <v>217</v>
      </c>
      <c r="G929" s="14" t="str">
        <f>""</f>
        <v/>
      </c>
      <c r="H929" s="14" t="str">
        <f>" 00"</f>
        <v xml:space="preserve"> 00</v>
      </c>
      <c r="I929" s="14">
        <v>0.01</v>
      </c>
      <c r="J929" s="14">
        <v>9999999.9900000002</v>
      </c>
      <c r="K929" s="14" t="s">
        <v>34</v>
      </c>
      <c r="P929" s="14" t="s">
        <v>239</v>
      </c>
      <c r="Q929" s="14" t="s">
        <v>239</v>
      </c>
      <c r="R929" s="14" t="s">
        <v>35</v>
      </c>
    </row>
    <row r="930" spans="1:18" s="14" customFormat="1" x14ac:dyDescent="0.25">
      <c r="A930" s="14" t="str">
        <f>"95010"</f>
        <v>95010</v>
      </c>
      <c r="B930" s="14" t="str">
        <f>"03000"</f>
        <v>03000</v>
      </c>
      <c r="C930" s="14" t="str">
        <f>"1500"</f>
        <v>1500</v>
      </c>
      <c r="D930" s="14" t="str">
        <f>""</f>
        <v/>
      </c>
      <c r="E930" s="14" t="s">
        <v>1849</v>
      </c>
      <c r="F930" s="14" t="s">
        <v>217</v>
      </c>
      <c r="G930" s="14" t="str">
        <f>""</f>
        <v/>
      </c>
      <c r="H930" s="14" t="str">
        <f>" 00"</f>
        <v xml:space="preserve"> 00</v>
      </c>
      <c r="I930" s="14">
        <v>0.01</v>
      </c>
      <c r="J930" s="14">
        <v>9999999.9900000002</v>
      </c>
      <c r="K930" s="14" t="s">
        <v>34</v>
      </c>
      <c r="P930" s="14" t="s">
        <v>239</v>
      </c>
      <c r="Q930" s="14" t="s">
        <v>239</v>
      </c>
      <c r="R930" s="14" t="s">
        <v>35</v>
      </c>
    </row>
    <row r="931" spans="1:18" s="14" customFormat="1" x14ac:dyDescent="0.25">
      <c r="A931" s="14" t="str">
        <f>"95011"</f>
        <v>95011</v>
      </c>
      <c r="B931" s="14" t="str">
        <f>"03000"</f>
        <v>03000</v>
      </c>
      <c r="C931" s="14" t="str">
        <f>"1500"</f>
        <v>1500</v>
      </c>
      <c r="D931" s="14" t="str">
        <f>""</f>
        <v/>
      </c>
      <c r="E931" s="14" t="s">
        <v>1850</v>
      </c>
      <c r="F931" s="14" t="s">
        <v>217</v>
      </c>
      <c r="G931" s="14" t="str">
        <f>""</f>
        <v/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34</v>
      </c>
      <c r="P931" s="14" t="s">
        <v>239</v>
      </c>
      <c r="Q931" s="14" t="s">
        <v>239</v>
      </c>
      <c r="R931" s="14" t="s">
        <v>35</v>
      </c>
    </row>
    <row r="932" spans="1:18" s="14" customFormat="1" x14ac:dyDescent="0.25">
      <c r="A932" s="14" t="str">
        <f>"95015"</f>
        <v>95015</v>
      </c>
      <c r="B932" s="14" t="str">
        <f>"03000"</f>
        <v>03000</v>
      </c>
      <c r="C932" s="14" t="str">
        <f>"1500"</f>
        <v>1500</v>
      </c>
      <c r="D932" s="14" t="str">
        <f>""</f>
        <v/>
      </c>
      <c r="E932" s="14" t="s">
        <v>1851</v>
      </c>
      <c r="F932" s="14" t="s">
        <v>217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34</v>
      </c>
      <c r="P932" s="14" t="s">
        <v>239</v>
      </c>
      <c r="Q932" s="14" t="s">
        <v>239</v>
      </c>
      <c r="R932" s="14" t="s">
        <v>35</v>
      </c>
    </row>
    <row r="933" spans="1:18" s="14" customFormat="1" x14ac:dyDescent="0.25">
      <c r="A933" s="14" t="str">
        <f>"95020"</f>
        <v>95020</v>
      </c>
      <c r="B933" s="14" t="str">
        <f>"03000"</f>
        <v>03000</v>
      </c>
      <c r="C933" s="14" t="str">
        <f>"1500"</f>
        <v>1500</v>
      </c>
      <c r="D933" s="14" t="str">
        <f>""</f>
        <v/>
      </c>
      <c r="E933" s="14" t="s">
        <v>1852</v>
      </c>
      <c r="F933" s="14" t="s">
        <v>217</v>
      </c>
      <c r="G933" s="14" t="str">
        <f>""</f>
        <v/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34</v>
      </c>
      <c r="P933" s="14" t="s">
        <v>239</v>
      </c>
      <c r="Q933" s="14" t="s">
        <v>239</v>
      </c>
      <c r="R933" s="14" t="s">
        <v>35</v>
      </c>
    </row>
    <row r="934" spans="1:18" s="14" customFormat="1" x14ac:dyDescent="0.25">
      <c r="A934" s="14" t="str">
        <f>"95025"</f>
        <v>95025</v>
      </c>
      <c r="B934" s="14" t="str">
        <f>"03000"</f>
        <v>03000</v>
      </c>
      <c r="C934" s="14" t="str">
        <f>"1500"</f>
        <v>1500</v>
      </c>
      <c r="D934" s="14" t="str">
        <f>""</f>
        <v/>
      </c>
      <c r="E934" s="14" t="s">
        <v>1853</v>
      </c>
      <c r="F934" s="14" t="s">
        <v>217</v>
      </c>
      <c r="G934" s="14" t="str">
        <f>""</f>
        <v/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34</v>
      </c>
      <c r="P934" s="14" t="s">
        <v>239</v>
      </c>
      <c r="Q934" s="14" t="s">
        <v>239</v>
      </c>
      <c r="R934" s="14" t="s">
        <v>35</v>
      </c>
    </row>
    <row r="935" spans="1:18" s="14" customFormat="1" x14ac:dyDescent="0.25">
      <c r="A935" s="14" t="str">
        <f>"95035"</f>
        <v>95035</v>
      </c>
      <c r="B935" s="14" t="str">
        <f>"03000"</f>
        <v>03000</v>
      </c>
      <c r="C935" s="14" t="str">
        <f>"1500"</f>
        <v>1500</v>
      </c>
      <c r="D935" s="14" t="str">
        <f>""</f>
        <v/>
      </c>
      <c r="E935" s="14" t="s">
        <v>1854</v>
      </c>
      <c r="F935" s="14" t="s">
        <v>217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34</v>
      </c>
      <c r="P935" s="14" t="s">
        <v>239</v>
      </c>
      <c r="Q935" s="14" t="s">
        <v>239</v>
      </c>
      <c r="R935" s="14" t="s">
        <v>35</v>
      </c>
    </row>
    <row r="936" spans="1:18" s="14" customFormat="1" x14ac:dyDescent="0.25">
      <c r="A936" s="14" t="str">
        <f>"95040"</f>
        <v>95040</v>
      </c>
      <c r="B936" s="14" t="str">
        <f>"03000"</f>
        <v>03000</v>
      </c>
      <c r="C936" s="14" t="str">
        <f>"1500"</f>
        <v>1500</v>
      </c>
      <c r="D936" s="14" t="str">
        <f>""</f>
        <v/>
      </c>
      <c r="E936" s="14" t="s">
        <v>1855</v>
      </c>
      <c r="F936" s="14" t="s">
        <v>217</v>
      </c>
      <c r="G936" s="14" t="str">
        <f>""</f>
        <v/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34</v>
      </c>
      <c r="P936" s="14" t="s">
        <v>239</v>
      </c>
      <c r="Q936" s="14" t="s">
        <v>239</v>
      </c>
      <c r="R936" s="14" t="s">
        <v>35</v>
      </c>
    </row>
    <row r="937" spans="1:18" s="14" customFormat="1" x14ac:dyDescent="0.25">
      <c r="A937" s="14" t="str">
        <f>"95045"</f>
        <v>95045</v>
      </c>
      <c r="B937" s="14" t="str">
        <f>"03000"</f>
        <v>03000</v>
      </c>
      <c r="C937" s="14" t="str">
        <f>"1500"</f>
        <v>1500</v>
      </c>
      <c r="D937" s="14" t="str">
        <f>""</f>
        <v/>
      </c>
      <c r="E937" s="14" t="s">
        <v>1856</v>
      </c>
      <c r="F937" s="14" t="s">
        <v>217</v>
      </c>
      <c r="G937" s="14" t="str">
        <f>""</f>
        <v/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34</v>
      </c>
      <c r="P937" s="14" t="s">
        <v>239</v>
      </c>
      <c r="Q937" s="14" t="s">
        <v>239</v>
      </c>
      <c r="R937" s="14" t="s">
        <v>35</v>
      </c>
    </row>
    <row r="938" spans="1:18" s="14" customFormat="1" x14ac:dyDescent="0.25">
      <c r="A938" s="14" t="str">
        <f>"95050"</f>
        <v>95050</v>
      </c>
      <c r="B938" s="14" t="str">
        <f>"03000"</f>
        <v>03000</v>
      </c>
      <c r="C938" s="14" t="str">
        <f>"1500"</f>
        <v>1500</v>
      </c>
      <c r="D938" s="14" t="str">
        <f>""</f>
        <v/>
      </c>
      <c r="E938" s="14" t="s">
        <v>1857</v>
      </c>
      <c r="F938" s="14" t="s">
        <v>217</v>
      </c>
      <c r="G938" s="14" t="str">
        <f>""</f>
        <v/>
      </c>
      <c r="H938" s="14" t="str">
        <f>" 00"</f>
        <v xml:space="preserve"> 00</v>
      </c>
      <c r="I938" s="14">
        <v>0.01</v>
      </c>
      <c r="J938" s="14">
        <v>9999999.9900000002</v>
      </c>
      <c r="K938" s="14" t="s">
        <v>34</v>
      </c>
      <c r="P938" s="14" t="s">
        <v>239</v>
      </c>
      <c r="Q938" s="14" t="s">
        <v>239</v>
      </c>
      <c r="R938" s="14" t="s">
        <v>35</v>
      </c>
    </row>
    <row r="939" spans="1:18" s="14" customFormat="1" x14ac:dyDescent="0.25">
      <c r="A939" s="14" t="str">
        <f>"95055"</f>
        <v>95055</v>
      </c>
      <c r="B939" s="14" t="str">
        <f>"03000"</f>
        <v>03000</v>
      </c>
      <c r="C939" s="14" t="str">
        <f>"1500"</f>
        <v>1500</v>
      </c>
      <c r="D939" s="14" t="str">
        <f>""</f>
        <v/>
      </c>
      <c r="E939" s="14" t="s">
        <v>1858</v>
      </c>
      <c r="F939" s="14" t="s">
        <v>217</v>
      </c>
      <c r="G939" s="14" t="str">
        <f>""</f>
        <v/>
      </c>
      <c r="H939" s="14" t="str">
        <f>" 00"</f>
        <v xml:space="preserve"> 00</v>
      </c>
      <c r="I939" s="14">
        <v>0.01</v>
      </c>
      <c r="J939" s="14">
        <v>9999999.9900000002</v>
      </c>
      <c r="K939" s="14" t="s">
        <v>34</v>
      </c>
      <c r="P939" s="14" t="s">
        <v>239</v>
      </c>
      <c r="Q939" s="14" t="s">
        <v>239</v>
      </c>
      <c r="R939" s="14" t="s">
        <v>35</v>
      </c>
    </row>
    <row r="940" spans="1:18" s="14" customFormat="1" x14ac:dyDescent="0.25">
      <c r="A940" s="14" t="str">
        <f>"95060"</f>
        <v>95060</v>
      </c>
      <c r="B940" s="14" t="str">
        <f>"03000"</f>
        <v>03000</v>
      </c>
      <c r="C940" s="14" t="str">
        <f>"1500"</f>
        <v>1500</v>
      </c>
      <c r="D940" s="14" t="str">
        <f>""</f>
        <v/>
      </c>
      <c r="E940" s="14" t="s">
        <v>1859</v>
      </c>
      <c r="F940" s="14" t="s">
        <v>217</v>
      </c>
      <c r="G940" s="14" t="str">
        <f>""</f>
        <v/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34</v>
      </c>
      <c r="P940" s="14" t="s">
        <v>239</v>
      </c>
      <c r="Q940" s="14" t="s">
        <v>239</v>
      </c>
      <c r="R940" s="14" t="s">
        <v>35</v>
      </c>
    </row>
    <row r="941" spans="1:18" s="14" customFormat="1" x14ac:dyDescent="0.25">
      <c r="A941" s="14" t="str">
        <f>"95065"</f>
        <v>95065</v>
      </c>
      <c r="B941" s="14" t="str">
        <f>"03000"</f>
        <v>03000</v>
      </c>
      <c r="C941" s="14" t="str">
        <f>"1500"</f>
        <v>1500</v>
      </c>
      <c r="D941" s="14" t="str">
        <f>""</f>
        <v/>
      </c>
      <c r="E941" s="14" t="s">
        <v>1860</v>
      </c>
      <c r="F941" s="14" t="s">
        <v>217</v>
      </c>
      <c r="G941" s="14" t="str">
        <f>""</f>
        <v/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34</v>
      </c>
      <c r="P941" s="14" t="s">
        <v>239</v>
      </c>
      <c r="Q941" s="14" t="s">
        <v>239</v>
      </c>
      <c r="R941" s="14" t="s">
        <v>35</v>
      </c>
    </row>
    <row r="942" spans="1:18" s="14" customFormat="1" x14ac:dyDescent="0.25">
      <c r="A942" s="14" t="str">
        <f>"95075"</f>
        <v>95075</v>
      </c>
      <c r="B942" s="14" t="str">
        <f>"03000"</f>
        <v>03000</v>
      </c>
      <c r="C942" s="14" t="str">
        <f>"1500"</f>
        <v>1500</v>
      </c>
      <c r="D942" s="14" t="str">
        <f>""</f>
        <v/>
      </c>
      <c r="E942" s="14" t="s">
        <v>1861</v>
      </c>
      <c r="F942" s="14" t="s">
        <v>217</v>
      </c>
      <c r="G942" s="14" t="str">
        <f>""</f>
        <v/>
      </c>
      <c r="H942" s="14" t="str">
        <f>" 00"</f>
        <v xml:space="preserve"> 00</v>
      </c>
      <c r="I942" s="14">
        <v>0.01</v>
      </c>
      <c r="J942" s="14">
        <v>9999999.9900000002</v>
      </c>
      <c r="K942" s="14" t="s">
        <v>34</v>
      </c>
      <c r="P942" s="14" t="s">
        <v>239</v>
      </c>
      <c r="Q942" s="14" t="s">
        <v>239</v>
      </c>
      <c r="R942" s="14" t="s">
        <v>35</v>
      </c>
    </row>
    <row r="943" spans="1:18" s="14" customFormat="1" x14ac:dyDescent="0.25">
      <c r="A943" s="14" t="str">
        <f>"95085"</f>
        <v>95085</v>
      </c>
      <c r="B943" s="14" t="str">
        <f>"03000"</f>
        <v>03000</v>
      </c>
      <c r="C943" s="14" t="str">
        <f>"1500"</f>
        <v>1500</v>
      </c>
      <c r="D943" s="14" t="str">
        <f>""</f>
        <v/>
      </c>
      <c r="E943" s="14" t="s">
        <v>1862</v>
      </c>
      <c r="F943" s="14" t="s">
        <v>217</v>
      </c>
      <c r="G943" s="14" t="str">
        <f>""</f>
        <v/>
      </c>
      <c r="H943" s="14" t="str">
        <f>" 00"</f>
        <v xml:space="preserve"> 00</v>
      </c>
      <c r="I943" s="14">
        <v>0.01</v>
      </c>
      <c r="J943" s="14">
        <v>9999999.9900000002</v>
      </c>
      <c r="K943" s="14" t="s">
        <v>34</v>
      </c>
      <c r="P943" s="14" t="s">
        <v>239</v>
      </c>
      <c r="Q943" s="14" t="s">
        <v>239</v>
      </c>
      <c r="R943" s="14" t="s">
        <v>35</v>
      </c>
    </row>
    <row r="944" spans="1:18" s="14" customFormat="1" x14ac:dyDescent="0.25">
      <c r="A944" s="14" t="str">
        <f>"95089"</f>
        <v>95089</v>
      </c>
      <c r="B944" s="14" t="str">
        <f>"03000"</f>
        <v>03000</v>
      </c>
      <c r="C944" s="14" t="str">
        <f>"1500"</f>
        <v>1500</v>
      </c>
      <c r="D944" s="14" t="str">
        <f>""</f>
        <v/>
      </c>
      <c r="E944" s="14" t="s">
        <v>1863</v>
      </c>
      <c r="F944" s="14" t="s">
        <v>217</v>
      </c>
      <c r="G944" s="14" t="str">
        <f>""</f>
        <v/>
      </c>
      <c r="H944" s="14" t="str">
        <f>" 00"</f>
        <v xml:space="preserve"> 00</v>
      </c>
      <c r="I944" s="14">
        <v>0.01</v>
      </c>
      <c r="J944" s="14">
        <v>9999999.9900000002</v>
      </c>
      <c r="K944" s="14" t="s">
        <v>34</v>
      </c>
      <c r="L944" s="14" t="s">
        <v>226</v>
      </c>
      <c r="P944" s="14" t="s">
        <v>239</v>
      </c>
      <c r="Q944" s="14" t="s">
        <v>239</v>
      </c>
      <c r="R944" s="14" t="s">
        <v>35</v>
      </c>
    </row>
    <row r="945" spans="1:18" s="14" customFormat="1" x14ac:dyDescent="0.25">
      <c r="A945" s="14" t="str">
        <f>"95090"</f>
        <v>95090</v>
      </c>
      <c r="B945" s="14" t="str">
        <f>"03000"</f>
        <v>03000</v>
      </c>
      <c r="C945" s="14" t="str">
        <f>"1500"</f>
        <v>1500</v>
      </c>
      <c r="D945" s="14" t="str">
        <f>""</f>
        <v/>
      </c>
      <c r="E945" s="14" t="s">
        <v>1864</v>
      </c>
      <c r="F945" s="14" t="s">
        <v>217</v>
      </c>
      <c r="G945" s="14" t="str">
        <f>""</f>
        <v/>
      </c>
      <c r="H945" s="14" t="str">
        <f>" 00"</f>
        <v xml:space="preserve"> 00</v>
      </c>
      <c r="I945" s="14">
        <v>0.01</v>
      </c>
      <c r="J945" s="14">
        <v>9999999.9900000002</v>
      </c>
      <c r="K945" s="14" t="s">
        <v>34</v>
      </c>
      <c r="P945" s="14" t="s">
        <v>239</v>
      </c>
      <c r="Q945" s="14" t="s">
        <v>239</v>
      </c>
      <c r="R945" s="14" t="s">
        <v>35</v>
      </c>
    </row>
    <row r="946" spans="1:18" s="14" customFormat="1" x14ac:dyDescent="0.25">
      <c r="A946" s="14" t="str">
        <f>"95091"</f>
        <v>95091</v>
      </c>
      <c r="B946" s="14" t="str">
        <f>"03000"</f>
        <v>03000</v>
      </c>
      <c r="C946" s="14" t="str">
        <f>"1500"</f>
        <v>1500</v>
      </c>
      <c r="D946" s="14" t="str">
        <f>""</f>
        <v/>
      </c>
      <c r="E946" s="14" t="s">
        <v>1865</v>
      </c>
      <c r="F946" s="14" t="s">
        <v>217</v>
      </c>
      <c r="G946" s="14" t="str">
        <f>""</f>
        <v/>
      </c>
      <c r="H946" s="14" t="str">
        <f>" 00"</f>
        <v xml:space="preserve"> 00</v>
      </c>
      <c r="I946" s="14">
        <v>0.01</v>
      </c>
      <c r="J946" s="14">
        <v>9999999.9900000002</v>
      </c>
      <c r="K946" s="14" t="s">
        <v>34</v>
      </c>
      <c r="L946" s="14" t="s">
        <v>226</v>
      </c>
      <c r="P946" s="14" t="s">
        <v>239</v>
      </c>
      <c r="Q946" s="14" t="s">
        <v>239</v>
      </c>
      <c r="R946" s="14" t="s">
        <v>35</v>
      </c>
    </row>
    <row r="947" spans="1:18" s="14" customFormat="1" x14ac:dyDescent="0.25">
      <c r="A947" s="14" t="str">
        <f>"95092"</f>
        <v>95092</v>
      </c>
      <c r="B947" s="14" t="str">
        <f>"03000"</f>
        <v>03000</v>
      </c>
      <c r="C947" s="14" t="str">
        <f>"1500"</f>
        <v>1500</v>
      </c>
      <c r="D947" s="14" t="str">
        <f>""</f>
        <v/>
      </c>
      <c r="E947" s="14" t="s">
        <v>1866</v>
      </c>
      <c r="F947" s="14" t="s">
        <v>217</v>
      </c>
      <c r="G947" s="14" t="str">
        <f>""</f>
        <v/>
      </c>
      <c r="H947" s="14" t="str">
        <f>" 00"</f>
        <v xml:space="preserve"> 00</v>
      </c>
      <c r="I947" s="14">
        <v>0.01</v>
      </c>
      <c r="J947" s="14">
        <v>9999999.9900000002</v>
      </c>
      <c r="K947" s="14" t="s">
        <v>34</v>
      </c>
      <c r="L947" s="14" t="s">
        <v>226</v>
      </c>
      <c r="P947" s="14" t="s">
        <v>239</v>
      </c>
      <c r="Q947" s="14" t="s">
        <v>239</v>
      </c>
      <c r="R947" s="14" t="s">
        <v>35</v>
      </c>
    </row>
    <row r="948" spans="1:18" s="14" customFormat="1" x14ac:dyDescent="0.25">
      <c r="A948" s="14" t="str">
        <f>"95093"</f>
        <v>95093</v>
      </c>
      <c r="B948" s="14" t="str">
        <f>"03000"</f>
        <v>03000</v>
      </c>
      <c r="C948" s="14" t="str">
        <f>"1500"</f>
        <v>1500</v>
      </c>
      <c r="D948" s="14" t="str">
        <f>""</f>
        <v/>
      </c>
      <c r="E948" s="14" t="s">
        <v>1867</v>
      </c>
      <c r="F948" s="14" t="s">
        <v>217</v>
      </c>
      <c r="G948" s="14" t="str">
        <f>""</f>
        <v/>
      </c>
      <c r="H948" s="14" t="str">
        <f>" 00"</f>
        <v xml:space="preserve"> 00</v>
      </c>
      <c r="I948" s="14">
        <v>0.01</v>
      </c>
      <c r="J948" s="14">
        <v>9999999.9900000002</v>
      </c>
      <c r="K948" s="14" t="s">
        <v>34</v>
      </c>
      <c r="L948" s="14" t="s">
        <v>226</v>
      </c>
      <c r="P948" s="14" t="s">
        <v>239</v>
      </c>
      <c r="Q948" s="14" t="s">
        <v>239</v>
      </c>
      <c r="R948" s="14" t="s">
        <v>35</v>
      </c>
    </row>
    <row r="949" spans="1:18" s="14" customFormat="1" x14ac:dyDescent="0.25">
      <c r="A949" s="14" t="str">
        <f>"95094"</f>
        <v>95094</v>
      </c>
      <c r="B949" s="14" t="str">
        <f>"03000"</f>
        <v>03000</v>
      </c>
      <c r="C949" s="14" t="str">
        <f>"1500"</f>
        <v>1500</v>
      </c>
      <c r="D949" s="14" t="str">
        <f>""</f>
        <v/>
      </c>
      <c r="E949" s="14" t="s">
        <v>1868</v>
      </c>
      <c r="F949" s="14" t="s">
        <v>217</v>
      </c>
      <c r="G949" s="14" t="str">
        <f>""</f>
        <v/>
      </c>
      <c r="H949" s="14" t="str">
        <f>" 00"</f>
        <v xml:space="preserve"> 00</v>
      </c>
      <c r="I949" s="14">
        <v>0.01</v>
      </c>
      <c r="J949" s="14">
        <v>9999999.9900000002</v>
      </c>
      <c r="K949" s="14" t="s">
        <v>34</v>
      </c>
      <c r="L949" s="14" t="s">
        <v>226</v>
      </c>
      <c r="P949" s="14" t="s">
        <v>239</v>
      </c>
      <c r="Q949" s="14" t="s">
        <v>239</v>
      </c>
      <c r="R949" s="14" t="s">
        <v>35</v>
      </c>
    </row>
    <row r="950" spans="1:18" s="14" customFormat="1" x14ac:dyDescent="0.25">
      <c r="A950" s="14" t="str">
        <f>"95095"</f>
        <v>95095</v>
      </c>
      <c r="B950" s="14" t="str">
        <f>"03000"</f>
        <v>03000</v>
      </c>
      <c r="C950" s="14" t="str">
        <f>"1500"</f>
        <v>1500</v>
      </c>
      <c r="D950" s="14" t="str">
        <f>""</f>
        <v/>
      </c>
      <c r="E950" s="14" t="s">
        <v>1869</v>
      </c>
      <c r="F950" s="14" t="s">
        <v>217</v>
      </c>
      <c r="G950" s="14" t="str">
        <f>""</f>
        <v/>
      </c>
      <c r="H950" s="14" t="str">
        <f>" 00"</f>
        <v xml:space="preserve"> 00</v>
      </c>
      <c r="I950" s="14">
        <v>0.01</v>
      </c>
      <c r="J950" s="14">
        <v>9999999.9900000002</v>
      </c>
      <c r="K950" s="14" t="s">
        <v>34</v>
      </c>
      <c r="P950" s="14" t="s">
        <v>239</v>
      </c>
      <c r="Q950" s="14" t="s">
        <v>239</v>
      </c>
      <c r="R950" s="14" t="s">
        <v>35</v>
      </c>
    </row>
    <row r="951" spans="1:18" s="14" customFormat="1" x14ac:dyDescent="0.25">
      <c r="A951" s="14" t="str">
        <f>"95096"</f>
        <v>95096</v>
      </c>
      <c r="B951" s="14" t="str">
        <f>"03000"</f>
        <v>03000</v>
      </c>
      <c r="C951" s="14" t="str">
        <f>"1500"</f>
        <v>1500</v>
      </c>
      <c r="D951" s="14" t="str">
        <f>""</f>
        <v/>
      </c>
      <c r="E951" s="14" t="s">
        <v>1870</v>
      </c>
      <c r="F951" s="14" t="s">
        <v>217</v>
      </c>
      <c r="G951" s="14" t="str">
        <f>""</f>
        <v/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34</v>
      </c>
      <c r="P951" s="14" t="s">
        <v>239</v>
      </c>
      <c r="Q951" s="14" t="s">
        <v>239</v>
      </c>
      <c r="R951" s="14" t="s">
        <v>35</v>
      </c>
    </row>
    <row r="952" spans="1:18" s="14" customFormat="1" x14ac:dyDescent="0.25">
      <c r="A952" s="14" t="str">
        <f>"95097"</f>
        <v>95097</v>
      </c>
      <c r="B952" s="14" t="str">
        <f>"03000"</f>
        <v>03000</v>
      </c>
      <c r="C952" s="14" t="str">
        <f>"1500"</f>
        <v>1500</v>
      </c>
      <c r="D952" s="14" t="str">
        <f>""</f>
        <v/>
      </c>
      <c r="E952" s="14" t="s">
        <v>1871</v>
      </c>
      <c r="F952" s="14" t="s">
        <v>217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34</v>
      </c>
      <c r="P952" s="14" t="s">
        <v>239</v>
      </c>
      <c r="Q952" s="14" t="s">
        <v>239</v>
      </c>
      <c r="R952" s="14" t="s">
        <v>35</v>
      </c>
    </row>
    <row r="953" spans="1:18" s="14" customFormat="1" x14ac:dyDescent="0.25">
      <c r="A953" s="14" t="str">
        <f>"95098"</f>
        <v>95098</v>
      </c>
      <c r="B953" s="14" t="str">
        <f>"03000"</f>
        <v>03000</v>
      </c>
      <c r="C953" s="14" t="str">
        <f>"1500"</f>
        <v>1500</v>
      </c>
      <c r="D953" s="14" t="str">
        <f>""</f>
        <v/>
      </c>
      <c r="E953" s="14" t="s">
        <v>1872</v>
      </c>
      <c r="F953" s="14" t="s">
        <v>217</v>
      </c>
      <c r="G953" s="14" t="str">
        <f>""</f>
        <v/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34</v>
      </c>
      <c r="P953" s="14" t="s">
        <v>239</v>
      </c>
      <c r="Q953" s="14" t="s">
        <v>239</v>
      </c>
      <c r="R953" s="14" t="s">
        <v>35</v>
      </c>
    </row>
    <row r="954" spans="1:18" s="14" customFormat="1" x14ac:dyDescent="0.25">
      <c r="A954" s="14" t="str">
        <f>"95099"</f>
        <v>95099</v>
      </c>
      <c r="B954" s="14" t="str">
        <f>"03000"</f>
        <v>03000</v>
      </c>
      <c r="C954" s="14" t="str">
        <f>"1500"</f>
        <v>1500</v>
      </c>
      <c r="D954" s="14" t="str">
        <f>""</f>
        <v/>
      </c>
      <c r="E954" s="14" t="s">
        <v>1873</v>
      </c>
      <c r="F954" s="14" t="s">
        <v>217</v>
      </c>
      <c r="G954" s="14" t="str">
        <f>""</f>
        <v/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34</v>
      </c>
      <c r="P954" s="14" t="s">
        <v>239</v>
      </c>
      <c r="Q954" s="14" t="s">
        <v>239</v>
      </c>
      <c r="R954" s="14" t="s">
        <v>35</v>
      </c>
    </row>
    <row r="955" spans="1:18" s="14" customFormat="1" x14ac:dyDescent="0.25">
      <c r="A955" s="14" t="str">
        <f>"95101"</f>
        <v>95101</v>
      </c>
      <c r="B955" s="14" t="str">
        <f>"03000"</f>
        <v>03000</v>
      </c>
      <c r="C955" s="14" t="str">
        <f>"1500"</f>
        <v>1500</v>
      </c>
      <c r="D955" s="14" t="str">
        <f>""</f>
        <v/>
      </c>
      <c r="E955" s="14" t="s">
        <v>1874</v>
      </c>
      <c r="F955" s="14" t="s">
        <v>217</v>
      </c>
      <c r="G955" s="14" t="str">
        <f>""</f>
        <v/>
      </c>
      <c r="H955" s="14" t="str">
        <f>" 00"</f>
        <v xml:space="preserve"> 00</v>
      </c>
      <c r="I955" s="14">
        <v>0.01</v>
      </c>
      <c r="J955" s="14">
        <v>9999999.9900000002</v>
      </c>
      <c r="K955" s="14" t="s">
        <v>34</v>
      </c>
      <c r="P955" s="14" t="s">
        <v>239</v>
      </c>
      <c r="Q955" s="14" t="s">
        <v>239</v>
      </c>
      <c r="R955" s="14" t="s">
        <v>35</v>
      </c>
    </row>
    <row r="956" spans="1:18" s="14" customFormat="1" x14ac:dyDescent="0.25">
      <c r="A956" s="14" t="str">
        <f>"95104"</f>
        <v>95104</v>
      </c>
      <c r="B956" s="14" t="str">
        <f>"03000"</f>
        <v>03000</v>
      </c>
      <c r="C956" s="14" t="str">
        <f>"1500"</f>
        <v>1500</v>
      </c>
      <c r="D956" s="14" t="str">
        <f>""</f>
        <v/>
      </c>
      <c r="E956" s="14" t="s">
        <v>1875</v>
      </c>
      <c r="F956" s="14" t="s">
        <v>217</v>
      </c>
      <c r="G956" s="14" t="str">
        <f>""</f>
        <v/>
      </c>
      <c r="H956" s="14" t="str">
        <f>" 00"</f>
        <v xml:space="preserve"> 00</v>
      </c>
      <c r="I956" s="14">
        <v>0.01</v>
      </c>
      <c r="J956" s="14">
        <v>9999999.9900000002</v>
      </c>
      <c r="K956" s="14" t="s">
        <v>34</v>
      </c>
      <c r="P956" s="14" t="s">
        <v>239</v>
      </c>
      <c r="Q956" s="14" t="s">
        <v>239</v>
      </c>
      <c r="R956" s="14" t="s">
        <v>35</v>
      </c>
    </row>
    <row r="957" spans="1:18" s="14" customFormat="1" x14ac:dyDescent="0.25">
      <c r="A957" s="14" t="str">
        <f>"95105"</f>
        <v>95105</v>
      </c>
      <c r="B957" s="14" t="str">
        <f>"03000"</f>
        <v>03000</v>
      </c>
      <c r="C957" s="14" t="str">
        <f>"1500"</f>
        <v>1500</v>
      </c>
      <c r="D957" s="14" t="str">
        <f>""</f>
        <v/>
      </c>
      <c r="E957" s="14" t="s">
        <v>1876</v>
      </c>
      <c r="F957" s="14" t="s">
        <v>217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34</v>
      </c>
      <c r="P957" s="14" t="s">
        <v>239</v>
      </c>
      <c r="Q957" s="14" t="s">
        <v>239</v>
      </c>
      <c r="R957" s="14" t="s">
        <v>35</v>
      </c>
    </row>
    <row r="958" spans="1:18" s="14" customFormat="1" x14ac:dyDescent="0.25">
      <c r="A958" s="14" t="str">
        <f>"95107"</f>
        <v>95107</v>
      </c>
      <c r="B958" s="14" t="str">
        <f>"03000"</f>
        <v>03000</v>
      </c>
      <c r="C958" s="14" t="str">
        <f>"1500"</f>
        <v>1500</v>
      </c>
      <c r="D958" s="14" t="str">
        <f>""</f>
        <v/>
      </c>
      <c r="E958" s="14" t="s">
        <v>1877</v>
      </c>
      <c r="F958" s="14" t="s">
        <v>217</v>
      </c>
      <c r="G958" s="14" t="str">
        <f>""</f>
        <v/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34</v>
      </c>
      <c r="P958" s="14" t="s">
        <v>239</v>
      </c>
      <c r="Q958" s="14" t="s">
        <v>239</v>
      </c>
      <c r="R958" s="14" t="s">
        <v>35</v>
      </c>
    </row>
    <row r="959" spans="1:18" s="14" customFormat="1" x14ac:dyDescent="0.25">
      <c r="A959" s="14" t="str">
        <f>"95108"</f>
        <v>95108</v>
      </c>
      <c r="B959" s="14" t="str">
        <f>"03000"</f>
        <v>03000</v>
      </c>
      <c r="C959" s="14" t="str">
        <f>"1500"</f>
        <v>1500</v>
      </c>
      <c r="D959" s="14" t="str">
        <f>""</f>
        <v/>
      </c>
      <c r="E959" s="14" t="s">
        <v>1878</v>
      </c>
      <c r="F959" s="14" t="s">
        <v>217</v>
      </c>
      <c r="G959" s="14" t="str">
        <f>""</f>
        <v/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34</v>
      </c>
      <c r="P959" s="14" t="s">
        <v>239</v>
      </c>
      <c r="Q959" s="14" t="s">
        <v>239</v>
      </c>
      <c r="R959" s="14" t="s">
        <v>35</v>
      </c>
    </row>
    <row r="960" spans="1:18" s="14" customFormat="1" x14ac:dyDescent="0.25">
      <c r="A960" s="14" t="str">
        <f>"95110"</f>
        <v>95110</v>
      </c>
      <c r="B960" s="14" t="str">
        <f>"03000"</f>
        <v>03000</v>
      </c>
      <c r="C960" s="14" t="str">
        <f>"1500"</f>
        <v>1500</v>
      </c>
      <c r="D960" s="14" t="str">
        <f>""</f>
        <v/>
      </c>
      <c r="E960" s="14" t="s">
        <v>1879</v>
      </c>
      <c r="F960" s="14" t="s">
        <v>217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34</v>
      </c>
      <c r="P960" s="14" t="s">
        <v>239</v>
      </c>
      <c r="Q960" s="14" t="s">
        <v>239</v>
      </c>
      <c r="R960" s="14" t="s">
        <v>35</v>
      </c>
    </row>
    <row r="961" spans="1:18" s="14" customFormat="1" x14ac:dyDescent="0.25">
      <c r="A961" s="14" t="str">
        <f>"95111"</f>
        <v>95111</v>
      </c>
      <c r="B961" s="14" t="str">
        <f>"03000"</f>
        <v>03000</v>
      </c>
      <c r="C961" s="14" t="str">
        <f>"1500"</f>
        <v>1500</v>
      </c>
      <c r="D961" s="14" t="str">
        <f>""</f>
        <v/>
      </c>
      <c r="E961" s="14" t="s">
        <v>1880</v>
      </c>
      <c r="F961" s="14" t="s">
        <v>217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34</v>
      </c>
      <c r="P961" s="14" t="s">
        <v>239</v>
      </c>
      <c r="Q961" s="14" t="s">
        <v>239</v>
      </c>
      <c r="R961" s="14" t="s">
        <v>35</v>
      </c>
    </row>
    <row r="962" spans="1:18" s="14" customFormat="1" x14ac:dyDescent="0.25">
      <c r="A962" s="14" t="str">
        <f>"95112"</f>
        <v>95112</v>
      </c>
      <c r="B962" s="14" t="str">
        <f>"03000"</f>
        <v>03000</v>
      </c>
      <c r="C962" s="14" t="str">
        <f>"1500"</f>
        <v>1500</v>
      </c>
      <c r="D962" s="14" t="str">
        <f>""</f>
        <v/>
      </c>
      <c r="E962" s="14" t="s">
        <v>1881</v>
      </c>
      <c r="F962" s="14" t="s">
        <v>217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34</v>
      </c>
      <c r="P962" s="14" t="s">
        <v>239</v>
      </c>
      <c r="Q962" s="14" t="s">
        <v>239</v>
      </c>
      <c r="R962" s="14" t="s">
        <v>35</v>
      </c>
    </row>
    <row r="963" spans="1:18" s="14" customFormat="1" x14ac:dyDescent="0.25">
      <c r="A963" s="14" t="str">
        <f>"95113"</f>
        <v>95113</v>
      </c>
      <c r="B963" s="14" t="str">
        <f>"03000"</f>
        <v>03000</v>
      </c>
      <c r="C963" s="14" t="str">
        <f>"1500"</f>
        <v>1500</v>
      </c>
      <c r="D963" s="14" t="str">
        <f>""</f>
        <v/>
      </c>
      <c r="E963" s="14" t="s">
        <v>1882</v>
      </c>
      <c r="F963" s="14" t="s">
        <v>217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34</v>
      </c>
      <c r="P963" s="14" t="s">
        <v>239</v>
      </c>
      <c r="Q963" s="14" t="s">
        <v>239</v>
      </c>
      <c r="R963" s="14" t="s">
        <v>35</v>
      </c>
    </row>
    <row r="964" spans="1:18" s="14" customFormat="1" x14ac:dyDescent="0.25">
      <c r="A964" s="14" t="str">
        <f>"95114"</f>
        <v>95114</v>
      </c>
      <c r="B964" s="14" t="str">
        <f>"03000"</f>
        <v>03000</v>
      </c>
      <c r="C964" s="14" t="str">
        <f>"1500"</f>
        <v>1500</v>
      </c>
      <c r="D964" s="14" t="str">
        <f>""</f>
        <v/>
      </c>
      <c r="E964" s="14" t="s">
        <v>1883</v>
      </c>
      <c r="F964" s="14" t="s">
        <v>217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34</v>
      </c>
      <c r="P964" s="14" t="s">
        <v>239</v>
      </c>
      <c r="Q964" s="14" t="s">
        <v>239</v>
      </c>
      <c r="R964" s="14" t="s">
        <v>35</v>
      </c>
    </row>
    <row r="965" spans="1:18" s="14" customFormat="1" x14ac:dyDescent="0.25">
      <c r="A965" s="14" t="str">
        <f>"95115"</f>
        <v>95115</v>
      </c>
      <c r="B965" s="14" t="str">
        <f>"03000"</f>
        <v>03000</v>
      </c>
      <c r="C965" s="14" t="str">
        <f>"1500"</f>
        <v>1500</v>
      </c>
      <c r="D965" s="14" t="str">
        <f>""</f>
        <v/>
      </c>
      <c r="E965" s="14" t="s">
        <v>1884</v>
      </c>
      <c r="F965" s="14" t="s">
        <v>217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34</v>
      </c>
      <c r="P965" s="14" t="s">
        <v>239</v>
      </c>
      <c r="Q965" s="14" t="s">
        <v>239</v>
      </c>
      <c r="R965" s="14" t="s">
        <v>35</v>
      </c>
    </row>
    <row r="966" spans="1:18" s="14" customFormat="1" x14ac:dyDescent="0.25">
      <c r="A966" s="14" t="str">
        <f>"95116"</f>
        <v>95116</v>
      </c>
      <c r="B966" s="14" t="str">
        <f>"03000"</f>
        <v>03000</v>
      </c>
      <c r="C966" s="14" t="str">
        <f>"1500"</f>
        <v>1500</v>
      </c>
      <c r="D966" s="14" t="str">
        <f>""</f>
        <v/>
      </c>
      <c r="E966" s="14" t="s">
        <v>1885</v>
      </c>
      <c r="F966" s="14" t="s">
        <v>217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34</v>
      </c>
      <c r="P966" s="14" t="s">
        <v>239</v>
      </c>
      <c r="Q966" s="14" t="s">
        <v>239</v>
      </c>
      <c r="R966" s="14" t="s">
        <v>35</v>
      </c>
    </row>
    <row r="967" spans="1:18" s="14" customFormat="1" x14ac:dyDescent="0.25">
      <c r="A967" s="14" t="str">
        <f>"95118"</f>
        <v>95118</v>
      </c>
      <c r="B967" s="14" t="str">
        <f>"03000"</f>
        <v>03000</v>
      </c>
      <c r="C967" s="14" t="str">
        <f>"1500"</f>
        <v>1500</v>
      </c>
      <c r="D967" s="14" t="str">
        <f>""</f>
        <v/>
      </c>
      <c r="E967" s="14" t="s">
        <v>1886</v>
      </c>
      <c r="F967" s="14" t="s">
        <v>217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34</v>
      </c>
      <c r="P967" s="14" t="s">
        <v>239</v>
      </c>
      <c r="Q967" s="14" t="s">
        <v>239</v>
      </c>
      <c r="R967" s="14" t="s">
        <v>35</v>
      </c>
    </row>
    <row r="968" spans="1:18" s="14" customFormat="1" x14ac:dyDescent="0.25">
      <c r="A968" s="14" t="str">
        <f>"95119"</f>
        <v>95119</v>
      </c>
      <c r="B968" s="14" t="str">
        <f>"03000"</f>
        <v>03000</v>
      </c>
      <c r="C968" s="14" t="str">
        <f>"1500"</f>
        <v>1500</v>
      </c>
      <c r="D968" s="14" t="str">
        <f>""</f>
        <v/>
      </c>
      <c r="E968" s="14" t="s">
        <v>1887</v>
      </c>
      <c r="F968" s="14" t="s">
        <v>217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34</v>
      </c>
      <c r="P968" s="14" t="s">
        <v>239</v>
      </c>
      <c r="Q968" s="14" t="s">
        <v>239</v>
      </c>
      <c r="R968" s="14" t="s">
        <v>35</v>
      </c>
    </row>
    <row r="969" spans="1:18" s="14" customFormat="1" x14ac:dyDescent="0.25">
      <c r="A969" s="14" t="str">
        <f>"95120"</f>
        <v>95120</v>
      </c>
      <c r="B969" s="14" t="str">
        <f>"03000"</f>
        <v>03000</v>
      </c>
      <c r="C969" s="14" t="str">
        <f>"1500"</f>
        <v>1500</v>
      </c>
      <c r="D969" s="14" t="str">
        <f>""</f>
        <v/>
      </c>
      <c r="E969" s="14" t="s">
        <v>1888</v>
      </c>
      <c r="F969" s="14" t="s">
        <v>217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34</v>
      </c>
      <c r="P969" s="14" t="s">
        <v>239</v>
      </c>
      <c r="Q969" s="14" t="s">
        <v>239</v>
      </c>
      <c r="R969" s="14" t="s">
        <v>35</v>
      </c>
    </row>
    <row r="970" spans="1:18" s="14" customFormat="1" x14ac:dyDescent="0.25">
      <c r="A970" s="14" t="str">
        <f>"95122"</f>
        <v>95122</v>
      </c>
      <c r="B970" s="14" t="str">
        <f>"03000"</f>
        <v>03000</v>
      </c>
      <c r="C970" s="14" t="str">
        <f>"1500"</f>
        <v>1500</v>
      </c>
      <c r="D970" s="14" t="str">
        <f>""</f>
        <v/>
      </c>
      <c r="E970" s="14" t="s">
        <v>1889</v>
      </c>
      <c r="F970" s="14" t="s">
        <v>217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34</v>
      </c>
      <c r="P970" s="14" t="s">
        <v>239</v>
      </c>
      <c r="Q970" s="14" t="s">
        <v>239</v>
      </c>
      <c r="R970" s="14" t="s">
        <v>35</v>
      </c>
    </row>
    <row r="971" spans="1:18" s="14" customFormat="1" x14ac:dyDescent="0.25">
      <c r="A971" s="14" t="str">
        <f>"95123"</f>
        <v>95123</v>
      </c>
      <c r="B971" s="14" t="str">
        <f>"03000"</f>
        <v>03000</v>
      </c>
      <c r="C971" s="14" t="str">
        <f>"1500"</f>
        <v>1500</v>
      </c>
      <c r="D971" s="14" t="str">
        <f>""</f>
        <v/>
      </c>
      <c r="E971" s="14" t="s">
        <v>1890</v>
      </c>
      <c r="F971" s="14" t="s">
        <v>217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34</v>
      </c>
      <c r="P971" s="14" t="s">
        <v>239</v>
      </c>
      <c r="Q971" s="14" t="s">
        <v>239</v>
      </c>
      <c r="R971" s="14" t="s">
        <v>35</v>
      </c>
    </row>
    <row r="972" spans="1:18" s="14" customFormat="1" x14ac:dyDescent="0.25">
      <c r="A972" s="14" t="str">
        <f>"95124"</f>
        <v>95124</v>
      </c>
      <c r="B972" s="14" t="str">
        <f>"03000"</f>
        <v>03000</v>
      </c>
      <c r="C972" s="14" t="str">
        <f>"1500"</f>
        <v>1500</v>
      </c>
      <c r="D972" s="14" t="str">
        <f>""</f>
        <v/>
      </c>
      <c r="E972" s="14" t="s">
        <v>1891</v>
      </c>
      <c r="F972" s="14" t="s">
        <v>217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34</v>
      </c>
      <c r="P972" s="14" t="s">
        <v>239</v>
      </c>
      <c r="Q972" s="14" t="s">
        <v>239</v>
      </c>
      <c r="R972" s="14" t="s">
        <v>35</v>
      </c>
    </row>
    <row r="973" spans="1:18" s="14" customFormat="1" x14ac:dyDescent="0.25">
      <c r="A973" s="14" t="str">
        <f>"95125"</f>
        <v>95125</v>
      </c>
      <c r="B973" s="14" t="str">
        <f>"03000"</f>
        <v>03000</v>
      </c>
      <c r="C973" s="14" t="str">
        <f>"1500"</f>
        <v>1500</v>
      </c>
      <c r="D973" s="14" t="str">
        <f>""</f>
        <v/>
      </c>
      <c r="E973" s="14" t="s">
        <v>1892</v>
      </c>
      <c r="F973" s="14" t="s">
        <v>217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34</v>
      </c>
      <c r="P973" s="14" t="s">
        <v>239</v>
      </c>
      <c r="Q973" s="14" t="s">
        <v>239</v>
      </c>
      <c r="R973" s="14" t="s">
        <v>35</v>
      </c>
    </row>
    <row r="974" spans="1:18" s="14" customFormat="1" x14ac:dyDescent="0.25">
      <c r="A974" s="14" t="str">
        <f>"95126"</f>
        <v>95126</v>
      </c>
      <c r="B974" s="14" t="str">
        <f>"03000"</f>
        <v>03000</v>
      </c>
      <c r="C974" s="14" t="str">
        <f>"1500"</f>
        <v>1500</v>
      </c>
      <c r="D974" s="14" t="str">
        <f>""</f>
        <v/>
      </c>
      <c r="E974" s="14" t="s">
        <v>1893</v>
      </c>
      <c r="F974" s="14" t="s">
        <v>217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34</v>
      </c>
      <c r="P974" s="14" t="s">
        <v>239</v>
      </c>
      <c r="Q974" s="14" t="s">
        <v>239</v>
      </c>
      <c r="R974" s="14" t="s">
        <v>35</v>
      </c>
    </row>
    <row r="975" spans="1:18" s="14" customFormat="1" x14ac:dyDescent="0.25">
      <c r="A975" s="14" t="str">
        <f>"95127"</f>
        <v>95127</v>
      </c>
      <c r="B975" s="14" t="str">
        <f>"03000"</f>
        <v>03000</v>
      </c>
      <c r="C975" s="14" t="str">
        <f>"1500"</f>
        <v>1500</v>
      </c>
      <c r="D975" s="14" t="str">
        <f>""</f>
        <v/>
      </c>
      <c r="E975" s="14" t="s">
        <v>1894</v>
      </c>
      <c r="F975" s="14" t="s">
        <v>217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34</v>
      </c>
      <c r="P975" s="14" t="s">
        <v>239</v>
      </c>
      <c r="Q975" s="14" t="s">
        <v>239</v>
      </c>
      <c r="R975" s="14" t="s">
        <v>35</v>
      </c>
    </row>
    <row r="976" spans="1:18" s="14" customFormat="1" x14ac:dyDescent="0.25">
      <c r="A976" s="14" t="str">
        <f>"95128"</f>
        <v>95128</v>
      </c>
      <c r="B976" s="14" t="str">
        <f>"03000"</f>
        <v>03000</v>
      </c>
      <c r="C976" s="14" t="str">
        <f>"1500"</f>
        <v>1500</v>
      </c>
      <c r="D976" s="14" t="str">
        <f>""</f>
        <v/>
      </c>
      <c r="E976" s="14" t="s">
        <v>1895</v>
      </c>
      <c r="F976" s="14" t="s">
        <v>217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34</v>
      </c>
      <c r="P976" s="14" t="s">
        <v>239</v>
      </c>
      <c r="Q976" s="14" t="s">
        <v>239</v>
      </c>
      <c r="R976" s="14" t="s">
        <v>35</v>
      </c>
    </row>
    <row r="977" spans="1:18" s="14" customFormat="1" x14ac:dyDescent="0.25">
      <c r="A977" s="14" t="str">
        <f>"95129"</f>
        <v>95129</v>
      </c>
      <c r="B977" s="14" t="str">
        <f>"03000"</f>
        <v>03000</v>
      </c>
      <c r="C977" s="14" t="str">
        <f>"1500"</f>
        <v>1500</v>
      </c>
      <c r="D977" s="14" t="str">
        <f>""</f>
        <v/>
      </c>
      <c r="E977" s="14" t="s">
        <v>1896</v>
      </c>
      <c r="F977" s="14" t="s">
        <v>217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34</v>
      </c>
      <c r="P977" s="14" t="s">
        <v>239</v>
      </c>
      <c r="Q977" s="14" t="s">
        <v>239</v>
      </c>
      <c r="R977" s="14" t="s">
        <v>35</v>
      </c>
    </row>
    <row r="978" spans="1:18" s="14" customFormat="1" x14ac:dyDescent="0.25">
      <c r="A978" s="14" t="str">
        <f>"95130"</f>
        <v>95130</v>
      </c>
      <c r="B978" s="14" t="str">
        <f>"03000"</f>
        <v>03000</v>
      </c>
      <c r="C978" s="14" t="str">
        <f>"1500"</f>
        <v>1500</v>
      </c>
      <c r="D978" s="14" t="str">
        <f>""</f>
        <v/>
      </c>
      <c r="E978" s="14" t="s">
        <v>1897</v>
      </c>
      <c r="F978" s="14" t="s">
        <v>217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34</v>
      </c>
      <c r="P978" s="14" t="s">
        <v>239</v>
      </c>
      <c r="Q978" s="14" t="s">
        <v>239</v>
      </c>
      <c r="R978" s="14" t="s">
        <v>35</v>
      </c>
    </row>
    <row r="979" spans="1:18" s="14" customFormat="1" x14ac:dyDescent="0.25">
      <c r="A979" s="14" t="str">
        <f>"95131"</f>
        <v>95131</v>
      </c>
      <c r="B979" s="14" t="str">
        <f>"03000"</f>
        <v>03000</v>
      </c>
      <c r="C979" s="14" t="str">
        <f>"1500"</f>
        <v>1500</v>
      </c>
      <c r="D979" s="14" t="str">
        <f>""</f>
        <v/>
      </c>
      <c r="E979" s="14" t="s">
        <v>1898</v>
      </c>
      <c r="F979" s="14" t="s">
        <v>217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34</v>
      </c>
      <c r="P979" s="14" t="s">
        <v>239</v>
      </c>
      <c r="Q979" s="14" t="s">
        <v>239</v>
      </c>
      <c r="R979" s="14" t="s">
        <v>35</v>
      </c>
    </row>
    <row r="980" spans="1:18" s="14" customFormat="1" x14ac:dyDescent="0.25">
      <c r="A980" s="14" t="str">
        <f>"95132"</f>
        <v>95132</v>
      </c>
      <c r="B980" s="14" t="str">
        <f>"03000"</f>
        <v>03000</v>
      </c>
      <c r="C980" s="14" t="str">
        <f>"1500"</f>
        <v>1500</v>
      </c>
      <c r="D980" s="14" t="str">
        <f>""</f>
        <v/>
      </c>
      <c r="E980" s="14" t="s">
        <v>1899</v>
      </c>
      <c r="F980" s="14" t="s">
        <v>217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34</v>
      </c>
      <c r="P980" s="14" t="s">
        <v>239</v>
      </c>
      <c r="Q980" s="14" t="s">
        <v>239</v>
      </c>
      <c r="R980" s="14" t="s">
        <v>35</v>
      </c>
    </row>
    <row r="981" spans="1:18" s="14" customFormat="1" x14ac:dyDescent="0.25">
      <c r="A981" s="14" t="str">
        <f>"95133"</f>
        <v>95133</v>
      </c>
      <c r="B981" s="14" t="str">
        <f>"03000"</f>
        <v>03000</v>
      </c>
      <c r="C981" s="14" t="str">
        <f>"1500"</f>
        <v>1500</v>
      </c>
      <c r="D981" s="14" t="str">
        <f>""</f>
        <v/>
      </c>
      <c r="E981" s="14" t="s">
        <v>1900</v>
      </c>
      <c r="F981" s="14" t="s">
        <v>217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34</v>
      </c>
      <c r="P981" s="14" t="s">
        <v>239</v>
      </c>
      <c r="Q981" s="14" t="s">
        <v>239</v>
      </c>
      <c r="R981" s="14" t="s">
        <v>35</v>
      </c>
    </row>
    <row r="982" spans="1:18" s="14" customFormat="1" x14ac:dyDescent="0.25">
      <c r="A982" s="14" t="str">
        <f>"95134"</f>
        <v>95134</v>
      </c>
      <c r="B982" s="14" t="str">
        <f>"03000"</f>
        <v>03000</v>
      </c>
      <c r="C982" s="14" t="str">
        <f>"1500"</f>
        <v>1500</v>
      </c>
      <c r="D982" s="14" t="str">
        <f>""</f>
        <v/>
      </c>
      <c r="E982" s="14" t="s">
        <v>1901</v>
      </c>
      <c r="F982" s="14" t="s">
        <v>217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34</v>
      </c>
      <c r="P982" s="14" t="s">
        <v>239</v>
      </c>
      <c r="Q982" s="14" t="s">
        <v>239</v>
      </c>
      <c r="R982" s="14" t="s">
        <v>35</v>
      </c>
    </row>
    <row r="983" spans="1:18" s="14" customFormat="1" x14ac:dyDescent="0.25">
      <c r="A983" s="14" t="str">
        <f>"95135"</f>
        <v>95135</v>
      </c>
      <c r="B983" s="14" t="str">
        <f>"03000"</f>
        <v>03000</v>
      </c>
      <c r="C983" s="14" t="str">
        <f>"1500"</f>
        <v>1500</v>
      </c>
      <c r="D983" s="14" t="str">
        <f>""</f>
        <v/>
      </c>
      <c r="E983" s="14" t="s">
        <v>1902</v>
      </c>
      <c r="F983" s="14" t="s">
        <v>217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34</v>
      </c>
      <c r="P983" s="14" t="s">
        <v>239</v>
      </c>
      <c r="Q983" s="14" t="s">
        <v>239</v>
      </c>
      <c r="R983" s="14" t="s">
        <v>35</v>
      </c>
    </row>
    <row r="984" spans="1:18" s="14" customFormat="1" x14ac:dyDescent="0.25">
      <c r="A984" s="14" t="str">
        <f>"95136"</f>
        <v>95136</v>
      </c>
      <c r="B984" s="14" t="str">
        <f>"03000"</f>
        <v>03000</v>
      </c>
      <c r="C984" s="14" t="str">
        <f>"1500"</f>
        <v>1500</v>
      </c>
      <c r="D984" s="14" t="str">
        <f>""</f>
        <v/>
      </c>
      <c r="E984" s="14" t="s">
        <v>1903</v>
      </c>
      <c r="F984" s="14" t="s">
        <v>217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34</v>
      </c>
      <c r="P984" s="14" t="s">
        <v>239</v>
      </c>
      <c r="Q984" s="14" t="s">
        <v>239</v>
      </c>
      <c r="R984" s="14" t="s">
        <v>35</v>
      </c>
    </row>
    <row r="985" spans="1:18" s="14" customFormat="1" x14ac:dyDescent="0.25">
      <c r="A985" s="14" t="str">
        <f>"95140"</f>
        <v>95140</v>
      </c>
      <c r="B985" s="14" t="str">
        <f>"03000"</f>
        <v>03000</v>
      </c>
      <c r="C985" s="14" t="str">
        <f>"1500"</f>
        <v>1500</v>
      </c>
      <c r="D985" s="14" t="str">
        <f>""</f>
        <v/>
      </c>
      <c r="E985" s="14" t="s">
        <v>1904</v>
      </c>
      <c r="F985" s="14" t="s">
        <v>217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34</v>
      </c>
      <c r="P985" s="14" t="s">
        <v>239</v>
      </c>
      <c r="Q985" s="14" t="s">
        <v>239</v>
      </c>
      <c r="R985" s="14" t="s">
        <v>35</v>
      </c>
    </row>
    <row r="986" spans="1:18" s="14" customFormat="1" x14ac:dyDescent="0.25">
      <c r="A986" s="14" t="str">
        <f>"95141"</f>
        <v>95141</v>
      </c>
      <c r="B986" s="14" t="str">
        <f>"03000"</f>
        <v>03000</v>
      </c>
      <c r="C986" s="14" t="str">
        <f>"1500"</f>
        <v>1500</v>
      </c>
      <c r="D986" s="14" t="str">
        <f>""</f>
        <v/>
      </c>
      <c r="E986" s="14" t="s">
        <v>1905</v>
      </c>
      <c r="F986" s="14" t="s">
        <v>217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34</v>
      </c>
      <c r="P986" s="14" t="s">
        <v>239</v>
      </c>
      <c r="Q986" s="14" t="s">
        <v>239</v>
      </c>
      <c r="R986" s="14" t="s">
        <v>35</v>
      </c>
    </row>
    <row r="987" spans="1:18" s="14" customFormat="1" x14ac:dyDescent="0.25">
      <c r="A987" s="14" t="str">
        <f>"95142"</f>
        <v>95142</v>
      </c>
      <c r="B987" s="14" t="str">
        <f>"03000"</f>
        <v>03000</v>
      </c>
      <c r="C987" s="14" t="str">
        <f>"1500"</f>
        <v>1500</v>
      </c>
      <c r="D987" s="14" t="str">
        <f>""</f>
        <v/>
      </c>
      <c r="E987" s="14" t="s">
        <v>1906</v>
      </c>
      <c r="F987" s="14" t="s">
        <v>217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34</v>
      </c>
      <c r="P987" s="14" t="s">
        <v>239</v>
      </c>
      <c r="Q987" s="14" t="s">
        <v>239</v>
      </c>
      <c r="R987" s="14" t="s">
        <v>35</v>
      </c>
    </row>
    <row r="988" spans="1:18" s="14" customFormat="1" x14ac:dyDescent="0.25">
      <c r="A988" s="14" t="str">
        <f>"95143"</f>
        <v>95143</v>
      </c>
      <c r="B988" s="14" t="str">
        <f>"03000"</f>
        <v>03000</v>
      </c>
      <c r="C988" s="14" t="str">
        <f>"1500"</f>
        <v>1500</v>
      </c>
      <c r="D988" s="14" t="str">
        <f>""</f>
        <v/>
      </c>
      <c r="E988" s="14" t="s">
        <v>1907</v>
      </c>
      <c r="F988" s="14" t="s">
        <v>217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34</v>
      </c>
      <c r="P988" s="14" t="s">
        <v>239</v>
      </c>
      <c r="Q988" s="14" t="s">
        <v>239</v>
      </c>
      <c r="R988" s="14" t="s">
        <v>35</v>
      </c>
    </row>
    <row r="989" spans="1:18" s="14" customFormat="1" x14ac:dyDescent="0.25">
      <c r="A989" s="14" t="str">
        <f>"95144"</f>
        <v>95144</v>
      </c>
      <c r="B989" s="14" t="str">
        <f>"03000"</f>
        <v>03000</v>
      </c>
      <c r="C989" s="14" t="str">
        <f>"1500"</f>
        <v>1500</v>
      </c>
      <c r="D989" s="14" t="str">
        <f>""</f>
        <v/>
      </c>
      <c r="E989" s="14" t="s">
        <v>1908</v>
      </c>
      <c r="F989" s="14" t="s">
        <v>217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34</v>
      </c>
      <c r="P989" s="14" t="s">
        <v>239</v>
      </c>
      <c r="Q989" s="14" t="s">
        <v>239</v>
      </c>
      <c r="R989" s="14" t="s">
        <v>35</v>
      </c>
    </row>
    <row r="990" spans="1:18" s="14" customFormat="1" x14ac:dyDescent="0.25">
      <c r="A990" s="14" t="str">
        <f>"95145"</f>
        <v>95145</v>
      </c>
      <c r="B990" s="14" t="str">
        <f>"03000"</f>
        <v>03000</v>
      </c>
      <c r="C990" s="14" t="str">
        <f>"1500"</f>
        <v>1500</v>
      </c>
      <c r="D990" s="14" t="str">
        <f>""</f>
        <v/>
      </c>
      <c r="E990" s="14" t="s">
        <v>1909</v>
      </c>
      <c r="F990" s="14" t="s">
        <v>217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34</v>
      </c>
      <c r="P990" s="14" t="s">
        <v>239</v>
      </c>
      <c r="Q990" s="14" t="s">
        <v>239</v>
      </c>
      <c r="R990" s="14" t="s">
        <v>35</v>
      </c>
    </row>
    <row r="991" spans="1:18" s="14" customFormat="1" x14ac:dyDescent="0.25">
      <c r="A991" s="14" t="str">
        <f>"95201"</f>
        <v>95201</v>
      </c>
      <c r="B991" s="14" t="str">
        <f>"03000"</f>
        <v>03000</v>
      </c>
      <c r="C991" s="14" t="str">
        <f>"1500"</f>
        <v>1500</v>
      </c>
      <c r="D991" s="14" t="str">
        <f>""</f>
        <v/>
      </c>
      <c r="E991" s="14" t="s">
        <v>1910</v>
      </c>
      <c r="F991" s="14" t="s">
        <v>217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34</v>
      </c>
      <c r="P991" s="14" t="s">
        <v>239</v>
      </c>
      <c r="Q991" s="14" t="s">
        <v>239</v>
      </c>
      <c r="R991" s="14" t="s">
        <v>35</v>
      </c>
    </row>
    <row r="992" spans="1:18" s="14" customFormat="1" x14ac:dyDescent="0.25">
      <c r="A992" s="14" t="str">
        <f>"95202"</f>
        <v>95202</v>
      </c>
      <c r="B992" s="14" t="str">
        <f>"03000"</f>
        <v>03000</v>
      </c>
      <c r="C992" s="14" t="str">
        <f>"1500"</f>
        <v>1500</v>
      </c>
      <c r="D992" s="14" t="str">
        <f>""</f>
        <v/>
      </c>
      <c r="E992" s="14" t="s">
        <v>1911</v>
      </c>
      <c r="F992" s="14" t="s">
        <v>217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34</v>
      </c>
      <c r="P992" s="14" t="s">
        <v>239</v>
      </c>
      <c r="Q992" s="14" t="s">
        <v>239</v>
      </c>
      <c r="R992" s="14" t="s">
        <v>35</v>
      </c>
    </row>
    <row r="993" spans="1:18" s="14" customFormat="1" x14ac:dyDescent="0.25">
      <c r="A993" s="14" t="str">
        <f>"95901"</f>
        <v>95901</v>
      </c>
      <c r="B993" s="14" t="str">
        <f>"03000"</f>
        <v>03000</v>
      </c>
      <c r="C993" s="14" t="str">
        <f>"1500"</f>
        <v>1500</v>
      </c>
      <c r="D993" s="14" t="str">
        <f>""</f>
        <v/>
      </c>
      <c r="E993" s="14" t="s">
        <v>1912</v>
      </c>
      <c r="F993" s="14" t="s">
        <v>217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34</v>
      </c>
      <c r="P993" s="14" t="s">
        <v>239</v>
      </c>
      <c r="Q993" s="14" t="s">
        <v>239</v>
      </c>
      <c r="R993" s="14" t="s">
        <v>35</v>
      </c>
    </row>
    <row r="994" spans="1:18" s="14" customFormat="1" x14ac:dyDescent="0.25">
      <c r="A994" s="14" t="str">
        <f>"95902"</f>
        <v>95902</v>
      </c>
      <c r="B994" s="14" t="str">
        <f>"03000"</f>
        <v>03000</v>
      </c>
      <c r="C994" s="14" t="str">
        <f>"1500"</f>
        <v>1500</v>
      </c>
      <c r="D994" s="14" t="str">
        <f>""</f>
        <v/>
      </c>
      <c r="E994" s="14" t="s">
        <v>1913</v>
      </c>
      <c r="F994" s="14" t="s">
        <v>217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34</v>
      </c>
      <c r="P994" s="14" t="s">
        <v>239</v>
      </c>
      <c r="Q994" s="14" t="s">
        <v>239</v>
      </c>
      <c r="R994" s="14" t="s">
        <v>35</v>
      </c>
    </row>
    <row r="995" spans="1:18" s="14" customFormat="1" x14ac:dyDescent="0.25">
      <c r="A995" s="14" t="str">
        <f>"95903"</f>
        <v>95903</v>
      </c>
      <c r="B995" s="14" t="str">
        <f>"03000"</f>
        <v>03000</v>
      </c>
      <c r="C995" s="14" t="str">
        <f>"1500"</f>
        <v>1500</v>
      </c>
      <c r="D995" s="14" t="str">
        <f>""</f>
        <v/>
      </c>
      <c r="E995" s="14" t="s">
        <v>1914</v>
      </c>
      <c r="F995" s="14" t="s">
        <v>217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34</v>
      </c>
      <c r="P995" s="14" t="s">
        <v>239</v>
      </c>
      <c r="Q995" s="14" t="s">
        <v>239</v>
      </c>
      <c r="R995" s="14" t="s">
        <v>35</v>
      </c>
    </row>
    <row r="996" spans="1:18" s="14" customFormat="1" x14ac:dyDescent="0.25">
      <c r="A996" s="14" t="str">
        <f>"95904"</f>
        <v>95904</v>
      </c>
      <c r="B996" s="14" t="str">
        <f>"03000"</f>
        <v>03000</v>
      </c>
      <c r="C996" s="14" t="str">
        <f>"1500"</f>
        <v>1500</v>
      </c>
      <c r="D996" s="14" t="str">
        <f>""</f>
        <v/>
      </c>
      <c r="E996" s="14" t="s">
        <v>1915</v>
      </c>
      <c r="F996" s="14" t="s">
        <v>217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34</v>
      </c>
      <c r="P996" s="14" t="s">
        <v>239</v>
      </c>
      <c r="Q996" s="14" t="s">
        <v>239</v>
      </c>
      <c r="R996" s="14" t="s">
        <v>35</v>
      </c>
    </row>
    <row r="997" spans="1:18" s="14" customFormat="1" x14ac:dyDescent="0.25">
      <c r="A997" s="14" t="str">
        <f>"95905"</f>
        <v>95905</v>
      </c>
      <c r="B997" s="14" t="str">
        <f>"03000"</f>
        <v>03000</v>
      </c>
      <c r="C997" s="14" t="str">
        <f>"1500"</f>
        <v>1500</v>
      </c>
      <c r="D997" s="14" t="str">
        <f>""</f>
        <v/>
      </c>
      <c r="E997" s="14" t="s">
        <v>1916</v>
      </c>
      <c r="F997" s="14" t="s">
        <v>217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34</v>
      </c>
      <c r="P997" s="14" t="s">
        <v>239</v>
      </c>
      <c r="Q997" s="14" t="s">
        <v>239</v>
      </c>
      <c r="R997" s="14" t="s">
        <v>35</v>
      </c>
    </row>
    <row r="998" spans="1:18" s="14" customFormat="1" x14ac:dyDescent="0.25">
      <c r="A998" s="14" t="str">
        <f>"95906"</f>
        <v>95906</v>
      </c>
      <c r="B998" s="14" t="str">
        <f>"03000"</f>
        <v>03000</v>
      </c>
      <c r="C998" s="14" t="str">
        <f>"1500"</f>
        <v>1500</v>
      </c>
      <c r="D998" s="14" t="str">
        <f>""</f>
        <v/>
      </c>
      <c r="E998" s="14" t="s">
        <v>1917</v>
      </c>
      <c r="F998" s="14" t="s">
        <v>217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34</v>
      </c>
      <c r="P998" s="14" t="s">
        <v>239</v>
      </c>
      <c r="Q998" s="14" t="s">
        <v>239</v>
      </c>
      <c r="R998" s="14" t="s">
        <v>35</v>
      </c>
    </row>
    <row r="999" spans="1:18" s="14" customFormat="1" x14ac:dyDescent="0.25">
      <c r="A999" s="14" t="str">
        <f>"95907"</f>
        <v>95907</v>
      </c>
      <c r="B999" s="14" t="str">
        <f>"03000"</f>
        <v>03000</v>
      </c>
      <c r="C999" s="14" t="str">
        <f>"1500"</f>
        <v>1500</v>
      </c>
      <c r="D999" s="14" t="str">
        <f>""</f>
        <v/>
      </c>
      <c r="E999" s="14" t="s">
        <v>1918</v>
      </c>
      <c r="F999" s="14" t="s">
        <v>217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34</v>
      </c>
      <c r="P999" s="14" t="s">
        <v>239</v>
      </c>
      <c r="Q999" s="14" t="s">
        <v>239</v>
      </c>
      <c r="R999" s="14" t="s">
        <v>35</v>
      </c>
    </row>
    <row r="1000" spans="1:18" s="14" customFormat="1" x14ac:dyDescent="0.25">
      <c r="A1000" s="14" t="str">
        <f>"95908"</f>
        <v>95908</v>
      </c>
      <c r="B1000" s="14" t="str">
        <f>"03000"</f>
        <v>03000</v>
      </c>
      <c r="C1000" s="14" t="str">
        <f>"1500"</f>
        <v>1500</v>
      </c>
      <c r="D1000" s="14" t="str">
        <f>""</f>
        <v/>
      </c>
      <c r="E1000" s="14" t="s">
        <v>1919</v>
      </c>
      <c r="F1000" s="14" t="s">
        <v>217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34</v>
      </c>
      <c r="P1000" s="14" t="s">
        <v>239</v>
      </c>
      <c r="Q1000" s="14" t="s">
        <v>239</v>
      </c>
      <c r="R1000" s="14" t="s">
        <v>35</v>
      </c>
    </row>
    <row r="1001" spans="1:18" s="14" customFormat="1" x14ac:dyDescent="0.25">
      <c r="A1001" s="14" t="str">
        <f>"96035"</f>
        <v>96035</v>
      </c>
      <c r="B1001" s="14" t="str">
        <f>"03050"</f>
        <v>03050</v>
      </c>
      <c r="C1001" s="14" t="str">
        <f>"2100"</f>
        <v>2100</v>
      </c>
      <c r="D1001" s="14" t="str">
        <f>""</f>
        <v/>
      </c>
      <c r="E1001" s="14" t="s">
        <v>1840</v>
      </c>
      <c r="F1001" s="14" t="s">
        <v>225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226</v>
      </c>
      <c r="L1001" s="14" t="s">
        <v>227</v>
      </c>
      <c r="P1001" s="14" t="s">
        <v>239</v>
      </c>
      <c r="Q1001" s="14" t="s">
        <v>239</v>
      </c>
      <c r="R1001" s="14" t="s">
        <v>229</v>
      </c>
    </row>
    <row r="1002" spans="1:18" s="14" customFormat="1" x14ac:dyDescent="0.25">
      <c r="A1002" s="14" t="str">
        <f>"96041"</f>
        <v>96041</v>
      </c>
      <c r="B1002" s="14" t="str">
        <f>"03050"</f>
        <v>03050</v>
      </c>
      <c r="C1002" s="14" t="str">
        <f>"2100"</f>
        <v>2100</v>
      </c>
      <c r="D1002" s="14" t="str">
        <f>""</f>
        <v/>
      </c>
      <c r="E1002" s="14" t="s">
        <v>1841</v>
      </c>
      <c r="F1002" s="14" t="s">
        <v>225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226</v>
      </c>
      <c r="L1002" s="14" t="s">
        <v>227</v>
      </c>
      <c r="P1002" s="14" t="s">
        <v>239</v>
      </c>
      <c r="Q1002" s="14" t="s">
        <v>239</v>
      </c>
      <c r="R1002" s="14" t="s">
        <v>229</v>
      </c>
    </row>
    <row r="1003" spans="1:18" s="14" customFormat="1" x14ac:dyDescent="0.25">
      <c r="A1003" s="14" t="str">
        <f>"96042"</f>
        <v>96042</v>
      </c>
      <c r="B1003" s="14" t="str">
        <f>"03050"</f>
        <v>03050</v>
      </c>
      <c r="C1003" s="14" t="str">
        <f>"2100"</f>
        <v>2100</v>
      </c>
      <c r="D1003" s="14" t="str">
        <f>""</f>
        <v/>
      </c>
      <c r="E1003" s="14" t="s">
        <v>1842</v>
      </c>
      <c r="F1003" s="14" t="s">
        <v>225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226</v>
      </c>
      <c r="L1003" s="14" t="s">
        <v>227</v>
      </c>
      <c r="P1003" s="14" t="s">
        <v>239</v>
      </c>
      <c r="Q1003" s="14" t="s">
        <v>239</v>
      </c>
      <c r="R1003" s="14" t="s">
        <v>229</v>
      </c>
    </row>
    <row r="1004" spans="1:18" s="14" customFormat="1" x14ac:dyDescent="0.25">
      <c r="A1004" s="14" t="str">
        <f>"96043"</f>
        <v>96043</v>
      </c>
      <c r="B1004" s="14" t="str">
        <f>"03050"</f>
        <v>03050</v>
      </c>
      <c r="C1004" s="14" t="str">
        <f>"2100"</f>
        <v>2100</v>
      </c>
      <c r="D1004" s="14" t="str">
        <f>""</f>
        <v/>
      </c>
      <c r="E1004" s="14" t="s">
        <v>1843</v>
      </c>
      <c r="F1004" s="14" t="s">
        <v>225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226</v>
      </c>
      <c r="L1004" s="14" t="s">
        <v>227</v>
      </c>
      <c r="P1004" s="14" t="s">
        <v>239</v>
      </c>
      <c r="Q1004" s="14" t="s">
        <v>239</v>
      </c>
      <c r="R1004" s="14" t="s">
        <v>229</v>
      </c>
    </row>
    <row r="1005" spans="1:18" s="14" customFormat="1" x14ac:dyDescent="0.25">
      <c r="A1005" s="14" t="str">
        <f>"96045"</f>
        <v>96045</v>
      </c>
      <c r="B1005" s="14" t="str">
        <f>"03050"</f>
        <v>03050</v>
      </c>
      <c r="C1005" s="14" t="str">
        <f>"2100"</f>
        <v>2100</v>
      </c>
      <c r="D1005" s="14" t="str">
        <f>""</f>
        <v/>
      </c>
      <c r="E1005" s="14" t="s">
        <v>1844</v>
      </c>
      <c r="F1005" s="14" t="s">
        <v>225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226</v>
      </c>
      <c r="L1005" s="14" t="s">
        <v>227</v>
      </c>
      <c r="P1005" s="14" t="s">
        <v>239</v>
      </c>
      <c r="Q1005" s="14" t="s">
        <v>239</v>
      </c>
      <c r="R1005" s="14" t="s">
        <v>229</v>
      </c>
    </row>
    <row r="1006" spans="1:18" s="14" customFormat="1" x14ac:dyDescent="0.25">
      <c r="A1006" s="14" t="str">
        <f>"96046"</f>
        <v>96046</v>
      </c>
      <c r="B1006" s="14" t="str">
        <f>"03050"</f>
        <v>03050</v>
      </c>
      <c r="C1006" s="14" t="str">
        <f>"2100"</f>
        <v>2100</v>
      </c>
      <c r="D1006" s="14" t="str">
        <f>""</f>
        <v/>
      </c>
      <c r="E1006" s="14" t="s">
        <v>1845</v>
      </c>
      <c r="F1006" s="14" t="s">
        <v>225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226</v>
      </c>
      <c r="L1006" s="14" t="s">
        <v>227</v>
      </c>
      <c r="P1006" s="14" t="s">
        <v>239</v>
      </c>
      <c r="Q1006" s="14" t="s">
        <v>239</v>
      </c>
      <c r="R1006" s="14" t="s">
        <v>229</v>
      </c>
    </row>
    <row r="1007" spans="1:18" s="14" customFormat="1" x14ac:dyDescent="0.25">
      <c r="A1007" s="14" t="str">
        <f>"96115"</f>
        <v>96115</v>
      </c>
      <c r="B1007" s="14" t="str">
        <f>"03050"</f>
        <v>03050</v>
      </c>
      <c r="C1007" s="14" t="str">
        <f>"2100"</f>
        <v>2100</v>
      </c>
      <c r="D1007" s="14" t="str">
        <f>""</f>
        <v/>
      </c>
      <c r="E1007" s="14" t="s">
        <v>1846</v>
      </c>
      <c r="F1007" s="14" t="s">
        <v>225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226</v>
      </c>
      <c r="L1007" s="14" t="s">
        <v>227</v>
      </c>
      <c r="P1007" s="14" t="s">
        <v>239</v>
      </c>
      <c r="Q1007" s="14" t="s">
        <v>239</v>
      </c>
      <c r="R1007" s="14" t="s">
        <v>229</v>
      </c>
    </row>
    <row r="1008" spans="1:18" s="14" customFormat="1" x14ac:dyDescent="0.25">
      <c r="A1008" s="14" t="str">
        <f>"96225"</f>
        <v>96225</v>
      </c>
      <c r="B1008" s="14" t="str">
        <f>"03050"</f>
        <v>03050</v>
      </c>
      <c r="C1008" s="14" t="str">
        <f>"2100"</f>
        <v>2100</v>
      </c>
      <c r="D1008" s="14" t="str">
        <f>""</f>
        <v/>
      </c>
      <c r="E1008" s="14" t="s">
        <v>1847</v>
      </c>
      <c r="F1008" s="14" t="s">
        <v>225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226</v>
      </c>
      <c r="L1008" s="14" t="s">
        <v>227</v>
      </c>
      <c r="P1008" s="14" t="s">
        <v>239</v>
      </c>
      <c r="Q1008" s="14" t="s">
        <v>239</v>
      </c>
      <c r="R1008" s="14" t="s">
        <v>229</v>
      </c>
    </row>
    <row r="1009" spans="1:18" s="14" customFormat="1" x14ac:dyDescent="0.25">
      <c r="A1009" s="14" t="str">
        <f>"11019"</f>
        <v>11019</v>
      </c>
      <c r="B1009" s="14" t="str">
        <f>"03020"</f>
        <v>03020</v>
      </c>
      <c r="C1009" s="14" t="str">
        <f>"1400"</f>
        <v>1400</v>
      </c>
      <c r="D1009" s="14" t="str">
        <f>""</f>
        <v/>
      </c>
      <c r="E1009" s="14" t="s">
        <v>454</v>
      </c>
      <c r="F1009" s="14" t="s">
        <v>220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34</v>
      </c>
      <c r="P1009" s="14" t="s">
        <v>226</v>
      </c>
      <c r="Q1009" s="14" t="s">
        <v>25</v>
      </c>
      <c r="R1009" s="14" t="s">
        <v>35</v>
      </c>
    </row>
    <row r="1010" spans="1:18" s="14" customFormat="1" x14ac:dyDescent="0.25">
      <c r="A1010" s="14" t="str">
        <f>"10001"</f>
        <v>10001</v>
      </c>
      <c r="B1010" s="14" t="str">
        <f>"00120"</f>
        <v>00120</v>
      </c>
      <c r="C1010" s="14" t="str">
        <f>"1400"</f>
        <v>1400</v>
      </c>
      <c r="D1010" s="14" t="str">
        <f>"00120"</f>
        <v>00120</v>
      </c>
      <c r="E1010" s="14" t="s">
        <v>20</v>
      </c>
      <c r="F1010" s="14" t="s">
        <v>27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28</v>
      </c>
      <c r="L1010" s="14" t="s">
        <v>29</v>
      </c>
      <c r="M1010" s="14" t="s">
        <v>30</v>
      </c>
      <c r="P1010" s="14" t="s">
        <v>31</v>
      </c>
      <c r="Q1010" s="14" t="s">
        <v>31</v>
      </c>
      <c r="R1010" s="14" t="s">
        <v>32</v>
      </c>
    </row>
    <row r="1011" spans="1:18" s="14" customFormat="1" x14ac:dyDescent="0.25">
      <c r="A1011" s="14" t="str">
        <f>"10001"</f>
        <v>10001</v>
      </c>
      <c r="B1011" s="14" t="str">
        <f>"00121"</f>
        <v>00121</v>
      </c>
      <c r="C1011" s="14" t="str">
        <f>"1400"</f>
        <v>1400</v>
      </c>
      <c r="D1011" s="14" t="str">
        <f>"00121"</f>
        <v>00121</v>
      </c>
      <c r="E1011" s="14" t="s">
        <v>20</v>
      </c>
      <c r="F1011" s="14" t="s">
        <v>33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34</v>
      </c>
      <c r="P1011" s="14" t="s">
        <v>31</v>
      </c>
      <c r="Q1011" s="14" t="s">
        <v>25</v>
      </c>
      <c r="R1011" s="14" t="s">
        <v>35</v>
      </c>
    </row>
    <row r="1012" spans="1:18" s="14" customFormat="1" x14ac:dyDescent="0.25">
      <c r="A1012" s="14" t="str">
        <f>"10001"</f>
        <v>10001</v>
      </c>
      <c r="B1012" s="14" t="str">
        <f>"00163"</f>
        <v>00163</v>
      </c>
      <c r="C1012" s="14" t="str">
        <f>"1400"</f>
        <v>1400</v>
      </c>
      <c r="D1012" s="14" t="str">
        <f>"00163"</f>
        <v>00163</v>
      </c>
      <c r="E1012" s="14" t="s">
        <v>20</v>
      </c>
      <c r="F1012" s="14" t="s">
        <v>40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34</v>
      </c>
      <c r="L1012" s="14" t="s">
        <v>25</v>
      </c>
      <c r="P1012" s="14" t="s">
        <v>31</v>
      </c>
      <c r="Q1012" s="14" t="s">
        <v>25</v>
      </c>
      <c r="R1012" s="14" t="s">
        <v>35</v>
      </c>
    </row>
    <row r="1013" spans="1:18" s="14" customFormat="1" x14ac:dyDescent="0.25">
      <c r="A1013" s="14" t="str">
        <f>"10001"</f>
        <v>10001</v>
      </c>
      <c r="B1013" s="14" t="str">
        <f>"01030"</f>
        <v>01030</v>
      </c>
      <c r="C1013" s="14" t="str">
        <f>"1600"</f>
        <v>1600</v>
      </c>
      <c r="D1013" s="14" t="str">
        <f>"01030"</f>
        <v>01030</v>
      </c>
      <c r="E1013" s="14" t="s">
        <v>20</v>
      </c>
      <c r="F1013" s="14" t="s">
        <v>52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53</v>
      </c>
      <c r="L1013" s="14" t="s">
        <v>54</v>
      </c>
      <c r="M1013" s="14" t="s">
        <v>55</v>
      </c>
      <c r="P1013" s="14" t="s">
        <v>31</v>
      </c>
      <c r="Q1013" s="14" t="s">
        <v>25</v>
      </c>
      <c r="R1013" s="14" t="s">
        <v>54</v>
      </c>
    </row>
    <row r="1014" spans="1:18" s="14" customFormat="1" x14ac:dyDescent="0.25">
      <c r="A1014" s="14" t="str">
        <f>"10001"</f>
        <v>10001</v>
      </c>
      <c r="B1014" s="14" t="str">
        <f>"01035"</f>
        <v>01035</v>
      </c>
      <c r="C1014" s="14" t="str">
        <f>"1600"</f>
        <v>1600</v>
      </c>
      <c r="D1014" s="14" t="str">
        <f>"01035"</f>
        <v>01035</v>
      </c>
      <c r="E1014" s="14" t="s">
        <v>20</v>
      </c>
      <c r="F1014" s="14" t="s">
        <v>56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53</v>
      </c>
      <c r="L1014" s="14" t="s">
        <v>54</v>
      </c>
      <c r="M1014" s="14" t="s">
        <v>55</v>
      </c>
      <c r="P1014" s="14" t="s">
        <v>31</v>
      </c>
      <c r="Q1014" s="14" t="s">
        <v>25</v>
      </c>
      <c r="R1014" s="14" t="s">
        <v>54</v>
      </c>
    </row>
    <row r="1015" spans="1:18" s="14" customFormat="1" x14ac:dyDescent="0.25">
      <c r="A1015" s="14" t="str">
        <f>"10001"</f>
        <v>10001</v>
      </c>
      <c r="B1015" s="14" t="str">
        <f>"01040"</f>
        <v>01040</v>
      </c>
      <c r="C1015" s="14" t="str">
        <f>"1100"</f>
        <v>1100</v>
      </c>
      <c r="D1015" s="14" t="str">
        <f>"01040"</f>
        <v>01040</v>
      </c>
      <c r="E1015" s="14" t="s">
        <v>20</v>
      </c>
      <c r="F1015" s="14" t="s">
        <v>57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53</v>
      </c>
      <c r="L1015" s="14" t="s">
        <v>54</v>
      </c>
      <c r="M1015" s="14" t="s">
        <v>55</v>
      </c>
      <c r="N1015" s="14" t="s">
        <v>58</v>
      </c>
      <c r="P1015" s="14" t="s">
        <v>31</v>
      </c>
      <c r="Q1015" s="14" t="s">
        <v>25</v>
      </c>
      <c r="R1015" s="14" t="s">
        <v>58</v>
      </c>
    </row>
    <row r="1016" spans="1:18" s="14" customFormat="1" x14ac:dyDescent="0.25">
      <c r="A1016" s="14" t="str">
        <f>"10001"</f>
        <v>10001</v>
      </c>
      <c r="B1016" s="14" t="str">
        <f>"01047"</f>
        <v>01047</v>
      </c>
      <c r="C1016" s="14" t="str">
        <f>"1700"</f>
        <v>1700</v>
      </c>
      <c r="D1016" s="14" t="str">
        <f>"01047"</f>
        <v>01047</v>
      </c>
      <c r="E1016" s="14" t="s">
        <v>20</v>
      </c>
      <c r="F1016" s="14" t="s">
        <v>59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53</v>
      </c>
      <c r="L1016" s="14" t="s">
        <v>54</v>
      </c>
      <c r="M1016" s="14" t="s">
        <v>55</v>
      </c>
      <c r="P1016" s="14" t="s">
        <v>31</v>
      </c>
      <c r="Q1016" s="14" t="s">
        <v>25</v>
      </c>
      <c r="R1016" s="14" t="s">
        <v>60</v>
      </c>
    </row>
    <row r="1017" spans="1:18" s="14" customFormat="1" x14ac:dyDescent="0.25">
      <c r="A1017" s="14" t="str">
        <f>"10001"</f>
        <v>10001</v>
      </c>
      <c r="B1017" s="14" t="str">
        <f>"01080"</f>
        <v>01080</v>
      </c>
      <c r="C1017" s="14" t="str">
        <f>"1700"</f>
        <v>1700</v>
      </c>
      <c r="D1017" s="14" t="str">
        <f>"01080"</f>
        <v>01080</v>
      </c>
      <c r="E1017" s="14" t="s">
        <v>20</v>
      </c>
      <c r="F1017" s="14" t="s">
        <v>61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37</v>
      </c>
      <c r="L1017" s="14" t="s">
        <v>50</v>
      </c>
      <c r="P1017" s="14" t="s">
        <v>31</v>
      </c>
      <c r="Q1017" s="14" t="s">
        <v>25</v>
      </c>
      <c r="R1017" s="14" t="s">
        <v>38</v>
      </c>
    </row>
    <row r="1018" spans="1:18" s="14" customFormat="1" x14ac:dyDescent="0.25">
      <c r="A1018" s="14" t="str">
        <f>"10001"</f>
        <v>10001</v>
      </c>
      <c r="B1018" s="14" t="str">
        <f>"01090"</f>
        <v>01090</v>
      </c>
      <c r="C1018" s="14" t="str">
        <f>"1100"</f>
        <v>1100</v>
      </c>
      <c r="D1018" s="14" t="str">
        <f>"01090"</f>
        <v>01090</v>
      </c>
      <c r="E1018" s="14" t="s">
        <v>20</v>
      </c>
      <c r="F1018" s="14" t="s">
        <v>62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53</v>
      </c>
      <c r="L1018" s="14" t="s">
        <v>54</v>
      </c>
      <c r="M1018" s="14" t="s">
        <v>55</v>
      </c>
      <c r="P1018" s="14" t="s">
        <v>31</v>
      </c>
      <c r="Q1018" s="14" t="s">
        <v>25</v>
      </c>
      <c r="R1018" s="14" t="s">
        <v>54</v>
      </c>
    </row>
    <row r="1019" spans="1:18" s="14" customFormat="1" x14ac:dyDescent="0.25">
      <c r="A1019" s="14" t="str">
        <f>"10001"</f>
        <v>10001</v>
      </c>
      <c r="B1019" s="14" t="str">
        <f>"01160"</f>
        <v>01160</v>
      </c>
      <c r="C1019" s="14" t="str">
        <f>"1600"</f>
        <v>1600</v>
      </c>
      <c r="D1019" s="14" t="str">
        <f>"01160"</f>
        <v>01160</v>
      </c>
      <c r="E1019" s="14" t="s">
        <v>20</v>
      </c>
      <c r="F1019" s="14" t="s">
        <v>63</v>
      </c>
      <c r="G1019" s="14" t="str">
        <f>""</f>
        <v/>
      </c>
      <c r="H1019" s="14" t="str">
        <f>" 10"</f>
        <v xml:space="preserve"> 10</v>
      </c>
      <c r="I1019" s="14">
        <v>0.01</v>
      </c>
      <c r="J1019" s="14">
        <v>500</v>
      </c>
      <c r="K1019" s="14" t="s">
        <v>64</v>
      </c>
      <c r="P1019" s="14" t="s">
        <v>31</v>
      </c>
      <c r="Q1019" s="14" t="s">
        <v>25</v>
      </c>
      <c r="R1019" s="14" t="s">
        <v>55</v>
      </c>
    </row>
    <row r="1020" spans="1:18" s="14" customFormat="1" x14ac:dyDescent="0.25">
      <c r="A1020" s="14" t="str">
        <f>"10001"</f>
        <v>10001</v>
      </c>
      <c r="B1020" s="14" t="str">
        <f>"01160"</f>
        <v>01160</v>
      </c>
      <c r="C1020" s="14" t="str">
        <f>"1600"</f>
        <v>1600</v>
      </c>
      <c r="D1020" s="14" t="str">
        <f>"01160"</f>
        <v>01160</v>
      </c>
      <c r="E1020" s="14" t="s">
        <v>20</v>
      </c>
      <c r="F1020" s="14" t="s">
        <v>63</v>
      </c>
      <c r="G1020" s="14" t="str">
        <f>""</f>
        <v/>
      </c>
      <c r="H1020" s="14" t="str">
        <f>" 20"</f>
        <v xml:space="preserve"> 20</v>
      </c>
      <c r="I1020" s="14">
        <v>500.01</v>
      </c>
      <c r="J1020" s="14">
        <v>9999999.9900000002</v>
      </c>
      <c r="K1020" s="14" t="s">
        <v>55</v>
      </c>
      <c r="L1020" s="14" t="s">
        <v>53</v>
      </c>
      <c r="M1020" s="14" t="s">
        <v>54</v>
      </c>
      <c r="P1020" s="14" t="s">
        <v>31</v>
      </c>
      <c r="Q1020" s="14" t="s">
        <v>25</v>
      </c>
      <c r="R1020" s="14" t="s">
        <v>55</v>
      </c>
    </row>
    <row r="1021" spans="1:18" s="14" customFormat="1" x14ac:dyDescent="0.25">
      <c r="A1021" s="14" t="str">
        <f>"10001"</f>
        <v>10001</v>
      </c>
      <c r="B1021" s="14" t="str">
        <f>"01180"</f>
        <v>01180</v>
      </c>
      <c r="C1021" s="14" t="str">
        <f>"1100"</f>
        <v>1100</v>
      </c>
      <c r="D1021" s="14" t="str">
        <f>"01180"</f>
        <v>01180</v>
      </c>
      <c r="E1021" s="14" t="s">
        <v>20</v>
      </c>
      <c r="F1021" s="14" t="s">
        <v>65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66</v>
      </c>
      <c r="L1021" s="14" t="s">
        <v>50</v>
      </c>
      <c r="M1021" s="14" t="s">
        <v>37</v>
      </c>
      <c r="P1021" s="14" t="s">
        <v>31</v>
      </c>
      <c r="Q1021" s="14" t="s">
        <v>25</v>
      </c>
      <c r="R1021" s="14" t="s">
        <v>38</v>
      </c>
    </row>
    <row r="1022" spans="1:18" s="14" customFormat="1" x14ac:dyDescent="0.25">
      <c r="A1022" s="14" t="str">
        <f>"10001"</f>
        <v>10001</v>
      </c>
      <c r="B1022" s="14" t="str">
        <f>"01190"</f>
        <v>01190</v>
      </c>
      <c r="C1022" s="14" t="str">
        <f>"1700"</f>
        <v>1700</v>
      </c>
      <c r="D1022" s="14" t="str">
        <f>"01190"</f>
        <v>01190</v>
      </c>
      <c r="E1022" s="14" t="s">
        <v>20</v>
      </c>
      <c r="F1022" s="14" t="s">
        <v>67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53</v>
      </c>
      <c r="L1022" s="14" t="s">
        <v>54</v>
      </c>
      <c r="M1022" s="14" t="s">
        <v>55</v>
      </c>
      <c r="P1022" s="14" t="s">
        <v>31</v>
      </c>
      <c r="Q1022" s="14" t="s">
        <v>25</v>
      </c>
      <c r="R1022" s="14" t="s">
        <v>54</v>
      </c>
    </row>
    <row r="1023" spans="1:18" s="14" customFormat="1" x14ac:dyDescent="0.25">
      <c r="A1023" s="14" t="str">
        <f>"10001"</f>
        <v>10001</v>
      </c>
      <c r="B1023" s="14" t="str">
        <f>"01200"</f>
        <v>01200</v>
      </c>
      <c r="C1023" s="14" t="str">
        <f>"1100"</f>
        <v>1100</v>
      </c>
      <c r="D1023" s="14" t="str">
        <f>"01200"</f>
        <v>01200</v>
      </c>
      <c r="E1023" s="14" t="s">
        <v>20</v>
      </c>
      <c r="F1023" s="14" t="s">
        <v>68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69</v>
      </c>
      <c r="L1023" s="14" t="s">
        <v>70</v>
      </c>
      <c r="M1023" s="14" t="s">
        <v>71</v>
      </c>
      <c r="P1023" s="14" t="s">
        <v>31</v>
      </c>
      <c r="Q1023" s="14" t="s">
        <v>25</v>
      </c>
      <c r="R1023" s="14" t="s">
        <v>72</v>
      </c>
    </row>
    <row r="1024" spans="1:18" s="14" customFormat="1" x14ac:dyDescent="0.25">
      <c r="A1024" s="14" t="str">
        <f>"10001"</f>
        <v>10001</v>
      </c>
      <c r="B1024" s="14" t="str">
        <f>"01225"</f>
        <v>01225</v>
      </c>
      <c r="C1024" s="14" t="str">
        <f>"1300"</f>
        <v>1300</v>
      </c>
      <c r="D1024" s="14" t="str">
        <f>"01225"</f>
        <v>01225</v>
      </c>
      <c r="E1024" s="14" t="s">
        <v>20</v>
      </c>
      <c r="F1024" s="14" t="s">
        <v>73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50</v>
      </c>
      <c r="L1024" s="14" t="s">
        <v>74</v>
      </c>
      <c r="P1024" s="14" t="s">
        <v>31</v>
      </c>
      <c r="Q1024" s="14" t="s">
        <v>25</v>
      </c>
      <c r="R1024" s="14" t="s">
        <v>74</v>
      </c>
    </row>
    <row r="1025" spans="1:18" s="14" customFormat="1" x14ac:dyDescent="0.25">
      <c r="A1025" s="14" t="str">
        <f>"10001"</f>
        <v>10001</v>
      </c>
      <c r="B1025" s="14" t="str">
        <f>"01230"</f>
        <v>01230</v>
      </c>
      <c r="C1025" s="14" t="str">
        <f>"1300"</f>
        <v>1300</v>
      </c>
      <c r="D1025" s="14" t="str">
        <f>"01230"</f>
        <v>01230</v>
      </c>
      <c r="E1025" s="14" t="s">
        <v>20</v>
      </c>
      <c r="F1025" s="14" t="s">
        <v>75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76</v>
      </c>
      <c r="L1025" s="14" t="s">
        <v>77</v>
      </c>
      <c r="M1025" s="14" t="s">
        <v>78</v>
      </c>
      <c r="P1025" s="14" t="s">
        <v>31</v>
      </c>
      <c r="Q1025" s="14" t="s">
        <v>25</v>
      </c>
      <c r="R1025" s="14" t="s">
        <v>79</v>
      </c>
    </row>
    <row r="1026" spans="1:18" s="14" customFormat="1" x14ac:dyDescent="0.25">
      <c r="A1026" s="14" t="str">
        <f>"10001"</f>
        <v>10001</v>
      </c>
      <c r="B1026" s="14" t="str">
        <f>"01240"</f>
        <v>01240</v>
      </c>
      <c r="C1026" s="14" t="str">
        <f>"1400"</f>
        <v>1400</v>
      </c>
      <c r="D1026" s="14" t="str">
        <f>"01240"</f>
        <v>01240</v>
      </c>
      <c r="E1026" s="14" t="s">
        <v>20</v>
      </c>
      <c r="F1026" s="14" t="s">
        <v>80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81</v>
      </c>
      <c r="L1026" s="14" t="s">
        <v>37</v>
      </c>
      <c r="P1026" s="14" t="s">
        <v>31</v>
      </c>
      <c r="Q1026" s="14" t="s">
        <v>25</v>
      </c>
      <c r="R1026" s="14" t="s">
        <v>81</v>
      </c>
    </row>
    <row r="1027" spans="1:18" s="14" customFormat="1" x14ac:dyDescent="0.25">
      <c r="A1027" s="14" t="str">
        <f>"10001"</f>
        <v>10001</v>
      </c>
      <c r="B1027" s="14" t="str">
        <f>"01241"</f>
        <v>01241</v>
      </c>
      <c r="C1027" s="14" t="str">
        <f>"1300"</f>
        <v>1300</v>
      </c>
      <c r="D1027" s="14" t="str">
        <f>"01241"</f>
        <v>01241</v>
      </c>
      <c r="E1027" s="14" t="s">
        <v>20</v>
      </c>
      <c r="F1027" s="14" t="s">
        <v>82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83</v>
      </c>
      <c r="L1027" s="14" t="s">
        <v>37</v>
      </c>
      <c r="M1027" s="14" t="s">
        <v>84</v>
      </c>
      <c r="P1027" s="14" t="s">
        <v>31</v>
      </c>
      <c r="Q1027" s="14" t="s">
        <v>25</v>
      </c>
      <c r="R1027" s="14" t="s">
        <v>38</v>
      </c>
    </row>
    <row r="1028" spans="1:18" s="14" customFormat="1" x14ac:dyDescent="0.25">
      <c r="A1028" s="14" t="str">
        <f>"10001"</f>
        <v>10001</v>
      </c>
      <c r="B1028" s="14" t="str">
        <f>"01260"</f>
        <v>01260</v>
      </c>
      <c r="C1028" s="14" t="str">
        <f>"1100"</f>
        <v>1100</v>
      </c>
      <c r="D1028" s="14" t="str">
        <f>"01260"</f>
        <v>01260</v>
      </c>
      <c r="E1028" s="14" t="s">
        <v>20</v>
      </c>
      <c r="F1028" s="14" t="s">
        <v>87</v>
      </c>
      <c r="G1028" s="14" t="str">
        <f>""</f>
        <v/>
      </c>
      <c r="H1028" s="14" t="str">
        <f>" 10"</f>
        <v xml:space="preserve"> 10</v>
      </c>
      <c r="I1028" s="14">
        <v>0.01</v>
      </c>
      <c r="J1028" s="14">
        <v>500</v>
      </c>
      <c r="K1028" s="14" t="s">
        <v>88</v>
      </c>
      <c r="P1028" s="14" t="s">
        <v>31</v>
      </c>
      <c r="Q1028" s="14" t="s">
        <v>25</v>
      </c>
      <c r="R1028" s="14" t="s">
        <v>89</v>
      </c>
    </row>
    <row r="1029" spans="1:18" s="14" customFormat="1" x14ac:dyDescent="0.25">
      <c r="A1029" s="14" t="str">
        <f>"10001"</f>
        <v>10001</v>
      </c>
      <c r="B1029" s="14" t="str">
        <f>"01260"</f>
        <v>01260</v>
      </c>
      <c r="C1029" s="14" t="str">
        <f>"1100"</f>
        <v>1100</v>
      </c>
      <c r="D1029" s="14" t="str">
        <f>"01260"</f>
        <v>01260</v>
      </c>
      <c r="E1029" s="14" t="s">
        <v>20</v>
      </c>
      <c r="F1029" s="14" t="s">
        <v>87</v>
      </c>
      <c r="G1029" s="14" t="str">
        <f>""</f>
        <v/>
      </c>
      <c r="H1029" s="14" t="str">
        <f>" 20"</f>
        <v xml:space="preserve"> 20</v>
      </c>
      <c r="I1029" s="14">
        <v>500.01</v>
      </c>
      <c r="J1029" s="14">
        <v>9999999.9900000002</v>
      </c>
      <c r="K1029" s="14" t="s">
        <v>90</v>
      </c>
      <c r="L1029" s="14" t="s">
        <v>88</v>
      </c>
      <c r="P1029" s="14" t="s">
        <v>31</v>
      </c>
      <c r="Q1029" s="14" t="s">
        <v>25</v>
      </c>
      <c r="R1029" s="14" t="s">
        <v>89</v>
      </c>
    </row>
    <row r="1030" spans="1:18" s="14" customFormat="1" x14ac:dyDescent="0.25">
      <c r="A1030" s="14" t="str">
        <f>"10001"</f>
        <v>10001</v>
      </c>
      <c r="B1030" s="14" t="str">
        <f>"01270"</f>
        <v>01270</v>
      </c>
      <c r="C1030" s="14" t="str">
        <f>"1100"</f>
        <v>1100</v>
      </c>
      <c r="D1030" s="14" t="str">
        <f>"01270"</f>
        <v>01270</v>
      </c>
      <c r="E1030" s="14" t="s">
        <v>20</v>
      </c>
      <c r="F1030" s="14" t="s">
        <v>91</v>
      </c>
      <c r="G1030" s="14" t="str">
        <f>""</f>
        <v/>
      </c>
      <c r="H1030" s="14" t="str">
        <f>" 10"</f>
        <v xml:space="preserve"> 10</v>
      </c>
      <c r="I1030" s="14">
        <v>0.01</v>
      </c>
      <c r="J1030" s="14">
        <v>500</v>
      </c>
      <c r="K1030" s="14" t="s">
        <v>88</v>
      </c>
      <c r="P1030" s="14" t="s">
        <v>31</v>
      </c>
      <c r="Q1030" s="14" t="s">
        <v>25</v>
      </c>
      <c r="R1030" s="14" t="s">
        <v>89</v>
      </c>
    </row>
    <row r="1031" spans="1:18" s="14" customFormat="1" x14ac:dyDescent="0.25">
      <c r="A1031" s="14" t="str">
        <f>"10001"</f>
        <v>10001</v>
      </c>
      <c r="B1031" s="14" t="str">
        <f>"01270"</f>
        <v>01270</v>
      </c>
      <c r="C1031" s="14" t="str">
        <f>"1100"</f>
        <v>1100</v>
      </c>
      <c r="D1031" s="14" t="str">
        <f>"01270"</f>
        <v>01270</v>
      </c>
      <c r="E1031" s="14" t="s">
        <v>20</v>
      </c>
      <c r="F1031" s="14" t="s">
        <v>91</v>
      </c>
      <c r="G1031" s="14" t="str">
        <f>""</f>
        <v/>
      </c>
      <c r="H1031" s="14" t="str">
        <f>" 20"</f>
        <v xml:space="preserve"> 20</v>
      </c>
      <c r="I1031" s="14">
        <v>500.01</v>
      </c>
      <c r="J1031" s="14">
        <v>9999999.9900000002</v>
      </c>
      <c r="K1031" s="14" t="s">
        <v>90</v>
      </c>
      <c r="L1031" s="14" t="s">
        <v>88</v>
      </c>
      <c r="P1031" s="14" t="s">
        <v>31</v>
      </c>
      <c r="Q1031" s="14" t="s">
        <v>25</v>
      </c>
      <c r="R1031" s="14" t="s">
        <v>89</v>
      </c>
    </row>
    <row r="1032" spans="1:18" s="14" customFormat="1" x14ac:dyDescent="0.25">
      <c r="A1032" s="14" t="str">
        <f>"10001"</f>
        <v>10001</v>
      </c>
      <c r="B1032" s="14" t="str">
        <f>"01305"</f>
        <v>01305</v>
      </c>
      <c r="C1032" s="14" t="str">
        <f>"1300"</f>
        <v>1300</v>
      </c>
      <c r="D1032" s="14" t="str">
        <f>"01305"</f>
        <v>01305</v>
      </c>
      <c r="E1032" s="14" t="s">
        <v>20</v>
      </c>
      <c r="F1032" s="14" t="s">
        <v>99</v>
      </c>
      <c r="G1032" s="14" t="str">
        <f>""</f>
        <v/>
      </c>
      <c r="H1032" s="14" t="str">
        <f>" 10"</f>
        <v xml:space="preserve"> 10</v>
      </c>
      <c r="I1032" s="14">
        <v>0.01</v>
      </c>
      <c r="J1032" s="14">
        <v>500</v>
      </c>
      <c r="K1032" s="14" t="s">
        <v>100</v>
      </c>
      <c r="P1032" s="14" t="s">
        <v>31</v>
      </c>
      <c r="Q1032" s="14" t="s">
        <v>25</v>
      </c>
      <c r="R1032" s="14" t="s">
        <v>90</v>
      </c>
    </row>
    <row r="1033" spans="1:18" s="14" customFormat="1" x14ac:dyDescent="0.25">
      <c r="A1033" s="14" t="str">
        <f>"10001"</f>
        <v>10001</v>
      </c>
      <c r="B1033" s="14" t="str">
        <f>"01305"</f>
        <v>01305</v>
      </c>
      <c r="C1033" s="14" t="str">
        <f>"1300"</f>
        <v>1300</v>
      </c>
      <c r="D1033" s="14" t="str">
        <f>"01305"</f>
        <v>01305</v>
      </c>
      <c r="E1033" s="14" t="s">
        <v>20</v>
      </c>
      <c r="F1033" s="14" t="s">
        <v>99</v>
      </c>
      <c r="G1033" s="14" t="str">
        <f>""</f>
        <v/>
      </c>
      <c r="H1033" s="14" t="str">
        <f>" 20"</f>
        <v xml:space="preserve"> 20</v>
      </c>
      <c r="I1033" s="14">
        <v>500.01</v>
      </c>
      <c r="J1033" s="14">
        <v>9999999.9900000002</v>
      </c>
      <c r="K1033" s="14" t="s">
        <v>90</v>
      </c>
      <c r="L1033" s="14" t="s">
        <v>100</v>
      </c>
      <c r="P1033" s="14" t="s">
        <v>31</v>
      </c>
      <c r="Q1033" s="14" t="s">
        <v>25</v>
      </c>
      <c r="R1033" s="14" t="s">
        <v>90</v>
      </c>
    </row>
    <row r="1034" spans="1:18" s="14" customFormat="1" x14ac:dyDescent="0.25">
      <c r="A1034" s="14" t="str">
        <f>"10001"</f>
        <v>10001</v>
      </c>
      <c r="B1034" s="14" t="str">
        <f>"01370"</f>
        <v>01370</v>
      </c>
      <c r="C1034" s="14" t="str">
        <f>"1100"</f>
        <v>1100</v>
      </c>
      <c r="D1034" s="14" t="str">
        <f>"01370"</f>
        <v>01370</v>
      </c>
      <c r="E1034" s="14" t="s">
        <v>20</v>
      </c>
      <c r="F1034" s="14" t="s">
        <v>108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69</v>
      </c>
      <c r="L1034" s="14" t="s">
        <v>109</v>
      </c>
      <c r="M1034" s="14" t="s">
        <v>70</v>
      </c>
      <c r="N1034" s="14" t="s">
        <v>71</v>
      </c>
      <c r="P1034" s="14" t="s">
        <v>31</v>
      </c>
      <c r="Q1034" s="14" t="s">
        <v>25</v>
      </c>
      <c r="R1034" s="14" t="s">
        <v>109</v>
      </c>
    </row>
    <row r="1035" spans="1:18" s="14" customFormat="1" x14ac:dyDescent="0.25">
      <c r="A1035" s="14" t="str">
        <f>"10001"</f>
        <v>10001</v>
      </c>
      <c r="B1035" s="14" t="str">
        <f>"01380"</f>
        <v>01380</v>
      </c>
      <c r="C1035" s="14" t="str">
        <f>"1100"</f>
        <v>1100</v>
      </c>
      <c r="D1035" s="14" t="str">
        <f>"01380"</f>
        <v>01380</v>
      </c>
      <c r="E1035" s="14" t="s">
        <v>20</v>
      </c>
      <c r="F1035" s="14" t="s">
        <v>110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111</v>
      </c>
      <c r="L1035" s="14" t="s">
        <v>112</v>
      </c>
      <c r="M1035" s="14" t="s">
        <v>113</v>
      </c>
      <c r="N1035" s="14" t="s">
        <v>114</v>
      </c>
      <c r="P1035" s="14" t="s">
        <v>31</v>
      </c>
      <c r="Q1035" s="14" t="s">
        <v>25</v>
      </c>
      <c r="R1035" s="14" t="s">
        <v>115</v>
      </c>
    </row>
    <row r="1036" spans="1:18" s="14" customFormat="1" x14ac:dyDescent="0.25">
      <c r="A1036" s="14" t="str">
        <f>"10001"</f>
        <v>10001</v>
      </c>
      <c r="B1036" s="14" t="str">
        <f>"01390"</f>
        <v>01390</v>
      </c>
      <c r="C1036" s="14" t="str">
        <f>"1100"</f>
        <v>1100</v>
      </c>
      <c r="D1036" s="14" t="str">
        <f>"01390"</f>
        <v>01390</v>
      </c>
      <c r="E1036" s="14" t="s">
        <v>20</v>
      </c>
      <c r="F1036" s="14" t="s">
        <v>116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112</v>
      </c>
      <c r="L1036" s="14" t="s">
        <v>113</v>
      </c>
      <c r="M1036" s="14" t="s">
        <v>114</v>
      </c>
      <c r="P1036" s="14" t="s">
        <v>31</v>
      </c>
      <c r="Q1036" s="14" t="s">
        <v>25</v>
      </c>
      <c r="R1036" s="14" t="s">
        <v>115</v>
      </c>
    </row>
    <row r="1037" spans="1:18" s="14" customFormat="1" x14ac:dyDescent="0.25">
      <c r="A1037" s="14" t="str">
        <f>"10001"</f>
        <v>10001</v>
      </c>
      <c r="B1037" s="14" t="str">
        <f>"01400"</f>
        <v>01400</v>
      </c>
      <c r="C1037" s="14" t="str">
        <f>"1300"</f>
        <v>1300</v>
      </c>
      <c r="D1037" s="14" t="str">
        <f>"01400"</f>
        <v>01400</v>
      </c>
      <c r="E1037" s="14" t="s">
        <v>20</v>
      </c>
      <c r="F1037" s="14" t="s">
        <v>117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69</v>
      </c>
      <c r="L1037" s="14" t="s">
        <v>70</v>
      </c>
      <c r="M1037" s="14" t="s">
        <v>71</v>
      </c>
      <c r="P1037" s="14" t="s">
        <v>31</v>
      </c>
      <c r="Q1037" s="14" t="s">
        <v>25</v>
      </c>
      <c r="R1037" s="14" t="s">
        <v>72</v>
      </c>
    </row>
    <row r="1038" spans="1:18" s="14" customFormat="1" x14ac:dyDescent="0.25">
      <c r="A1038" s="14" t="str">
        <f>"10001"</f>
        <v>10001</v>
      </c>
      <c r="B1038" s="14" t="str">
        <f>"01405"</f>
        <v>01405</v>
      </c>
      <c r="C1038" s="14" t="str">
        <f>"1300"</f>
        <v>1300</v>
      </c>
      <c r="D1038" s="14" t="str">
        <f>"01405"</f>
        <v>01405</v>
      </c>
      <c r="E1038" s="14" t="s">
        <v>20</v>
      </c>
      <c r="F1038" s="14" t="s">
        <v>118</v>
      </c>
      <c r="G1038" s="14" t="str">
        <f>""</f>
        <v/>
      </c>
      <c r="H1038" s="14" t="str">
        <f>" 10"</f>
        <v xml:space="preserve"> 10</v>
      </c>
      <c r="I1038" s="14">
        <v>0.01</v>
      </c>
      <c r="J1038" s="14">
        <v>500</v>
      </c>
      <c r="K1038" s="14" t="s">
        <v>119</v>
      </c>
      <c r="P1038" s="14" t="s">
        <v>31</v>
      </c>
      <c r="Q1038" s="14" t="s">
        <v>25</v>
      </c>
      <c r="R1038" s="14" t="s">
        <v>119</v>
      </c>
    </row>
    <row r="1039" spans="1:18" s="14" customFormat="1" x14ac:dyDescent="0.25">
      <c r="A1039" s="14" t="str">
        <f>"10001"</f>
        <v>10001</v>
      </c>
      <c r="B1039" s="14" t="str">
        <f>"01405"</f>
        <v>01405</v>
      </c>
      <c r="C1039" s="14" t="str">
        <f>"1300"</f>
        <v>1300</v>
      </c>
      <c r="D1039" s="14" t="str">
        <f>"01405"</f>
        <v>01405</v>
      </c>
      <c r="E1039" s="14" t="s">
        <v>20</v>
      </c>
      <c r="F1039" s="14" t="s">
        <v>118</v>
      </c>
      <c r="G1039" s="14" t="str">
        <f>""</f>
        <v/>
      </c>
      <c r="H1039" s="14" t="str">
        <f>" 20"</f>
        <v xml:space="preserve"> 20</v>
      </c>
      <c r="I1039" s="14">
        <v>500.01</v>
      </c>
      <c r="J1039" s="14">
        <v>9999999.9900000002</v>
      </c>
      <c r="K1039" s="14" t="s">
        <v>90</v>
      </c>
      <c r="L1039" s="14" t="s">
        <v>119</v>
      </c>
      <c r="P1039" s="14" t="s">
        <v>31</v>
      </c>
      <c r="Q1039" s="14" t="s">
        <v>25</v>
      </c>
      <c r="R1039" s="14" t="s">
        <v>119</v>
      </c>
    </row>
    <row r="1040" spans="1:18" s="14" customFormat="1" x14ac:dyDescent="0.25">
      <c r="A1040" s="14" t="str">
        <f>"10001"</f>
        <v>10001</v>
      </c>
      <c r="B1040" s="14" t="str">
        <f>"01410"</f>
        <v>01410</v>
      </c>
      <c r="C1040" s="14" t="str">
        <f>"1300"</f>
        <v>1300</v>
      </c>
      <c r="D1040" s="14" t="str">
        <f>"01410"</f>
        <v>01410</v>
      </c>
      <c r="E1040" s="14" t="s">
        <v>20</v>
      </c>
      <c r="F1040" s="14" t="s">
        <v>120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69</v>
      </c>
      <c r="L1040" s="14" t="s">
        <v>70</v>
      </c>
      <c r="M1040" s="14" t="s">
        <v>71</v>
      </c>
      <c r="P1040" s="14" t="s">
        <v>31</v>
      </c>
      <c r="Q1040" s="14" t="s">
        <v>25</v>
      </c>
      <c r="R1040" s="14" t="s">
        <v>72</v>
      </c>
    </row>
    <row r="1041" spans="1:18" s="14" customFormat="1" x14ac:dyDescent="0.25">
      <c r="A1041" s="14" t="str">
        <f>"10001"</f>
        <v>10001</v>
      </c>
      <c r="B1041" s="14" t="str">
        <f>"01420"</f>
        <v>01420</v>
      </c>
      <c r="C1041" s="14" t="str">
        <f>"1300"</f>
        <v>1300</v>
      </c>
      <c r="D1041" s="14" t="str">
        <f>"01420"</f>
        <v>01420</v>
      </c>
      <c r="E1041" s="14" t="s">
        <v>20</v>
      </c>
      <c r="F1041" s="14" t="s">
        <v>121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69</v>
      </c>
      <c r="L1041" s="14" t="s">
        <v>70</v>
      </c>
      <c r="M1041" s="14" t="s">
        <v>71</v>
      </c>
      <c r="P1041" s="14" t="s">
        <v>31</v>
      </c>
      <c r="Q1041" s="14" t="s">
        <v>25</v>
      </c>
      <c r="R1041" s="14" t="s">
        <v>72</v>
      </c>
    </row>
    <row r="1042" spans="1:18" s="14" customFormat="1" x14ac:dyDescent="0.25">
      <c r="A1042" s="14" t="str">
        <f>"10001"</f>
        <v>10001</v>
      </c>
      <c r="B1042" s="14" t="str">
        <f>"01430"</f>
        <v>01430</v>
      </c>
      <c r="C1042" s="14" t="str">
        <f>"1300"</f>
        <v>1300</v>
      </c>
      <c r="D1042" s="14" t="str">
        <f>"01430"</f>
        <v>01430</v>
      </c>
      <c r="E1042" s="14" t="s">
        <v>20</v>
      </c>
      <c r="F1042" s="14" t="s">
        <v>122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69</v>
      </c>
      <c r="L1042" s="14" t="s">
        <v>70</v>
      </c>
      <c r="M1042" s="14" t="s">
        <v>71</v>
      </c>
      <c r="P1042" s="14" t="s">
        <v>31</v>
      </c>
      <c r="Q1042" s="14" t="s">
        <v>25</v>
      </c>
      <c r="R1042" s="14" t="s">
        <v>72</v>
      </c>
    </row>
    <row r="1043" spans="1:18" s="14" customFormat="1" x14ac:dyDescent="0.25">
      <c r="A1043" s="14" t="str">
        <f>"10001"</f>
        <v>10001</v>
      </c>
      <c r="B1043" s="14" t="str">
        <f>"01440"</f>
        <v>01440</v>
      </c>
      <c r="C1043" s="14" t="str">
        <f>"1300"</f>
        <v>1300</v>
      </c>
      <c r="D1043" s="14" t="str">
        <f>"01440"</f>
        <v>01440</v>
      </c>
      <c r="E1043" s="14" t="s">
        <v>20</v>
      </c>
      <c r="F1043" s="14" t="s">
        <v>123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124</v>
      </c>
      <c r="L1043" s="14" t="s">
        <v>69</v>
      </c>
      <c r="M1043" s="14" t="s">
        <v>70</v>
      </c>
      <c r="N1043" s="14" t="s">
        <v>71</v>
      </c>
      <c r="P1043" s="14" t="s">
        <v>31</v>
      </c>
      <c r="Q1043" s="14" t="s">
        <v>25</v>
      </c>
      <c r="R1043" s="14" t="s">
        <v>72</v>
      </c>
    </row>
    <row r="1044" spans="1:18" s="14" customFormat="1" x14ac:dyDescent="0.25">
      <c r="A1044" s="14" t="str">
        <f>"10001"</f>
        <v>10001</v>
      </c>
      <c r="B1044" s="14" t="str">
        <f>"01441"</f>
        <v>01441</v>
      </c>
      <c r="C1044" s="14" t="str">
        <f>"1300"</f>
        <v>1300</v>
      </c>
      <c r="D1044" s="14" t="str">
        <f>"01441"</f>
        <v>01441</v>
      </c>
      <c r="E1044" s="14" t="s">
        <v>20</v>
      </c>
      <c r="F1044" s="14" t="s">
        <v>125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124</v>
      </c>
      <c r="L1044" s="14" t="s">
        <v>69</v>
      </c>
      <c r="M1044" s="14" t="s">
        <v>70</v>
      </c>
      <c r="N1044" s="14" t="s">
        <v>71</v>
      </c>
      <c r="P1044" s="14" t="s">
        <v>31</v>
      </c>
      <c r="Q1044" s="14" t="s">
        <v>25</v>
      </c>
      <c r="R1044" s="14" t="s">
        <v>72</v>
      </c>
    </row>
    <row r="1045" spans="1:18" s="14" customFormat="1" x14ac:dyDescent="0.25">
      <c r="A1045" s="14" t="str">
        <f>"10001"</f>
        <v>10001</v>
      </c>
      <c r="B1045" s="14" t="str">
        <f>"01450"</f>
        <v>01450</v>
      </c>
      <c r="C1045" s="14" t="str">
        <f>"1300"</f>
        <v>1300</v>
      </c>
      <c r="D1045" s="14" t="str">
        <f>"01450"</f>
        <v>01450</v>
      </c>
      <c r="E1045" s="14" t="s">
        <v>20</v>
      </c>
      <c r="F1045" s="14" t="s">
        <v>126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69</v>
      </c>
      <c r="L1045" s="14" t="s">
        <v>70</v>
      </c>
      <c r="M1045" s="14" t="s">
        <v>71</v>
      </c>
      <c r="P1045" s="14" t="s">
        <v>31</v>
      </c>
      <c r="Q1045" s="14" t="s">
        <v>25</v>
      </c>
      <c r="R1045" s="14" t="s">
        <v>72</v>
      </c>
    </row>
    <row r="1046" spans="1:18" s="14" customFormat="1" x14ac:dyDescent="0.25">
      <c r="A1046" s="14" t="str">
        <f>"10001"</f>
        <v>10001</v>
      </c>
      <c r="B1046" s="14" t="str">
        <f>"01460"</f>
        <v>01460</v>
      </c>
      <c r="C1046" s="14" t="str">
        <f>"1300"</f>
        <v>1300</v>
      </c>
      <c r="D1046" s="14" t="str">
        <f>"01460"</f>
        <v>01460</v>
      </c>
      <c r="E1046" s="14" t="s">
        <v>20</v>
      </c>
      <c r="F1046" s="14" t="s">
        <v>127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69</v>
      </c>
      <c r="L1046" s="14" t="s">
        <v>70</v>
      </c>
      <c r="M1046" s="14" t="s">
        <v>71</v>
      </c>
      <c r="P1046" s="14" t="s">
        <v>31</v>
      </c>
      <c r="Q1046" s="14" t="s">
        <v>25</v>
      </c>
      <c r="R1046" s="14" t="s">
        <v>72</v>
      </c>
    </row>
    <row r="1047" spans="1:18" s="14" customFormat="1" x14ac:dyDescent="0.25">
      <c r="A1047" s="14" t="str">
        <f>"10001"</f>
        <v>10001</v>
      </c>
      <c r="B1047" s="14" t="str">
        <f>"01480"</f>
        <v>01480</v>
      </c>
      <c r="C1047" s="14" t="str">
        <f>"1300"</f>
        <v>1300</v>
      </c>
      <c r="D1047" s="14" t="str">
        <f>"01480"</f>
        <v>01480</v>
      </c>
      <c r="E1047" s="14" t="s">
        <v>20</v>
      </c>
      <c r="F1047" s="14" t="s">
        <v>128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129</v>
      </c>
      <c r="L1047" s="14" t="s">
        <v>69</v>
      </c>
      <c r="M1047" s="14" t="s">
        <v>70</v>
      </c>
      <c r="N1047" s="14" t="s">
        <v>71</v>
      </c>
      <c r="P1047" s="14" t="s">
        <v>31</v>
      </c>
      <c r="Q1047" s="14" t="s">
        <v>25</v>
      </c>
      <c r="R1047" s="14" t="s">
        <v>129</v>
      </c>
    </row>
    <row r="1048" spans="1:18" s="14" customFormat="1" x14ac:dyDescent="0.25">
      <c r="A1048" s="14" t="str">
        <f>"10001"</f>
        <v>10001</v>
      </c>
      <c r="B1048" s="14" t="str">
        <f>"01500"</f>
        <v>01500</v>
      </c>
      <c r="C1048" s="14" t="str">
        <f>"1100"</f>
        <v>1100</v>
      </c>
      <c r="D1048" s="14" t="str">
        <f>"01500"</f>
        <v>01500</v>
      </c>
      <c r="E1048" s="14" t="s">
        <v>20</v>
      </c>
      <c r="F1048" s="14" t="s">
        <v>130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69</v>
      </c>
      <c r="L1048" s="14" t="s">
        <v>70</v>
      </c>
      <c r="M1048" s="14" t="s">
        <v>71</v>
      </c>
      <c r="P1048" s="14" t="s">
        <v>31</v>
      </c>
      <c r="Q1048" s="14" t="s">
        <v>25</v>
      </c>
      <c r="R1048" s="14" t="s">
        <v>72</v>
      </c>
    </row>
    <row r="1049" spans="1:18" s="14" customFormat="1" x14ac:dyDescent="0.25">
      <c r="A1049" s="14" t="str">
        <f>"10001"</f>
        <v>10001</v>
      </c>
      <c r="B1049" s="14" t="str">
        <f>"01505"</f>
        <v>01505</v>
      </c>
      <c r="C1049" s="14" t="str">
        <f>"1300"</f>
        <v>1300</v>
      </c>
      <c r="D1049" s="14" t="str">
        <f>"01505"</f>
        <v>01505</v>
      </c>
      <c r="E1049" s="14" t="s">
        <v>20</v>
      </c>
      <c r="F1049" s="14" t="s">
        <v>131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69</v>
      </c>
      <c r="L1049" s="14" t="s">
        <v>70</v>
      </c>
      <c r="M1049" s="14" t="s">
        <v>71</v>
      </c>
      <c r="P1049" s="14" t="s">
        <v>31</v>
      </c>
      <c r="Q1049" s="14" t="s">
        <v>25</v>
      </c>
      <c r="R1049" s="14" t="s">
        <v>72</v>
      </c>
    </row>
    <row r="1050" spans="1:18" s="14" customFormat="1" x14ac:dyDescent="0.25">
      <c r="A1050" s="14" t="str">
        <f>"10001"</f>
        <v>10001</v>
      </c>
      <c r="B1050" s="14" t="str">
        <f>"01520"</f>
        <v>01520</v>
      </c>
      <c r="C1050" s="14" t="str">
        <f>"1100"</f>
        <v>1100</v>
      </c>
      <c r="D1050" s="14" t="str">
        <f>"01520"</f>
        <v>01520</v>
      </c>
      <c r="E1050" s="14" t="s">
        <v>20</v>
      </c>
      <c r="F1050" s="14" t="s">
        <v>132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124</v>
      </c>
      <c r="L1050" s="14" t="s">
        <v>69</v>
      </c>
      <c r="M1050" s="14" t="s">
        <v>70</v>
      </c>
      <c r="N1050" s="14" t="s">
        <v>71</v>
      </c>
      <c r="P1050" s="14" t="s">
        <v>31</v>
      </c>
      <c r="Q1050" s="14" t="s">
        <v>25</v>
      </c>
      <c r="R1050" s="14" t="s">
        <v>72</v>
      </c>
    </row>
    <row r="1051" spans="1:18" s="14" customFormat="1" x14ac:dyDescent="0.25">
      <c r="A1051" s="14" t="str">
        <f>"10001"</f>
        <v>10001</v>
      </c>
      <c r="B1051" s="14" t="str">
        <f>"01545"</f>
        <v>01545</v>
      </c>
      <c r="C1051" s="14" t="str">
        <f>"1100"</f>
        <v>1100</v>
      </c>
      <c r="D1051" s="14" t="str">
        <f>"01545"</f>
        <v>01545</v>
      </c>
      <c r="E1051" s="14" t="s">
        <v>20</v>
      </c>
      <c r="F1051" s="14" t="s">
        <v>133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69</v>
      </c>
      <c r="L1051" s="14" t="s">
        <v>70</v>
      </c>
      <c r="M1051" s="14" t="s">
        <v>71</v>
      </c>
      <c r="P1051" s="14" t="s">
        <v>31</v>
      </c>
      <c r="Q1051" s="14" t="s">
        <v>25</v>
      </c>
      <c r="R1051" s="14" t="s">
        <v>72</v>
      </c>
    </row>
    <row r="1052" spans="1:18" s="14" customFormat="1" x14ac:dyDescent="0.25">
      <c r="A1052" s="14" t="str">
        <f>"10001"</f>
        <v>10001</v>
      </c>
      <c r="B1052" s="14" t="str">
        <f>"01550"</f>
        <v>01550</v>
      </c>
      <c r="C1052" s="14" t="str">
        <f>"1100"</f>
        <v>1100</v>
      </c>
      <c r="D1052" s="14" t="str">
        <f>"01550"</f>
        <v>01550</v>
      </c>
      <c r="E1052" s="14" t="s">
        <v>20</v>
      </c>
      <c r="F1052" s="14" t="s">
        <v>134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69</v>
      </c>
      <c r="L1052" s="14" t="s">
        <v>70</v>
      </c>
      <c r="M1052" s="14" t="s">
        <v>71</v>
      </c>
      <c r="P1052" s="14" t="s">
        <v>31</v>
      </c>
      <c r="Q1052" s="14" t="s">
        <v>25</v>
      </c>
      <c r="R1052" s="14" t="s">
        <v>72</v>
      </c>
    </row>
    <row r="1053" spans="1:18" s="14" customFormat="1" x14ac:dyDescent="0.25">
      <c r="A1053" s="14" t="str">
        <f>"10001"</f>
        <v>10001</v>
      </c>
      <c r="B1053" s="14" t="str">
        <f>"01560"</f>
        <v>01560</v>
      </c>
      <c r="C1053" s="14" t="str">
        <f>"1100"</f>
        <v>1100</v>
      </c>
      <c r="D1053" s="14" t="str">
        <f>"01560"</f>
        <v>01560</v>
      </c>
      <c r="E1053" s="14" t="s">
        <v>20</v>
      </c>
      <c r="F1053" s="14" t="s">
        <v>135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69</v>
      </c>
      <c r="L1053" s="14" t="s">
        <v>70</v>
      </c>
      <c r="M1053" s="14" t="s">
        <v>71</v>
      </c>
      <c r="P1053" s="14" t="s">
        <v>31</v>
      </c>
      <c r="Q1053" s="14" t="s">
        <v>25</v>
      </c>
      <c r="R1053" s="14" t="s">
        <v>72</v>
      </c>
    </row>
    <row r="1054" spans="1:18" s="14" customFormat="1" x14ac:dyDescent="0.25">
      <c r="A1054" s="14" t="str">
        <f>"10001"</f>
        <v>10001</v>
      </c>
      <c r="B1054" s="14" t="str">
        <f>"01570"</f>
        <v>01570</v>
      </c>
      <c r="C1054" s="14" t="str">
        <f>"1100"</f>
        <v>1100</v>
      </c>
      <c r="D1054" s="14" t="str">
        <f>"01570"</f>
        <v>01570</v>
      </c>
      <c r="E1054" s="14" t="s">
        <v>20</v>
      </c>
      <c r="F1054" s="14" t="s">
        <v>136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69</v>
      </c>
      <c r="L1054" s="14" t="s">
        <v>70</v>
      </c>
      <c r="M1054" s="14" t="s">
        <v>71</v>
      </c>
      <c r="P1054" s="14" t="s">
        <v>31</v>
      </c>
      <c r="Q1054" s="14" t="s">
        <v>25</v>
      </c>
      <c r="R1054" s="14" t="s">
        <v>72</v>
      </c>
    </row>
    <row r="1055" spans="1:18" s="14" customFormat="1" x14ac:dyDescent="0.25">
      <c r="A1055" s="14" t="str">
        <f>"10001"</f>
        <v>10001</v>
      </c>
      <c r="B1055" s="14" t="str">
        <f>"01580"</f>
        <v>01580</v>
      </c>
      <c r="C1055" s="14" t="str">
        <f>"1100"</f>
        <v>1100</v>
      </c>
      <c r="D1055" s="14" t="str">
        <f>"01580"</f>
        <v>01580</v>
      </c>
      <c r="E1055" s="14" t="s">
        <v>20</v>
      </c>
      <c r="F1055" s="14" t="s">
        <v>137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69</v>
      </c>
      <c r="L1055" s="14" t="s">
        <v>70</v>
      </c>
      <c r="M1055" s="14" t="s">
        <v>71</v>
      </c>
      <c r="P1055" s="14" t="s">
        <v>31</v>
      </c>
      <c r="Q1055" s="14" t="s">
        <v>25</v>
      </c>
      <c r="R1055" s="14" t="s">
        <v>72</v>
      </c>
    </row>
    <row r="1056" spans="1:18" s="14" customFormat="1" x14ac:dyDescent="0.25">
      <c r="A1056" s="14" t="str">
        <f>"10001"</f>
        <v>10001</v>
      </c>
      <c r="B1056" s="14" t="str">
        <f>"01600"</f>
        <v>01600</v>
      </c>
      <c r="C1056" s="14" t="str">
        <f>"1100"</f>
        <v>1100</v>
      </c>
      <c r="D1056" s="14" t="str">
        <f>"01600"</f>
        <v>01600</v>
      </c>
      <c r="E1056" s="14" t="s">
        <v>20</v>
      </c>
      <c r="F1056" s="14" t="s">
        <v>138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69</v>
      </c>
      <c r="L1056" s="14" t="s">
        <v>70</v>
      </c>
      <c r="M1056" s="14" t="s">
        <v>71</v>
      </c>
      <c r="P1056" s="14" t="s">
        <v>31</v>
      </c>
      <c r="Q1056" s="14" t="s">
        <v>25</v>
      </c>
      <c r="R1056" s="14" t="s">
        <v>72</v>
      </c>
    </row>
    <row r="1057" spans="1:18" s="14" customFormat="1" x14ac:dyDescent="0.25">
      <c r="A1057" s="14" t="str">
        <f>"10001"</f>
        <v>10001</v>
      </c>
      <c r="B1057" s="14" t="str">
        <f>"01610"</f>
        <v>01610</v>
      </c>
      <c r="C1057" s="14" t="str">
        <f>"1100"</f>
        <v>1100</v>
      </c>
      <c r="D1057" s="14" t="str">
        <f>"01610"</f>
        <v>01610</v>
      </c>
      <c r="E1057" s="14" t="s">
        <v>20</v>
      </c>
      <c r="F1057" s="14" t="s">
        <v>139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69</v>
      </c>
      <c r="L1057" s="14" t="s">
        <v>70</v>
      </c>
      <c r="M1057" s="14" t="s">
        <v>71</v>
      </c>
      <c r="P1057" s="14" t="s">
        <v>31</v>
      </c>
      <c r="Q1057" s="14" t="s">
        <v>25</v>
      </c>
      <c r="R1057" s="14" t="s">
        <v>72</v>
      </c>
    </row>
    <row r="1058" spans="1:18" s="14" customFormat="1" x14ac:dyDescent="0.25">
      <c r="A1058" s="14" t="str">
        <f>"10001"</f>
        <v>10001</v>
      </c>
      <c r="B1058" s="14" t="str">
        <f>"01620"</f>
        <v>01620</v>
      </c>
      <c r="C1058" s="14" t="str">
        <f>"1100"</f>
        <v>1100</v>
      </c>
      <c r="D1058" s="14" t="str">
        <f>"01620"</f>
        <v>01620</v>
      </c>
      <c r="E1058" s="14" t="s">
        <v>20</v>
      </c>
      <c r="F1058" s="14" t="s">
        <v>140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69</v>
      </c>
      <c r="L1058" s="14" t="s">
        <v>70</v>
      </c>
      <c r="M1058" s="14" t="s">
        <v>71</v>
      </c>
      <c r="P1058" s="14" t="s">
        <v>31</v>
      </c>
      <c r="Q1058" s="14" t="s">
        <v>25</v>
      </c>
      <c r="R1058" s="14" t="s">
        <v>141</v>
      </c>
    </row>
    <row r="1059" spans="1:18" s="14" customFormat="1" x14ac:dyDescent="0.25">
      <c r="A1059" s="14" t="str">
        <f>"10001"</f>
        <v>10001</v>
      </c>
      <c r="B1059" s="14" t="str">
        <f>"01630"</f>
        <v>01630</v>
      </c>
      <c r="C1059" s="14" t="str">
        <f>"1100"</f>
        <v>1100</v>
      </c>
      <c r="D1059" s="14" t="str">
        <f>"01630"</f>
        <v>01630</v>
      </c>
      <c r="E1059" s="14" t="s">
        <v>20</v>
      </c>
      <c r="F1059" s="14" t="s">
        <v>142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69</v>
      </c>
      <c r="L1059" s="14" t="s">
        <v>70</v>
      </c>
      <c r="M1059" s="14" t="s">
        <v>71</v>
      </c>
      <c r="P1059" s="14" t="s">
        <v>31</v>
      </c>
      <c r="Q1059" s="14" t="s">
        <v>25</v>
      </c>
      <c r="R1059" s="14" t="s">
        <v>72</v>
      </c>
    </row>
    <row r="1060" spans="1:18" s="14" customFormat="1" x14ac:dyDescent="0.25">
      <c r="A1060" s="14" t="str">
        <f>"10001"</f>
        <v>10001</v>
      </c>
      <c r="B1060" s="14" t="str">
        <f>"01640"</f>
        <v>01640</v>
      </c>
      <c r="C1060" s="14" t="str">
        <f>"1100"</f>
        <v>1100</v>
      </c>
      <c r="D1060" s="14" t="str">
        <f>"01640"</f>
        <v>01640</v>
      </c>
      <c r="E1060" s="14" t="s">
        <v>20</v>
      </c>
      <c r="F1060" s="14" t="s">
        <v>143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69</v>
      </c>
      <c r="L1060" s="14" t="s">
        <v>70</v>
      </c>
      <c r="M1060" s="14" t="s">
        <v>71</v>
      </c>
      <c r="P1060" s="14" t="s">
        <v>31</v>
      </c>
      <c r="Q1060" s="14" t="s">
        <v>25</v>
      </c>
      <c r="R1060" s="14" t="s">
        <v>72</v>
      </c>
    </row>
    <row r="1061" spans="1:18" s="14" customFormat="1" x14ac:dyDescent="0.25">
      <c r="A1061" s="14" t="str">
        <f>"10001"</f>
        <v>10001</v>
      </c>
      <c r="B1061" s="14" t="str">
        <f>"01645"</f>
        <v>01645</v>
      </c>
      <c r="C1061" s="14" t="str">
        <f>"1100"</f>
        <v>1100</v>
      </c>
      <c r="D1061" s="14" t="str">
        <f>"01645"</f>
        <v>01645</v>
      </c>
      <c r="E1061" s="14" t="s">
        <v>20</v>
      </c>
      <c r="F1061" s="14" t="s">
        <v>144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69</v>
      </c>
      <c r="L1061" s="14" t="s">
        <v>70</v>
      </c>
      <c r="M1061" s="14" t="s">
        <v>71</v>
      </c>
      <c r="P1061" s="14" t="s">
        <v>31</v>
      </c>
      <c r="Q1061" s="14" t="s">
        <v>25</v>
      </c>
      <c r="R1061" s="14" t="s">
        <v>72</v>
      </c>
    </row>
    <row r="1062" spans="1:18" s="14" customFormat="1" x14ac:dyDescent="0.25">
      <c r="A1062" s="14" t="str">
        <f>"10001"</f>
        <v>10001</v>
      </c>
      <c r="B1062" s="14" t="str">
        <f>"01661"</f>
        <v>01661</v>
      </c>
      <c r="C1062" s="14" t="str">
        <f>"1300"</f>
        <v>1300</v>
      </c>
      <c r="D1062" s="14" t="str">
        <f>"01661"</f>
        <v>01661</v>
      </c>
      <c r="E1062" s="14" t="s">
        <v>20</v>
      </c>
      <c r="F1062" s="14" t="s">
        <v>149</v>
      </c>
      <c r="G1062" s="14" t="str">
        <f>""</f>
        <v/>
      </c>
      <c r="H1062" s="14" t="str">
        <f>" 10"</f>
        <v xml:space="preserve"> 10</v>
      </c>
      <c r="I1062" s="14">
        <v>0.01</v>
      </c>
      <c r="J1062" s="14">
        <v>500</v>
      </c>
      <c r="K1062" s="14" t="s">
        <v>150</v>
      </c>
      <c r="P1062" s="14" t="s">
        <v>31</v>
      </c>
      <c r="Q1062" s="14" t="s">
        <v>25</v>
      </c>
      <c r="R1062" s="14" t="s">
        <v>150</v>
      </c>
    </row>
    <row r="1063" spans="1:18" s="14" customFormat="1" x14ac:dyDescent="0.25">
      <c r="A1063" s="14" t="str">
        <f>"10001"</f>
        <v>10001</v>
      </c>
      <c r="B1063" s="14" t="str">
        <f>"01661"</f>
        <v>01661</v>
      </c>
      <c r="C1063" s="14" t="str">
        <f>"1300"</f>
        <v>1300</v>
      </c>
      <c r="D1063" s="14" t="str">
        <f>"01661"</f>
        <v>01661</v>
      </c>
      <c r="E1063" s="14" t="s">
        <v>20</v>
      </c>
      <c r="F1063" s="14" t="s">
        <v>149</v>
      </c>
      <c r="G1063" s="14" t="str">
        <f>""</f>
        <v/>
      </c>
      <c r="H1063" s="14" t="str">
        <f>" 20"</f>
        <v xml:space="preserve"> 20</v>
      </c>
      <c r="I1063" s="14">
        <v>500.01</v>
      </c>
      <c r="J1063" s="14">
        <v>9999999.9900000002</v>
      </c>
      <c r="K1063" s="14" t="s">
        <v>90</v>
      </c>
      <c r="L1063" s="14" t="s">
        <v>150</v>
      </c>
      <c r="P1063" s="14" t="s">
        <v>31</v>
      </c>
      <c r="Q1063" s="14" t="s">
        <v>25</v>
      </c>
      <c r="R1063" s="14" t="s">
        <v>150</v>
      </c>
    </row>
    <row r="1064" spans="1:18" s="14" customFormat="1" x14ac:dyDescent="0.25">
      <c r="A1064" s="14" t="str">
        <f>"10001"</f>
        <v>10001</v>
      </c>
      <c r="B1064" s="14" t="str">
        <f>"01780"</f>
        <v>01780</v>
      </c>
      <c r="C1064" s="14" t="str">
        <f>"1300"</f>
        <v>1300</v>
      </c>
      <c r="D1064" s="14" t="str">
        <f>"01780"</f>
        <v>01780</v>
      </c>
      <c r="E1064" s="14" t="s">
        <v>20</v>
      </c>
      <c r="F1064" s="14" t="s">
        <v>175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112</v>
      </c>
      <c r="L1064" s="14" t="s">
        <v>113</v>
      </c>
      <c r="M1064" s="14" t="s">
        <v>114</v>
      </c>
      <c r="P1064" s="14" t="s">
        <v>31</v>
      </c>
      <c r="Q1064" s="14" t="s">
        <v>25</v>
      </c>
      <c r="R1064" s="14" t="s">
        <v>115</v>
      </c>
    </row>
    <row r="1065" spans="1:18" s="14" customFormat="1" x14ac:dyDescent="0.25">
      <c r="A1065" s="14" t="str">
        <f>"10001"</f>
        <v>10001</v>
      </c>
      <c r="B1065" s="14" t="str">
        <f>"01785"</f>
        <v>01785</v>
      </c>
      <c r="C1065" s="14" t="str">
        <f>"1300"</f>
        <v>1300</v>
      </c>
      <c r="D1065" s="14" t="str">
        <f>"01785"</f>
        <v>01785</v>
      </c>
      <c r="E1065" s="14" t="s">
        <v>20</v>
      </c>
      <c r="F1065" s="14" t="s">
        <v>176</v>
      </c>
      <c r="G1065" s="14" t="str">
        <f>""</f>
        <v/>
      </c>
      <c r="H1065" s="14" t="str">
        <f>" 10"</f>
        <v xml:space="preserve"> 10</v>
      </c>
      <c r="I1065" s="14">
        <v>0.01</v>
      </c>
      <c r="J1065" s="14">
        <v>500</v>
      </c>
      <c r="K1065" s="14" t="s">
        <v>177</v>
      </c>
      <c r="P1065" s="14" t="s">
        <v>31</v>
      </c>
      <c r="Q1065" s="14" t="s">
        <v>25</v>
      </c>
      <c r="R1065" s="14" t="s">
        <v>90</v>
      </c>
    </row>
    <row r="1066" spans="1:18" s="14" customFormat="1" x14ac:dyDescent="0.25">
      <c r="A1066" s="14" t="str">
        <f>"10001"</f>
        <v>10001</v>
      </c>
      <c r="B1066" s="14" t="str">
        <f>"01785"</f>
        <v>01785</v>
      </c>
      <c r="C1066" s="14" t="str">
        <f>"1300"</f>
        <v>1300</v>
      </c>
      <c r="D1066" s="14" t="str">
        <f>"01785"</f>
        <v>01785</v>
      </c>
      <c r="E1066" s="14" t="s">
        <v>20</v>
      </c>
      <c r="F1066" s="14" t="s">
        <v>176</v>
      </c>
      <c r="G1066" s="14" t="str">
        <f>""</f>
        <v/>
      </c>
      <c r="H1066" s="14" t="str">
        <f>" 20"</f>
        <v xml:space="preserve"> 20</v>
      </c>
      <c r="I1066" s="14">
        <v>500.01</v>
      </c>
      <c r="J1066" s="14">
        <v>9999999.9900000002</v>
      </c>
      <c r="K1066" s="14" t="s">
        <v>90</v>
      </c>
      <c r="L1066" s="14" t="s">
        <v>177</v>
      </c>
      <c r="P1066" s="14" t="s">
        <v>31</v>
      </c>
      <c r="Q1066" s="14" t="s">
        <v>25</v>
      </c>
      <c r="R1066" s="14" t="s">
        <v>90</v>
      </c>
    </row>
    <row r="1067" spans="1:18" s="14" customFormat="1" x14ac:dyDescent="0.25">
      <c r="A1067" s="14" t="str">
        <f>"10001"</f>
        <v>10001</v>
      </c>
      <c r="B1067" s="14" t="str">
        <f>"01790"</f>
        <v>01790</v>
      </c>
      <c r="C1067" s="14" t="str">
        <f>"1100"</f>
        <v>1100</v>
      </c>
      <c r="D1067" s="14" t="str">
        <f>"01790"</f>
        <v>01790</v>
      </c>
      <c r="E1067" s="14" t="s">
        <v>20</v>
      </c>
      <c r="F1067" s="14" t="s">
        <v>178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179</v>
      </c>
      <c r="L1067" s="14" t="s">
        <v>112</v>
      </c>
      <c r="M1067" s="14" t="s">
        <v>113</v>
      </c>
      <c r="N1067" s="14" t="s">
        <v>114</v>
      </c>
      <c r="P1067" s="14" t="s">
        <v>31</v>
      </c>
      <c r="Q1067" s="14" t="s">
        <v>25</v>
      </c>
      <c r="R1067" s="14" t="s">
        <v>115</v>
      </c>
    </row>
    <row r="1068" spans="1:18" s="14" customFormat="1" x14ac:dyDescent="0.25">
      <c r="A1068" s="14" t="str">
        <f>"10001"</f>
        <v>10001</v>
      </c>
      <c r="B1068" s="14" t="str">
        <f>"01800"</f>
        <v>01800</v>
      </c>
      <c r="C1068" s="14" t="str">
        <f>"1100"</f>
        <v>1100</v>
      </c>
      <c r="D1068" s="14" t="str">
        <f>"01800"</f>
        <v>01800</v>
      </c>
      <c r="E1068" s="14" t="s">
        <v>20</v>
      </c>
      <c r="F1068" s="14" t="s">
        <v>180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181</v>
      </c>
      <c r="L1068" s="14" t="s">
        <v>112</v>
      </c>
      <c r="M1068" s="14" t="s">
        <v>113</v>
      </c>
      <c r="N1068" s="14" t="s">
        <v>114</v>
      </c>
      <c r="P1068" s="14" t="s">
        <v>31</v>
      </c>
      <c r="Q1068" s="14" t="s">
        <v>25</v>
      </c>
      <c r="R1068" s="14" t="s">
        <v>115</v>
      </c>
    </row>
    <row r="1069" spans="1:18" s="14" customFormat="1" x14ac:dyDescent="0.25">
      <c r="A1069" s="14" t="str">
        <f>"10001"</f>
        <v>10001</v>
      </c>
      <c r="B1069" s="14" t="str">
        <f>"01805"</f>
        <v>01805</v>
      </c>
      <c r="C1069" s="14" t="str">
        <f>"1100"</f>
        <v>1100</v>
      </c>
      <c r="D1069" s="14" t="str">
        <f>"01805"</f>
        <v>01805</v>
      </c>
      <c r="E1069" s="14" t="s">
        <v>20</v>
      </c>
      <c r="F1069" s="14" t="s">
        <v>182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181</v>
      </c>
      <c r="L1069" s="14" t="s">
        <v>112</v>
      </c>
      <c r="M1069" s="14" t="s">
        <v>113</v>
      </c>
      <c r="N1069" s="14" t="s">
        <v>114</v>
      </c>
      <c r="P1069" s="14" t="s">
        <v>31</v>
      </c>
      <c r="Q1069" s="14" t="s">
        <v>25</v>
      </c>
      <c r="R1069" s="14" t="s">
        <v>115</v>
      </c>
    </row>
    <row r="1070" spans="1:18" s="14" customFormat="1" x14ac:dyDescent="0.25">
      <c r="A1070" s="14" t="str">
        <f>"10001"</f>
        <v>10001</v>
      </c>
      <c r="B1070" s="14" t="str">
        <f>"01810"</f>
        <v>01810</v>
      </c>
      <c r="C1070" s="14" t="str">
        <f>"1100"</f>
        <v>1100</v>
      </c>
      <c r="D1070" s="14" t="str">
        <f>"01810"</f>
        <v>01810</v>
      </c>
      <c r="E1070" s="14" t="s">
        <v>20</v>
      </c>
      <c r="F1070" s="14" t="s">
        <v>183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184</v>
      </c>
      <c r="L1070" s="14" t="s">
        <v>112</v>
      </c>
      <c r="M1070" s="14" t="s">
        <v>113</v>
      </c>
      <c r="N1070" s="14" t="s">
        <v>114</v>
      </c>
      <c r="P1070" s="14" t="s">
        <v>31</v>
      </c>
      <c r="Q1070" s="14" t="s">
        <v>25</v>
      </c>
      <c r="R1070" s="14" t="s">
        <v>115</v>
      </c>
    </row>
    <row r="1071" spans="1:18" s="14" customFormat="1" x14ac:dyDescent="0.25">
      <c r="A1071" s="14" t="str">
        <f>"10001"</f>
        <v>10001</v>
      </c>
      <c r="B1071" s="14" t="str">
        <f>"01820"</f>
        <v>01820</v>
      </c>
      <c r="C1071" s="14" t="str">
        <f>"1100"</f>
        <v>1100</v>
      </c>
      <c r="D1071" s="14" t="str">
        <f>"01820"</f>
        <v>01820</v>
      </c>
      <c r="E1071" s="14" t="s">
        <v>20</v>
      </c>
      <c r="F1071" s="14" t="s">
        <v>185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186</v>
      </c>
      <c r="L1071" s="14" t="s">
        <v>112</v>
      </c>
      <c r="M1071" s="14" t="s">
        <v>113</v>
      </c>
      <c r="N1071" s="14" t="s">
        <v>114</v>
      </c>
      <c r="P1071" s="14" t="s">
        <v>31</v>
      </c>
      <c r="Q1071" s="14" t="s">
        <v>25</v>
      </c>
      <c r="R1071" s="14" t="s">
        <v>115</v>
      </c>
    </row>
    <row r="1072" spans="1:18" s="14" customFormat="1" x14ac:dyDescent="0.25">
      <c r="A1072" s="14" t="str">
        <f>"10001"</f>
        <v>10001</v>
      </c>
      <c r="B1072" s="14" t="str">
        <f>"01830"</f>
        <v>01830</v>
      </c>
      <c r="C1072" s="14" t="str">
        <f>"1100"</f>
        <v>1100</v>
      </c>
      <c r="D1072" s="14" t="str">
        <f>"01830"</f>
        <v>01830</v>
      </c>
      <c r="E1072" s="14" t="s">
        <v>20</v>
      </c>
      <c r="F1072" s="14" t="s">
        <v>187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188</v>
      </c>
      <c r="L1072" s="14" t="s">
        <v>112</v>
      </c>
      <c r="M1072" s="14" t="s">
        <v>113</v>
      </c>
      <c r="N1072" s="14" t="s">
        <v>114</v>
      </c>
      <c r="P1072" s="14" t="s">
        <v>31</v>
      </c>
      <c r="Q1072" s="14" t="s">
        <v>25</v>
      </c>
      <c r="R1072" s="14" t="s">
        <v>115</v>
      </c>
    </row>
    <row r="1073" spans="1:18" s="14" customFormat="1" x14ac:dyDescent="0.25">
      <c r="A1073" s="14" t="str">
        <f>"10001"</f>
        <v>10001</v>
      </c>
      <c r="B1073" s="14" t="str">
        <f>"02000"</f>
        <v>02000</v>
      </c>
      <c r="C1073" s="14" t="str">
        <f>"1400"</f>
        <v>1400</v>
      </c>
      <c r="D1073" s="14" t="str">
        <f>"02000"</f>
        <v>02000</v>
      </c>
      <c r="E1073" s="14" t="s">
        <v>20</v>
      </c>
      <c r="F1073" s="14" t="s">
        <v>189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28</v>
      </c>
      <c r="L1073" s="14" t="s">
        <v>190</v>
      </c>
      <c r="P1073" s="14" t="s">
        <v>31</v>
      </c>
      <c r="Q1073" s="14" t="s">
        <v>25</v>
      </c>
      <c r="R1073" s="14" t="s">
        <v>32</v>
      </c>
    </row>
    <row r="1074" spans="1:18" s="14" customFormat="1" x14ac:dyDescent="0.25">
      <c r="A1074" s="14" t="str">
        <f>"10001"</f>
        <v>10001</v>
      </c>
      <c r="B1074" s="14" t="str">
        <f>"02010"</f>
        <v>02010</v>
      </c>
      <c r="C1074" s="14" t="str">
        <f>"1400"</f>
        <v>1400</v>
      </c>
      <c r="D1074" s="14" t="str">
        <f>"02010"</f>
        <v>02010</v>
      </c>
      <c r="E1074" s="14" t="s">
        <v>20</v>
      </c>
      <c r="F1074" s="14" t="s">
        <v>191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192</v>
      </c>
      <c r="L1074" s="14" t="s">
        <v>193</v>
      </c>
      <c r="M1074" s="14" t="s">
        <v>194</v>
      </c>
      <c r="P1074" s="14" t="s">
        <v>31</v>
      </c>
      <c r="Q1074" s="14" t="s">
        <v>25</v>
      </c>
      <c r="R1074" s="14" t="s">
        <v>192</v>
      </c>
    </row>
    <row r="1075" spans="1:18" s="14" customFormat="1" x14ac:dyDescent="0.25">
      <c r="A1075" s="14" t="str">
        <f>"10001"</f>
        <v>10001</v>
      </c>
      <c r="B1075" s="14" t="str">
        <f>"02040"</f>
        <v>02040</v>
      </c>
      <c r="C1075" s="14" t="str">
        <f>"1400"</f>
        <v>1400</v>
      </c>
      <c r="D1075" s="14" t="str">
        <f>"02040"</f>
        <v>02040</v>
      </c>
      <c r="E1075" s="14" t="s">
        <v>20</v>
      </c>
      <c r="F1075" s="14" t="s">
        <v>195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193</v>
      </c>
      <c r="L1075" s="14" t="s">
        <v>196</v>
      </c>
      <c r="M1075" s="14" t="s">
        <v>192</v>
      </c>
      <c r="P1075" s="14" t="s">
        <v>31</v>
      </c>
      <c r="Q1075" s="14" t="s">
        <v>25</v>
      </c>
      <c r="R1075" s="14" t="s">
        <v>193</v>
      </c>
    </row>
    <row r="1076" spans="1:18" s="14" customFormat="1" x14ac:dyDescent="0.25">
      <c r="A1076" s="14" t="str">
        <f>"10001"</f>
        <v>10001</v>
      </c>
      <c r="B1076" s="14" t="str">
        <f>"02050"</f>
        <v>02050</v>
      </c>
      <c r="C1076" s="14" t="str">
        <f>"1400"</f>
        <v>1400</v>
      </c>
      <c r="D1076" s="14" t="str">
        <f>"02050"</f>
        <v>02050</v>
      </c>
      <c r="E1076" s="14" t="s">
        <v>20</v>
      </c>
      <c r="F1076" s="14" t="s">
        <v>197</v>
      </c>
      <c r="G1076" s="14" t="str">
        <f>""</f>
        <v/>
      </c>
      <c r="H1076" s="14" t="str">
        <f>" 10"</f>
        <v xml:space="preserve"> 10</v>
      </c>
      <c r="I1076" s="14">
        <v>0.01</v>
      </c>
      <c r="J1076" s="14">
        <v>500</v>
      </c>
      <c r="K1076" s="14" t="s">
        <v>198</v>
      </c>
      <c r="L1076" s="14" t="s">
        <v>199</v>
      </c>
      <c r="P1076" s="14" t="s">
        <v>31</v>
      </c>
      <c r="Q1076" s="14" t="s">
        <v>25</v>
      </c>
      <c r="R1076" s="14" t="s">
        <v>32</v>
      </c>
    </row>
    <row r="1077" spans="1:18" s="14" customFormat="1" x14ac:dyDescent="0.25">
      <c r="A1077" s="14" t="str">
        <f>"10001"</f>
        <v>10001</v>
      </c>
      <c r="B1077" s="14" t="str">
        <f>"02050"</f>
        <v>02050</v>
      </c>
      <c r="C1077" s="14" t="str">
        <f>"1400"</f>
        <v>1400</v>
      </c>
      <c r="D1077" s="14" t="str">
        <f>"02050"</f>
        <v>02050</v>
      </c>
      <c r="E1077" s="14" t="s">
        <v>20</v>
      </c>
      <c r="F1077" s="14" t="s">
        <v>197</v>
      </c>
      <c r="G1077" s="14" t="str">
        <f>""</f>
        <v/>
      </c>
      <c r="H1077" s="14" t="str">
        <f>" 20"</f>
        <v xml:space="preserve"> 20</v>
      </c>
      <c r="I1077" s="14">
        <v>500.01</v>
      </c>
      <c r="J1077" s="14">
        <v>9999999.9900000002</v>
      </c>
      <c r="K1077" s="14" t="s">
        <v>198</v>
      </c>
      <c r="L1077" s="14" t="s">
        <v>200</v>
      </c>
      <c r="P1077" s="14" t="s">
        <v>31</v>
      </c>
      <c r="Q1077" s="14" t="s">
        <v>25</v>
      </c>
      <c r="R1077" s="14" t="s">
        <v>32</v>
      </c>
    </row>
    <row r="1078" spans="1:18" s="14" customFormat="1" x14ac:dyDescent="0.25">
      <c r="A1078" s="14" t="str">
        <f>"10001"</f>
        <v>10001</v>
      </c>
      <c r="B1078" s="14" t="str">
        <f>"02070"</f>
        <v>02070</v>
      </c>
      <c r="C1078" s="14" t="str">
        <f>"1400"</f>
        <v>1400</v>
      </c>
      <c r="D1078" s="14" t="str">
        <f>"02070"</f>
        <v>02070</v>
      </c>
      <c r="E1078" s="14" t="s">
        <v>20</v>
      </c>
      <c r="F1078" s="14" t="s">
        <v>201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199</v>
      </c>
      <c r="L1078" s="14" t="s">
        <v>198</v>
      </c>
      <c r="P1078" s="14" t="s">
        <v>31</v>
      </c>
      <c r="Q1078" s="14" t="s">
        <v>25</v>
      </c>
      <c r="R1078" s="14" t="s">
        <v>202</v>
      </c>
    </row>
    <row r="1079" spans="1:18" s="14" customFormat="1" x14ac:dyDescent="0.25">
      <c r="A1079" s="14" t="str">
        <f>"10001"</f>
        <v>10001</v>
      </c>
      <c r="B1079" s="14" t="str">
        <f>"02080"</f>
        <v>02080</v>
      </c>
      <c r="C1079" s="14" t="str">
        <f>"1400"</f>
        <v>1400</v>
      </c>
      <c r="D1079" s="14" t="str">
        <f>"02080"</f>
        <v>02080</v>
      </c>
      <c r="E1079" s="14" t="s">
        <v>20</v>
      </c>
      <c r="F1079" s="14" t="s">
        <v>203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204</v>
      </c>
      <c r="L1079" s="14" t="s">
        <v>205</v>
      </c>
      <c r="P1079" s="14" t="s">
        <v>31</v>
      </c>
      <c r="Q1079" s="14" t="s">
        <v>25</v>
      </c>
      <c r="R1079" s="14" t="s">
        <v>206</v>
      </c>
    </row>
    <row r="1080" spans="1:18" s="14" customFormat="1" x14ac:dyDescent="0.25">
      <c r="A1080" s="14" t="str">
        <f>"10001"</f>
        <v>10001</v>
      </c>
      <c r="B1080" s="14" t="str">
        <f>"02085"</f>
        <v>02085</v>
      </c>
      <c r="C1080" s="14" t="str">
        <f>"1400"</f>
        <v>1400</v>
      </c>
      <c r="D1080" s="14" t="str">
        <f>"02085"</f>
        <v>02085</v>
      </c>
      <c r="E1080" s="14" t="s">
        <v>20</v>
      </c>
      <c r="F1080" s="14" t="s">
        <v>207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204</v>
      </c>
      <c r="L1080" s="14" t="s">
        <v>208</v>
      </c>
      <c r="P1080" s="14" t="s">
        <v>31</v>
      </c>
      <c r="Q1080" s="14" t="s">
        <v>25</v>
      </c>
      <c r="R1080" s="14" t="s">
        <v>208</v>
      </c>
    </row>
    <row r="1081" spans="1:18" s="14" customFormat="1" x14ac:dyDescent="0.25">
      <c r="A1081" s="14" t="str">
        <f>"10001"</f>
        <v>10001</v>
      </c>
      <c r="B1081" s="14" t="str">
        <f>"02120"</f>
        <v>02120</v>
      </c>
      <c r="C1081" s="14" t="str">
        <f>"1400"</f>
        <v>1400</v>
      </c>
      <c r="D1081" s="14" t="str">
        <f>"02120A"</f>
        <v>02120A</v>
      </c>
      <c r="E1081" s="14" t="s">
        <v>20</v>
      </c>
      <c r="F1081" s="14" t="s">
        <v>209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29</v>
      </c>
      <c r="L1081" s="14" t="s">
        <v>210</v>
      </c>
      <c r="P1081" s="14" t="s">
        <v>31</v>
      </c>
      <c r="Q1081" s="14" t="s">
        <v>25</v>
      </c>
      <c r="R1081" s="14" t="s">
        <v>210</v>
      </c>
    </row>
    <row r="1082" spans="1:18" s="14" customFormat="1" x14ac:dyDescent="0.25">
      <c r="A1082" s="14" t="str">
        <f>"10001"</f>
        <v>10001</v>
      </c>
      <c r="B1082" s="14" t="str">
        <f>"02121"</f>
        <v>02121</v>
      </c>
      <c r="C1082" s="14" t="str">
        <f>"1400"</f>
        <v>1400</v>
      </c>
      <c r="D1082" s="14" t="str">
        <f>"02121"</f>
        <v>02121</v>
      </c>
      <c r="E1082" s="14" t="s">
        <v>20</v>
      </c>
      <c r="F1082" s="14" t="s">
        <v>211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29</v>
      </c>
      <c r="L1082" s="14" t="s">
        <v>210</v>
      </c>
      <c r="P1082" s="14" t="s">
        <v>31</v>
      </c>
      <c r="Q1082" s="14" t="s">
        <v>25</v>
      </c>
      <c r="R1082" s="14" t="s">
        <v>210</v>
      </c>
    </row>
    <row r="1083" spans="1:18" s="14" customFormat="1" x14ac:dyDescent="0.25">
      <c r="A1083" s="14" t="str">
        <f>"10001"</f>
        <v>10001</v>
      </c>
      <c r="B1083" s="14" t="str">
        <f>"02130"</f>
        <v>02130</v>
      </c>
      <c r="C1083" s="14" t="str">
        <f>"1400"</f>
        <v>1400</v>
      </c>
      <c r="D1083" s="14" t="str">
        <f>"02130"</f>
        <v>02130</v>
      </c>
      <c r="E1083" s="14" t="s">
        <v>20</v>
      </c>
      <c r="F1083" s="14" t="s">
        <v>212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193</v>
      </c>
      <c r="L1083" s="14" t="s">
        <v>196</v>
      </c>
      <c r="M1083" s="14" t="s">
        <v>213</v>
      </c>
      <c r="P1083" s="14" t="s">
        <v>31</v>
      </c>
      <c r="Q1083" s="14" t="s">
        <v>25</v>
      </c>
      <c r="R1083" s="14" t="s">
        <v>214</v>
      </c>
    </row>
    <row r="1084" spans="1:18" s="14" customFormat="1" x14ac:dyDescent="0.25">
      <c r="A1084" s="14" t="str">
        <f>"10001"</f>
        <v>10001</v>
      </c>
      <c r="B1084" s="14" t="str">
        <f>"02150"</f>
        <v>02150</v>
      </c>
      <c r="C1084" s="14" t="str">
        <f>"1400"</f>
        <v>1400</v>
      </c>
      <c r="D1084" s="14" t="str">
        <f>"02150"</f>
        <v>02150</v>
      </c>
      <c r="E1084" s="14" t="s">
        <v>20</v>
      </c>
      <c r="F1084" s="14" t="s">
        <v>215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28</v>
      </c>
      <c r="L1084" s="14" t="s">
        <v>190</v>
      </c>
      <c r="M1084" s="14" t="s">
        <v>216</v>
      </c>
      <c r="P1084" s="14" t="s">
        <v>31</v>
      </c>
      <c r="Q1084" s="14" t="s">
        <v>25</v>
      </c>
      <c r="R1084" s="14" t="s">
        <v>190</v>
      </c>
    </row>
    <row r="1085" spans="1:18" s="14" customFormat="1" x14ac:dyDescent="0.25">
      <c r="A1085" s="14" t="str">
        <f>"10001"</f>
        <v>10001</v>
      </c>
      <c r="B1085" s="14" t="str">
        <f>"03000"</f>
        <v>03000</v>
      </c>
      <c r="C1085" s="14" t="str">
        <f>"1400"</f>
        <v>1400</v>
      </c>
      <c r="D1085" s="14" t="str">
        <f>"03000A"</f>
        <v>03000A</v>
      </c>
      <c r="E1085" s="14" t="s">
        <v>20</v>
      </c>
      <c r="F1085" s="14" t="s">
        <v>217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34</v>
      </c>
      <c r="L1085" s="14" t="s">
        <v>25</v>
      </c>
      <c r="P1085" s="14" t="s">
        <v>31</v>
      </c>
      <c r="Q1085" s="14" t="s">
        <v>25</v>
      </c>
      <c r="R1085" s="14" t="s">
        <v>35</v>
      </c>
    </row>
    <row r="1086" spans="1:18" s="14" customFormat="1" x14ac:dyDescent="0.25">
      <c r="A1086" s="14" t="str">
        <f>"10001"</f>
        <v>10001</v>
      </c>
      <c r="B1086" s="14" t="str">
        <f>"03010"</f>
        <v>03010</v>
      </c>
      <c r="C1086" s="14" t="str">
        <f>"1400"</f>
        <v>1400</v>
      </c>
      <c r="D1086" s="14" t="str">
        <f>"03010"</f>
        <v>03010</v>
      </c>
      <c r="E1086" s="14" t="s">
        <v>20</v>
      </c>
      <c r="F1086" s="14" t="s">
        <v>218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34</v>
      </c>
      <c r="L1086" s="14" t="s">
        <v>25</v>
      </c>
      <c r="P1086" s="14" t="s">
        <v>31</v>
      </c>
      <c r="Q1086" s="14" t="s">
        <v>25</v>
      </c>
      <c r="R1086" s="14" t="s">
        <v>190</v>
      </c>
    </row>
    <row r="1087" spans="1:18" s="14" customFormat="1" x14ac:dyDescent="0.25">
      <c r="A1087" s="14" t="str">
        <f>"10001"</f>
        <v>10001</v>
      </c>
      <c r="B1087" s="14" t="str">
        <f>"03018"</f>
        <v>03018</v>
      </c>
      <c r="C1087" s="14" t="str">
        <f>"1100"</f>
        <v>1100</v>
      </c>
      <c r="D1087" s="14" t="str">
        <f>"03018"</f>
        <v>03018</v>
      </c>
      <c r="E1087" s="14" t="s">
        <v>20</v>
      </c>
      <c r="F1087" s="14" t="s">
        <v>219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34</v>
      </c>
      <c r="L1087" s="14" t="s">
        <v>25</v>
      </c>
      <c r="P1087" s="14" t="s">
        <v>31</v>
      </c>
      <c r="Q1087" s="14" t="s">
        <v>25</v>
      </c>
      <c r="R1087" s="14" t="s">
        <v>35</v>
      </c>
    </row>
    <row r="1088" spans="1:18" s="14" customFormat="1" x14ac:dyDescent="0.25">
      <c r="A1088" s="14" t="str">
        <f>"10001"</f>
        <v>10001</v>
      </c>
      <c r="B1088" s="14" t="str">
        <f>"03020"</f>
        <v>03020</v>
      </c>
      <c r="C1088" s="14" t="str">
        <f>"1400"</f>
        <v>1400</v>
      </c>
      <c r="D1088" s="14" t="str">
        <f>"03020"</f>
        <v>03020</v>
      </c>
      <c r="E1088" s="14" t="s">
        <v>20</v>
      </c>
      <c r="F1088" s="14" t="s">
        <v>220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34</v>
      </c>
      <c r="L1088" s="14" t="s">
        <v>25</v>
      </c>
      <c r="P1088" s="14" t="s">
        <v>31</v>
      </c>
      <c r="Q1088" s="14" t="s">
        <v>25</v>
      </c>
      <c r="R1088" s="14" t="s">
        <v>35</v>
      </c>
    </row>
    <row r="1089" spans="1:18" s="14" customFormat="1" x14ac:dyDescent="0.25">
      <c r="A1089" s="14" t="str">
        <f>"10001"</f>
        <v>10001</v>
      </c>
      <c r="B1089" s="14" t="str">
        <f>"03022"</f>
        <v>03022</v>
      </c>
      <c r="C1089" s="14" t="str">
        <f>"1300"</f>
        <v>1300</v>
      </c>
      <c r="D1089" s="14" t="str">
        <f>"03022"</f>
        <v>03022</v>
      </c>
      <c r="E1089" s="14" t="s">
        <v>20</v>
      </c>
      <c r="F1089" s="14" t="s">
        <v>221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34</v>
      </c>
      <c r="L1089" s="14" t="s">
        <v>25</v>
      </c>
      <c r="P1089" s="14" t="s">
        <v>31</v>
      </c>
      <c r="Q1089" s="14" t="s">
        <v>25</v>
      </c>
      <c r="R1089" s="14" t="s">
        <v>35</v>
      </c>
    </row>
    <row r="1090" spans="1:18" s="14" customFormat="1" x14ac:dyDescent="0.25">
      <c r="A1090" s="14" t="str">
        <f>"10001"</f>
        <v>10001</v>
      </c>
      <c r="B1090" s="14" t="str">
        <f>"03024"</f>
        <v>03024</v>
      </c>
      <c r="C1090" s="14" t="str">
        <f>"1700"</f>
        <v>1700</v>
      </c>
      <c r="D1090" s="14" t="str">
        <f>"03024"</f>
        <v>03024</v>
      </c>
      <c r="E1090" s="14" t="s">
        <v>20</v>
      </c>
      <c r="F1090" s="14" t="s">
        <v>222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34</v>
      </c>
      <c r="L1090" s="14" t="s">
        <v>25</v>
      </c>
      <c r="P1090" s="14" t="s">
        <v>31</v>
      </c>
      <c r="Q1090" s="14" t="s">
        <v>25</v>
      </c>
      <c r="R1090" s="14" t="s">
        <v>35</v>
      </c>
    </row>
    <row r="1091" spans="1:18" s="14" customFormat="1" x14ac:dyDescent="0.25">
      <c r="A1091" s="14" t="str">
        <f>"10001"</f>
        <v>10001</v>
      </c>
      <c r="B1091" s="14" t="str">
        <f>"03026"</f>
        <v>03026</v>
      </c>
      <c r="C1091" s="14" t="str">
        <f>"1400"</f>
        <v>1400</v>
      </c>
      <c r="D1091" s="14" t="str">
        <f>"03026"</f>
        <v>03026</v>
      </c>
      <c r="E1091" s="14" t="s">
        <v>20</v>
      </c>
      <c r="F1091" s="14" t="s">
        <v>223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34</v>
      </c>
      <c r="L1091" s="14" t="s">
        <v>25</v>
      </c>
      <c r="P1091" s="14" t="s">
        <v>31</v>
      </c>
      <c r="Q1091" s="14" t="s">
        <v>25</v>
      </c>
      <c r="R1091" s="14" t="s">
        <v>35</v>
      </c>
    </row>
    <row r="1092" spans="1:18" s="14" customFormat="1" x14ac:dyDescent="0.25">
      <c r="A1092" s="14" t="str">
        <f>"10001"</f>
        <v>10001</v>
      </c>
      <c r="B1092" s="14" t="str">
        <f>"03030"</f>
        <v>03030</v>
      </c>
      <c r="C1092" s="14" t="str">
        <f>"1500"</f>
        <v>1500</v>
      </c>
      <c r="D1092" s="14" t="str">
        <f>"03030"</f>
        <v>03030</v>
      </c>
      <c r="E1092" s="14" t="s">
        <v>20</v>
      </c>
      <c r="F1092" s="14" t="s">
        <v>224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34</v>
      </c>
      <c r="L1092" s="14" t="s">
        <v>25</v>
      </c>
      <c r="P1092" s="14" t="s">
        <v>31</v>
      </c>
      <c r="Q1092" s="14" t="s">
        <v>25</v>
      </c>
      <c r="R1092" s="14" t="s">
        <v>35</v>
      </c>
    </row>
    <row r="1093" spans="1:18" s="14" customFormat="1" x14ac:dyDescent="0.25">
      <c r="A1093" s="14" t="str">
        <f>"10001"</f>
        <v>10001</v>
      </c>
      <c r="B1093" s="14" t="str">
        <f>"03050"</f>
        <v>03050</v>
      </c>
      <c r="C1093" s="14" t="str">
        <f>"1400"</f>
        <v>1400</v>
      </c>
      <c r="D1093" s="14" t="str">
        <f>"03050"</f>
        <v>03050</v>
      </c>
      <c r="E1093" s="14" t="s">
        <v>20</v>
      </c>
      <c r="F1093" s="14" t="s">
        <v>225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226</v>
      </c>
      <c r="L1093" s="14" t="s">
        <v>227</v>
      </c>
      <c r="M1093" s="14" t="s">
        <v>228</v>
      </c>
      <c r="P1093" s="14" t="s">
        <v>31</v>
      </c>
      <c r="Q1093" s="14" t="s">
        <v>25</v>
      </c>
      <c r="R1093" s="14" t="s">
        <v>229</v>
      </c>
    </row>
    <row r="1094" spans="1:18" s="14" customFormat="1" x14ac:dyDescent="0.25">
      <c r="A1094" s="14" t="str">
        <f>"10001"</f>
        <v>10001</v>
      </c>
      <c r="B1094" s="14" t="str">
        <f>"03090"</f>
        <v>03090</v>
      </c>
      <c r="C1094" s="14" t="str">
        <f>"1400"</f>
        <v>1400</v>
      </c>
      <c r="D1094" s="14" t="str">
        <f>"03090"</f>
        <v>03090</v>
      </c>
      <c r="E1094" s="14" t="s">
        <v>20</v>
      </c>
      <c r="F1094" s="14" t="s">
        <v>230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231</v>
      </c>
      <c r="L1094" s="14" t="s">
        <v>232</v>
      </c>
      <c r="M1094" s="14" t="s">
        <v>233</v>
      </c>
      <c r="P1094" s="14" t="s">
        <v>31</v>
      </c>
      <c r="Q1094" s="14" t="s">
        <v>25</v>
      </c>
      <c r="R1094" s="14" t="s">
        <v>234</v>
      </c>
    </row>
    <row r="1095" spans="1:18" s="14" customFormat="1" x14ac:dyDescent="0.25">
      <c r="A1095" s="14" t="str">
        <f>"10001"</f>
        <v>10001</v>
      </c>
      <c r="B1095" s="14" t="str">
        <f>"03094"</f>
        <v>03094</v>
      </c>
      <c r="C1095" s="14" t="str">
        <f>"1400"</f>
        <v>1400</v>
      </c>
      <c r="D1095" s="14" t="str">
        <f>"03094"</f>
        <v>03094</v>
      </c>
      <c r="E1095" s="14" t="s">
        <v>20</v>
      </c>
      <c r="F1095" s="14" t="s">
        <v>240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241</v>
      </c>
      <c r="L1095" s="14" t="s">
        <v>231</v>
      </c>
      <c r="P1095" s="14" t="s">
        <v>31</v>
      </c>
      <c r="Q1095" s="14" t="s">
        <v>25</v>
      </c>
      <c r="R1095" s="14" t="s">
        <v>242</v>
      </c>
    </row>
    <row r="1096" spans="1:18" s="14" customFormat="1" x14ac:dyDescent="0.25">
      <c r="A1096" s="14" t="str">
        <f>"10001"</f>
        <v>10001</v>
      </c>
      <c r="B1096" s="14" t="str">
        <f>"03120"</f>
        <v>03120</v>
      </c>
      <c r="C1096" s="14" t="str">
        <f>"1500"</f>
        <v>1500</v>
      </c>
      <c r="D1096" s="14" t="str">
        <f>"03120"</f>
        <v>03120</v>
      </c>
      <c r="E1096" s="14" t="s">
        <v>20</v>
      </c>
      <c r="F1096" s="14" t="s">
        <v>243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244</v>
      </c>
      <c r="P1096" s="14" t="s">
        <v>31</v>
      </c>
      <c r="Q1096" s="14" t="s">
        <v>25</v>
      </c>
      <c r="R1096" s="14" t="s">
        <v>245</v>
      </c>
    </row>
    <row r="1097" spans="1:18" s="14" customFormat="1" x14ac:dyDescent="0.25">
      <c r="A1097" s="14" t="str">
        <f>"10001"</f>
        <v>10001</v>
      </c>
      <c r="B1097" s="14" t="str">
        <f>"03130"</f>
        <v>03130</v>
      </c>
      <c r="C1097" s="14" t="str">
        <f>"1500"</f>
        <v>1500</v>
      </c>
      <c r="D1097" s="14" t="str">
        <f>"03130"</f>
        <v>03130</v>
      </c>
      <c r="E1097" s="14" t="s">
        <v>20</v>
      </c>
      <c r="F1097" s="14" t="s">
        <v>246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244</v>
      </c>
      <c r="P1097" s="14" t="s">
        <v>31</v>
      </c>
      <c r="Q1097" s="14" t="s">
        <v>25</v>
      </c>
      <c r="R1097" s="14" t="s">
        <v>245</v>
      </c>
    </row>
    <row r="1098" spans="1:18" s="14" customFormat="1" x14ac:dyDescent="0.25">
      <c r="A1098" s="14" t="str">
        <f>"10001"</f>
        <v>10001</v>
      </c>
      <c r="B1098" s="14" t="str">
        <f>"03170"</f>
        <v>03170</v>
      </c>
      <c r="C1098" s="14" t="str">
        <f>"1400"</f>
        <v>1400</v>
      </c>
      <c r="D1098" s="14" t="str">
        <f>"03170"</f>
        <v>03170</v>
      </c>
      <c r="E1098" s="14" t="s">
        <v>20</v>
      </c>
      <c r="F1098" s="14" t="s">
        <v>251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252</v>
      </c>
      <c r="L1098" s="14" t="s">
        <v>253</v>
      </c>
      <c r="P1098" s="14" t="s">
        <v>31</v>
      </c>
      <c r="Q1098" s="14" t="s">
        <v>25</v>
      </c>
      <c r="R1098" s="14" t="s">
        <v>254</v>
      </c>
    </row>
    <row r="1099" spans="1:18" s="14" customFormat="1" x14ac:dyDescent="0.25">
      <c r="A1099" s="14" t="str">
        <f>"10001"</f>
        <v>10001</v>
      </c>
      <c r="B1099" s="14" t="str">
        <f>"03180"</f>
        <v>03180</v>
      </c>
      <c r="C1099" s="14" t="str">
        <f>"1300"</f>
        <v>1300</v>
      </c>
      <c r="D1099" s="14" t="str">
        <f>"03180"</f>
        <v>03180</v>
      </c>
      <c r="E1099" s="14" t="s">
        <v>20</v>
      </c>
      <c r="F1099" s="14" t="s">
        <v>255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252</v>
      </c>
      <c r="L1099" s="14" t="s">
        <v>253</v>
      </c>
      <c r="M1099" s="14" t="s">
        <v>256</v>
      </c>
      <c r="P1099" s="14" t="s">
        <v>31</v>
      </c>
      <c r="Q1099" s="14" t="s">
        <v>25</v>
      </c>
      <c r="R1099" s="14" t="s">
        <v>254</v>
      </c>
    </row>
    <row r="1100" spans="1:18" s="14" customFormat="1" x14ac:dyDescent="0.25">
      <c r="A1100" s="14" t="str">
        <f>"10001"</f>
        <v>10001</v>
      </c>
      <c r="B1100" s="14" t="str">
        <f>"03210"</f>
        <v>03210</v>
      </c>
      <c r="C1100" s="14" t="str">
        <f>"1400"</f>
        <v>1400</v>
      </c>
      <c r="D1100" s="14" t="str">
        <f>"03210"</f>
        <v>03210</v>
      </c>
      <c r="E1100" s="14" t="s">
        <v>20</v>
      </c>
      <c r="F1100" s="14" t="s">
        <v>257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258</v>
      </c>
      <c r="L1100" s="14" t="s">
        <v>28</v>
      </c>
      <c r="P1100" s="14" t="s">
        <v>31</v>
      </c>
      <c r="Q1100" s="14" t="s">
        <v>25</v>
      </c>
      <c r="R1100" s="14" t="s">
        <v>32</v>
      </c>
    </row>
    <row r="1101" spans="1:18" s="14" customFormat="1" x14ac:dyDescent="0.25">
      <c r="A1101" s="14" t="str">
        <f>"10001"</f>
        <v>10001</v>
      </c>
      <c r="B1101" s="14" t="str">
        <f>"03785"</f>
        <v>03785</v>
      </c>
      <c r="C1101" s="14" t="str">
        <f>"1500"</f>
        <v>1500</v>
      </c>
      <c r="D1101" s="14" t="str">
        <f>""</f>
        <v/>
      </c>
      <c r="E1101" s="14" t="s">
        <v>20</v>
      </c>
      <c r="F1101" s="14" t="s">
        <v>309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34</v>
      </c>
      <c r="P1101" s="14" t="s">
        <v>31</v>
      </c>
      <c r="Q1101" s="14" t="s">
        <v>25</v>
      </c>
      <c r="R1101" s="14" t="s">
        <v>35</v>
      </c>
    </row>
    <row r="1102" spans="1:18" s="14" customFormat="1" x14ac:dyDescent="0.25">
      <c r="A1102" s="14" t="str">
        <f>"10001"</f>
        <v>10001</v>
      </c>
      <c r="B1102" s="14" t="str">
        <f>"04000"</f>
        <v>04000</v>
      </c>
      <c r="C1102" s="14" t="str">
        <f>"1400"</f>
        <v>1400</v>
      </c>
      <c r="D1102" s="14" t="str">
        <f>"04000"</f>
        <v>04000</v>
      </c>
      <c r="E1102" s="14" t="s">
        <v>20</v>
      </c>
      <c r="F1102" s="14" t="s">
        <v>359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360</v>
      </c>
      <c r="L1102" s="14" t="s">
        <v>34</v>
      </c>
      <c r="P1102" s="14" t="s">
        <v>31</v>
      </c>
      <c r="Q1102" s="14" t="s">
        <v>25</v>
      </c>
      <c r="R1102" s="14" t="s">
        <v>35</v>
      </c>
    </row>
    <row r="1103" spans="1:18" s="14" customFormat="1" x14ac:dyDescent="0.25">
      <c r="A1103" s="14" t="str">
        <f>"10001"</f>
        <v>10001</v>
      </c>
      <c r="B1103" s="14" t="str">
        <f>"04015"</f>
        <v>04015</v>
      </c>
      <c r="C1103" s="14" t="str">
        <f>"1400"</f>
        <v>1400</v>
      </c>
      <c r="D1103" s="14" t="str">
        <f>"04015"</f>
        <v>04015</v>
      </c>
      <c r="E1103" s="14" t="s">
        <v>20</v>
      </c>
      <c r="F1103" s="14" t="s">
        <v>362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363</v>
      </c>
      <c r="L1103" s="14" t="s">
        <v>360</v>
      </c>
      <c r="P1103" s="14" t="s">
        <v>31</v>
      </c>
      <c r="Q1103" s="14" t="s">
        <v>25</v>
      </c>
      <c r="R1103" s="14" t="s">
        <v>35</v>
      </c>
    </row>
    <row r="1104" spans="1:18" s="14" customFormat="1" x14ac:dyDescent="0.25">
      <c r="A1104" s="14" t="str">
        <f>"10001"</f>
        <v>10001</v>
      </c>
      <c r="B1104" s="14" t="str">
        <f>"05000"</f>
        <v>05000</v>
      </c>
      <c r="C1104" s="14" t="str">
        <f>"1700"</f>
        <v>1700</v>
      </c>
      <c r="D1104" s="14" t="str">
        <f>"05000"</f>
        <v>05000</v>
      </c>
      <c r="E1104" s="14" t="s">
        <v>20</v>
      </c>
      <c r="F1104" s="14" t="s">
        <v>366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47</v>
      </c>
      <c r="L1104" s="14" t="s">
        <v>37</v>
      </c>
      <c r="P1104" s="14" t="s">
        <v>31</v>
      </c>
      <c r="Q1104" s="14" t="s">
        <v>25</v>
      </c>
      <c r="R1104" s="14" t="s">
        <v>367</v>
      </c>
    </row>
    <row r="1105" spans="1:18" s="14" customFormat="1" x14ac:dyDescent="0.25">
      <c r="A1105" s="14" t="str">
        <f>"10001"</f>
        <v>10001</v>
      </c>
      <c r="B1105" s="14" t="str">
        <f>"05001"</f>
        <v>05001</v>
      </c>
      <c r="C1105" s="14" t="str">
        <f>"1700"</f>
        <v>1700</v>
      </c>
      <c r="D1105" s="14" t="str">
        <f>"05001"</f>
        <v>05001</v>
      </c>
      <c r="E1105" s="14" t="s">
        <v>20</v>
      </c>
      <c r="F1105" s="14" t="s">
        <v>368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47</v>
      </c>
      <c r="L1105" s="14" t="s">
        <v>37</v>
      </c>
      <c r="P1105" s="14" t="s">
        <v>31</v>
      </c>
      <c r="Q1105" s="14" t="s">
        <v>25</v>
      </c>
      <c r="R1105" s="14" t="s">
        <v>367</v>
      </c>
    </row>
    <row r="1106" spans="1:18" s="14" customFormat="1" x14ac:dyDescent="0.25">
      <c r="A1106" s="14" t="str">
        <f>"10001"</f>
        <v>10001</v>
      </c>
      <c r="B1106" s="14" t="str">
        <f>"05005"</f>
        <v>05005</v>
      </c>
      <c r="C1106" s="14" t="str">
        <f>"1700"</f>
        <v>1700</v>
      </c>
      <c r="D1106" s="14" t="str">
        <f>"05005"</f>
        <v>05005</v>
      </c>
      <c r="E1106" s="14" t="s">
        <v>20</v>
      </c>
      <c r="F1106" s="14" t="s">
        <v>369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370</v>
      </c>
      <c r="L1106" s="14" t="s">
        <v>47</v>
      </c>
      <c r="P1106" s="14" t="s">
        <v>31</v>
      </c>
      <c r="Q1106" s="14" t="s">
        <v>25</v>
      </c>
      <c r="R1106" s="14" t="s">
        <v>370</v>
      </c>
    </row>
    <row r="1107" spans="1:18" s="14" customFormat="1" x14ac:dyDescent="0.25">
      <c r="A1107" s="14" t="str">
        <f>"10001"</f>
        <v>10001</v>
      </c>
      <c r="B1107" s="14" t="str">
        <f>"05010"</f>
        <v>05010</v>
      </c>
      <c r="C1107" s="14" t="str">
        <f>"1700"</f>
        <v>1700</v>
      </c>
      <c r="D1107" s="14" t="str">
        <f>"05010"</f>
        <v>05010</v>
      </c>
      <c r="E1107" s="14" t="s">
        <v>20</v>
      </c>
      <c r="F1107" s="14" t="s">
        <v>371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372</v>
      </c>
      <c r="L1107" s="14" t="s">
        <v>373</v>
      </c>
      <c r="P1107" s="14" t="s">
        <v>31</v>
      </c>
      <c r="Q1107" s="14" t="s">
        <v>25</v>
      </c>
      <c r="R1107" s="14" t="s">
        <v>372</v>
      </c>
    </row>
    <row r="1108" spans="1:18" s="14" customFormat="1" x14ac:dyDescent="0.25">
      <c r="A1108" s="14" t="str">
        <f>"10001"</f>
        <v>10001</v>
      </c>
      <c r="B1108" s="14" t="str">
        <f>"05020"</f>
        <v>05020</v>
      </c>
      <c r="C1108" s="14" t="str">
        <f>"1700"</f>
        <v>1700</v>
      </c>
      <c r="D1108" s="14" t="str">
        <f>"05020"</f>
        <v>05020</v>
      </c>
      <c r="E1108" s="14" t="s">
        <v>20</v>
      </c>
      <c r="F1108" s="14" t="s">
        <v>374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375</v>
      </c>
      <c r="L1108" s="14" t="s">
        <v>376</v>
      </c>
      <c r="M1108" s="14" t="s">
        <v>377</v>
      </c>
      <c r="N1108" s="14" t="s">
        <v>47</v>
      </c>
      <c r="P1108" s="14" t="s">
        <v>31</v>
      </c>
      <c r="Q1108" s="14" t="s">
        <v>25</v>
      </c>
      <c r="R1108" s="14" t="s">
        <v>377</v>
      </c>
    </row>
    <row r="1109" spans="1:18" s="14" customFormat="1" x14ac:dyDescent="0.25">
      <c r="A1109" s="14" t="str">
        <f>"10001"</f>
        <v>10001</v>
      </c>
      <c r="B1109" s="14" t="str">
        <f>"05030"</f>
        <v>05030</v>
      </c>
      <c r="C1109" s="14" t="str">
        <f>"1700"</f>
        <v>1700</v>
      </c>
      <c r="D1109" s="14" t="str">
        <f>"05030"</f>
        <v>05030</v>
      </c>
      <c r="E1109" s="14" t="s">
        <v>20</v>
      </c>
      <c r="F1109" s="14" t="s">
        <v>378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377</v>
      </c>
      <c r="L1109" s="14" t="s">
        <v>47</v>
      </c>
      <c r="M1109" s="14" t="s">
        <v>370</v>
      </c>
      <c r="P1109" s="14" t="s">
        <v>31</v>
      </c>
      <c r="Q1109" s="14" t="s">
        <v>25</v>
      </c>
      <c r="R1109" s="14" t="s">
        <v>379</v>
      </c>
    </row>
    <row r="1110" spans="1:18" s="14" customFormat="1" x14ac:dyDescent="0.25">
      <c r="A1110" s="14" t="str">
        <f>"10001"</f>
        <v>10001</v>
      </c>
      <c r="B1110" s="14" t="str">
        <f>"05060"</f>
        <v>05060</v>
      </c>
      <c r="C1110" s="14" t="str">
        <f>"1700"</f>
        <v>1700</v>
      </c>
      <c r="D1110" s="14" t="str">
        <f>"05060A"</f>
        <v>05060A</v>
      </c>
      <c r="E1110" s="14" t="s">
        <v>20</v>
      </c>
      <c r="F1110" s="14" t="s">
        <v>380</v>
      </c>
      <c r="G1110" s="14" t="str">
        <f>""</f>
        <v/>
      </c>
      <c r="H1110" s="14" t="str">
        <f>" 10"</f>
        <v xml:space="preserve"> 10</v>
      </c>
      <c r="I1110" s="14">
        <v>0.01</v>
      </c>
      <c r="J1110" s="14">
        <v>500</v>
      </c>
      <c r="K1110" s="14" t="s">
        <v>381</v>
      </c>
      <c r="L1110" s="14" t="s">
        <v>382</v>
      </c>
      <c r="P1110" s="14" t="s">
        <v>31</v>
      </c>
      <c r="Q1110" s="14" t="s">
        <v>25</v>
      </c>
      <c r="R1110" s="14" t="s">
        <v>383</v>
      </c>
    </row>
    <row r="1111" spans="1:18" s="14" customFormat="1" x14ac:dyDescent="0.25">
      <c r="A1111" s="14" t="str">
        <f>"10001"</f>
        <v>10001</v>
      </c>
      <c r="B1111" s="14" t="str">
        <f>"05060"</f>
        <v>05060</v>
      </c>
      <c r="C1111" s="14" t="str">
        <f>"1700"</f>
        <v>1700</v>
      </c>
      <c r="D1111" s="14" t="str">
        <f>"05060A"</f>
        <v>05060A</v>
      </c>
      <c r="E1111" s="14" t="s">
        <v>20</v>
      </c>
      <c r="F1111" s="14" t="s">
        <v>380</v>
      </c>
      <c r="G1111" s="14" t="str">
        <f>""</f>
        <v/>
      </c>
      <c r="H1111" s="14" t="str">
        <f>" 20"</f>
        <v xml:space="preserve"> 20</v>
      </c>
      <c r="I1111" s="14">
        <v>500.01</v>
      </c>
      <c r="J1111" s="14">
        <v>9999999.9900000002</v>
      </c>
      <c r="K1111" s="14" t="s">
        <v>381</v>
      </c>
      <c r="L1111" s="14" t="s">
        <v>47</v>
      </c>
      <c r="M1111" s="14" t="s">
        <v>382</v>
      </c>
      <c r="P1111" s="14" t="s">
        <v>31</v>
      </c>
      <c r="Q1111" s="14" t="s">
        <v>25</v>
      </c>
      <c r="R1111" s="14" t="s">
        <v>383</v>
      </c>
    </row>
    <row r="1112" spans="1:18" s="14" customFormat="1" x14ac:dyDescent="0.25">
      <c r="A1112" s="14" t="str">
        <f>"10001"</f>
        <v>10001</v>
      </c>
      <c r="B1112" s="14" t="str">
        <f>"05070"</f>
        <v>05070</v>
      </c>
      <c r="C1112" s="14" t="str">
        <f>"1700"</f>
        <v>1700</v>
      </c>
      <c r="D1112" s="14" t="str">
        <f>"05070"</f>
        <v>05070</v>
      </c>
      <c r="E1112" s="14" t="s">
        <v>20</v>
      </c>
      <c r="F1112" s="14" t="s">
        <v>384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381</v>
      </c>
      <c r="L1112" s="14" t="s">
        <v>382</v>
      </c>
      <c r="P1112" s="14" t="s">
        <v>31</v>
      </c>
      <c r="Q1112" s="14" t="s">
        <v>25</v>
      </c>
      <c r="R1112" s="14" t="s">
        <v>383</v>
      </c>
    </row>
    <row r="1113" spans="1:18" s="14" customFormat="1" x14ac:dyDescent="0.25">
      <c r="A1113" s="14" t="str">
        <f>"10001"</f>
        <v>10001</v>
      </c>
      <c r="B1113" s="14" t="str">
        <f>"05080"</f>
        <v>05080</v>
      </c>
      <c r="C1113" s="14" t="str">
        <f>"1700"</f>
        <v>1700</v>
      </c>
      <c r="D1113" s="14" t="str">
        <f>"05080"</f>
        <v>05080</v>
      </c>
      <c r="E1113" s="14" t="s">
        <v>20</v>
      </c>
      <c r="F1113" s="14" t="s">
        <v>385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386</v>
      </c>
      <c r="L1113" s="14" t="s">
        <v>47</v>
      </c>
      <c r="M1113" s="14" t="s">
        <v>387</v>
      </c>
      <c r="P1113" s="14" t="s">
        <v>31</v>
      </c>
      <c r="Q1113" s="14" t="s">
        <v>25</v>
      </c>
      <c r="R1113" s="14" t="s">
        <v>388</v>
      </c>
    </row>
    <row r="1114" spans="1:18" s="14" customFormat="1" x14ac:dyDescent="0.25">
      <c r="A1114" s="14" t="str">
        <f>"10001"</f>
        <v>10001</v>
      </c>
      <c r="B1114" s="14" t="str">
        <f>"05090"</f>
        <v>05090</v>
      </c>
      <c r="C1114" s="14" t="str">
        <f>"1700"</f>
        <v>1700</v>
      </c>
      <c r="D1114" s="14" t="str">
        <f>"05090"</f>
        <v>05090</v>
      </c>
      <c r="E1114" s="14" t="s">
        <v>20</v>
      </c>
      <c r="F1114" s="14" t="s">
        <v>389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390</v>
      </c>
      <c r="L1114" s="14" t="s">
        <v>47</v>
      </c>
      <c r="P1114" s="14" t="s">
        <v>31</v>
      </c>
      <c r="Q1114" s="14" t="s">
        <v>25</v>
      </c>
      <c r="R1114" s="14" t="s">
        <v>390</v>
      </c>
    </row>
    <row r="1115" spans="1:18" s="14" customFormat="1" x14ac:dyDescent="0.25">
      <c r="A1115" s="14" t="str">
        <f>"10001"</f>
        <v>10001</v>
      </c>
      <c r="B1115" s="14" t="str">
        <f>"05110"</f>
        <v>05110</v>
      </c>
      <c r="C1115" s="14" t="str">
        <f>"1700"</f>
        <v>1700</v>
      </c>
      <c r="D1115" s="14" t="str">
        <f>"05110"</f>
        <v>05110</v>
      </c>
      <c r="E1115" s="14" t="s">
        <v>20</v>
      </c>
      <c r="F1115" s="14" t="s">
        <v>391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47</v>
      </c>
      <c r="L1115" s="14" t="s">
        <v>392</v>
      </c>
      <c r="P1115" s="14" t="s">
        <v>31</v>
      </c>
      <c r="Q1115" s="14" t="s">
        <v>25</v>
      </c>
      <c r="R1115" s="14" t="s">
        <v>392</v>
      </c>
    </row>
    <row r="1116" spans="1:18" s="14" customFormat="1" x14ac:dyDescent="0.25">
      <c r="A1116" s="14" t="str">
        <f>"10001"</f>
        <v>10001</v>
      </c>
      <c r="B1116" s="14" t="str">
        <f>"05115"</f>
        <v>05115</v>
      </c>
      <c r="C1116" s="14" t="str">
        <f>"1700"</f>
        <v>1700</v>
      </c>
      <c r="D1116" s="14" t="str">
        <f>"05115"</f>
        <v>05115</v>
      </c>
      <c r="E1116" s="14" t="s">
        <v>20</v>
      </c>
      <c r="F1116" s="14" t="s">
        <v>393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394</v>
      </c>
      <c r="L1116" s="14" t="s">
        <v>395</v>
      </c>
      <c r="M1116" s="14" t="s">
        <v>396</v>
      </c>
      <c r="N1116" s="14" t="s">
        <v>90</v>
      </c>
      <c r="P1116" s="14" t="s">
        <v>31</v>
      </c>
      <c r="Q1116" s="14" t="s">
        <v>25</v>
      </c>
      <c r="R1116" s="14" t="s">
        <v>394</v>
      </c>
    </row>
    <row r="1117" spans="1:18" s="14" customFormat="1" x14ac:dyDescent="0.25">
      <c r="A1117" s="14" t="str">
        <f>"10001"</f>
        <v>10001</v>
      </c>
      <c r="B1117" s="14" t="str">
        <f>"05120"</f>
        <v>05120</v>
      </c>
      <c r="C1117" s="14" t="str">
        <f>"1700"</f>
        <v>1700</v>
      </c>
      <c r="D1117" s="14" t="str">
        <f>"05120"</f>
        <v>05120</v>
      </c>
      <c r="E1117" s="14" t="s">
        <v>20</v>
      </c>
      <c r="F1117" s="14" t="s">
        <v>397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395</v>
      </c>
      <c r="L1117" s="14" t="s">
        <v>398</v>
      </c>
      <c r="M1117" s="14" t="s">
        <v>90</v>
      </c>
      <c r="P1117" s="14" t="s">
        <v>31</v>
      </c>
      <c r="Q1117" s="14" t="s">
        <v>25</v>
      </c>
      <c r="R1117" s="14" t="s">
        <v>399</v>
      </c>
    </row>
    <row r="1118" spans="1:18" s="14" customFormat="1" x14ac:dyDescent="0.25">
      <c r="A1118" s="14" t="str">
        <f>"10001"</f>
        <v>10001</v>
      </c>
      <c r="B1118" s="14" t="str">
        <f>"05160"</f>
        <v>05160</v>
      </c>
      <c r="C1118" s="14" t="str">
        <f>"1700"</f>
        <v>1700</v>
      </c>
      <c r="D1118" s="14" t="str">
        <f>"05160"</f>
        <v>05160</v>
      </c>
      <c r="E1118" s="14" t="s">
        <v>20</v>
      </c>
      <c r="F1118" s="14" t="s">
        <v>406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318</v>
      </c>
      <c r="L1118" s="14" t="s">
        <v>319</v>
      </c>
      <c r="M1118" s="14" t="s">
        <v>90</v>
      </c>
      <c r="P1118" s="14" t="s">
        <v>31</v>
      </c>
      <c r="Q1118" s="14" t="s">
        <v>25</v>
      </c>
      <c r="R1118" s="14" t="s">
        <v>318</v>
      </c>
    </row>
    <row r="1119" spans="1:18" s="14" customFormat="1" x14ac:dyDescent="0.25">
      <c r="A1119" s="14" t="str">
        <f>"10001"</f>
        <v>10001</v>
      </c>
      <c r="B1119" s="14" t="str">
        <f>"05500"</f>
        <v>05500</v>
      </c>
      <c r="C1119" s="14" t="str">
        <f>"1700"</f>
        <v>1700</v>
      </c>
      <c r="D1119" s="14" t="str">
        <f>"05500"</f>
        <v>05500</v>
      </c>
      <c r="E1119" s="14" t="s">
        <v>20</v>
      </c>
      <c r="F1119" s="14" t="s">
        <v>407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90</v>
      </c>
      <c r="P1119" s="14" t="s">
        <v>31</v>
      </c>
      <c r="Q1119" s="14" t="s">
        <v>25</v>
      </c>
      <c r="R1119" s="14" t="s">
        <v>408</v>
      </c>
    </row>
    <row r="1120" spans="1:18" s="14" customFormat="1" x14ac:dyDescent="0.25">
      <c r="A1120" s="14" t="str">
        <f>"11001"</f>
        <v>11001</v>
      </c>
      <c r="B1120" s="14" t="str">
        <f>"01400"</f>
        <v>01400</v>
      </c>
      <c r="C1120" s="14" t="str">
        <f>"1300"</f>
        <v>1300</v>
      </c>
      <c r="D1120" s="14" t="str">
        <f>""</f>
        <v/>
      </c>
      <c r="E1120" s="14" t="s">
        <v>435</v>
      </c>
      <c r="F1120" s="14" t="s">
        <v>117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69</v>
      </c>
      <c r="L1120" s="14" t="s">
        <v>70</v>
      </c>
      <c r="M1120" s="14" t="s">
        <v>71</v>
      </c>
      <c r="P1120" s="14" t="s">
        <v>31</v>
      </c>
      <c r="Q1120" s="14" t="s">
        <v>25</v>
      </c>
      <c r="R1120" s="14" t="s">
        <v>72</v>
      </c>
    </row>
    <row r="1121" spans="1:18" s="14" customFormat="1" x14ac:dyDescent="0.25">
      <c r="A1121" s="14" t="str">
        <f>"11006"</f>
        <v>11006</v>
      </c>
      <c r="B1121" s="14" t="str">
        <f>"01480"</f>
        <v>01480</v>
      </c>
      <c r="C1121" s="14" t="str">
        <f>"1300"</f>
        <v>1300</v>
      </c>
      <c r="D1121" s="14" t="str">
        <f>""</f>
        <v/>
      </c>
      <c r="E1121" s="14" t="s">
        <v>440</v>
      </c>
      <c r="F1121" s="14" t="s">
        <v>128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69</v>
      </c>
      <c r="L1121" s="14" t="s">
        <v>70</v>
      </c>
      <c r="M1121" s="14" t="s">
        <v>71</v>
      </c>
      <c r="P1121" s="14" t="s">
        <v>31</v>
      </c>
      <c r="Q1121" s="14" t="s">
        <v>25</v>
      </c>
      <c r="R1121" s="14" t="s">
        <v>72</v>
      </c>
    </row>
    <row r="1122" spans="1:18" s="14" customFormat="1" x14ac:dyDescent="0.25">
      <c r="A1122" s="14" t="str">
        <f>"11007"</f>
        <v>11007</v>
      </c>
      <c r="B1122" s="14" t="str">
        <f>"01410"</f>
        <v>01410</v>
      </c>
      <c r="C1122" s="14" t="str">
        <f>"1300"</f>
        <v>1300</v>
      </c>
      <c r="D1122" s="14" t="str">
        <f>""</f>
        <v/>
      </c>
      <c r="E1122" s="14" t="s">
        <v>441</v>
      </c>
      <c r="F1122" s="14" t="s">
        <v>120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69</v>
      </c>
      <c r="L1122" s="14" t="s">
        <v>70</v>
      </c>
      <c r="M1122" s="14" t="s">
        <v>71</v>
      </c>
      <c r="P1122" s="14" t="s">
        <v>31</v>
      </c>
      <c r="Q1122" s="14" t="s">
        <v>25</v>
      </c>
      <c r="R1122" s="14" t="s">
        <v>72</v>
      </c>
    </row>
    <row r="1123" spans="1:18" s="14" customFormat="1" x14ac:dyDescent="0.25">
      <c r="A1123" s="14" t="str">
        <f>"11009"</f>
        <v>11009</v>
      </c>
      <c r="B1123" s="14" t="str">
        <f>"01450"</f>
        <v>01450</v>
      </c>
      <c r="C1123" s="14" t="str">
        <f>"1300"</f>
        <v>1300</v>
      </c>
      <c r="D1123" s="14" t="str">
        <f>""</f>
        <v/>
      </c>
      <c r="E1123" s="14" t="s">
        <v>443</v>
      </c>
      <c r="F1123" s="14" t="s">
        <v>126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69</v>
      </c>
      <c r="L1123" s="14" t="s">
        <v>70</v>
      </c>
      <c r="M1123" s="14" t="s">
        <v>71</v>
      </c>
      <c r="P1123" s="14" t="s">
        <v>31</v>
      </c>
      <c r="Q1123" s="14" t="s">
        <v>25</v>
      </c>
      <c r="R1123" s="14" t="s">
        <v>72</v>
      </c>
    </row>
    <row r="1124" spans="1:18" s="14" customFormat="1" x14ac:dyDescent="0.25">
      <c r="A1124" s="14" t="str">
        <f>"11010"</f>
        <v>11010</v>
      </c>
      <c r="B1124" s="14" t="str">
        <f>"01530"</f>
        <v>01530</v>
      </c>
      <c r="C1124" s="14" t="str">
        <f>"1100"</f>
        <v>1100</v>
      </c>
      <c r="D1124" s="14" t="str">
        <f>""</f>
        <v/>
      </c>
      <c r="E1124" s="14" t="s">
        <v>444</v>
      </c>
      <c r="F1124" s="14" t="s">
        <v>445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69</v>
      </c>
      <c r="L1124" s="14" t="s">
        <v>70</v>
      </c>
      <c r="M1124" s="14" t="s">
        <v>71</v>
      </c>
      <c r="P1124" s="14" t="s">
        <v>31</v>
      </c>
      <c r="Q1124" s="14" t="s">
        <v>25</v>
      </c>
      <c r="R1124" s="14" t="s">
        <v>72</v>
      </c>
    </row>
    <row r="1125" spans="1:18" s="14" customFormat="1" x14ac:dyDescent="0.25">
      <c r="A1125" s="14" t="str">
        <f>"11033"</f>
        <v>11033</v>
      </c>
      <c r="B1125" s="14" t="str">
        <f>"01400"</f>
        <v>01400</v>
      </c>
      <c r="C1125" s="14" t="str">
        <f>"1300"</f>
        <v>1300</v>
      </c>
      <c r="D1125" s="14" t="str">
        <f>""</f>
        <v/>
      </c>
      <c r="E1125" s="14" t="s">
        <v>466</v>
      </c>
      <c r="F1125" s="14" t="s">
        <v>117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69</v>
      </c>
      <c r="L1125" s="14" t="s">
        <v>70</v>
      </c>
      <c r="M1125" s="14" t="s">
        <v>71</v>
      </c>
      <c r="P1125" s="14" t="s">
        <v>31</v>
      </c>
      <c r="Q1125" s="14" t="s">
        <v>25</v>
      </c>
      <c r="R1125" s="14" t="s">
        <v>467</v>
      </c>
    </row>
    <row r="1126" spans="1:18" s="14" customFormat="1" x14ac:dyDescent="0.25">
      <c r="A1126" s="14" t="str">
        <f>"11048"</f>
        <v>11048</v>
      </c>
      <c r="B1126" s="14" t="str">
        <f>"01370"</f>
        <v>01370</v>
      </c>
      <c r="C1126" s="14" t="str">
        <f>"1300"</f>
        <v>1300</v>
      </c>
      <c r="D1126" s="14" t="str">
        <f>""</f>
        <v/>
      </c>
      <c r="E1126" s="14" t="s">
        <v>482</v>
      </c>
      <c r="F1126" s="14" t="s">
        <v>108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109</v>
      </c>
      <c r="L1126" s="14" t="s">
        <v>69</v>
      </c>
      <c r="M1126" s="14" t="s">
        <v>70</v>
      </c>
      <c r="N1126" s="14" t="s">
        <v>71</v>
      </c>
      <c r="P1126" s="14" t="s">
        <v>31</v>
      </c>
      <c r="Q1126" s="14" t="s">
        <v>25</v>
      </c>
      <c r="R1126" s="14" t="s">
        <v>72</v>
      </c>
    </row>
    <row r="1127" spans="1:18" s="14" customFormat="1" x14ac:dyDescent="0.25">
      <c r="A1127" s="14" t="str">
        <f>"16001"</f>
        <v>16001</v>
      </c>
      <c r="B1127" s="14" t="str">
        <f>"05000"</f>
        <v>05000</v>
      </c>
      <c r="C1127" s="14" t="str">
        <f>"1700"</f>
        <v>1700</v>
      </c>
      <c r="D1127" s="14" t="str">
        <f>"16001"</f>
        <v>16001</v>
      </c>
      <c r="E1127" s="14" t="s">
        <v>520</v>
      </c>
      <c r="F1127" s="14" t="s">
        <v>366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47</v>
      </c>
      <c r="L1127" s="14" t="s">
        <v>37</v>
      </c>
      <c r="P1127" s="14" t="s">
        <v>31</v>
      </c>
      <c r="Q1127" s="14" t="s">
        <v>25</v>
      </c>
      <c r="R1127" s="14" t="s">
        <v>367</v>
      </c>
    </row>
    <row r="1128" spans="1:18" s="14" customFormat="1" x14ac:dyDescent="0.25">
      <c r="A1128" s="14" t="str">
        <f>"16002"</f>
        <v>16002</v>
      </c>
      <c r="B1128" s="14" t="str">
        <f>"05110"</f>
        <v>05110</v>
      </c>
      <c r="C1128" s="14" t="str">
        <f>"1700"</f>
        <v>1700</v>
      </c>
      <c r="D1128" s="14" t="str">
        <f>"16002"</f>
        <v>16002</v>
      </c>
      <c r="E1128" s="14" t="s">
        <v>521</v>
      </c>
      <c r="F1128" s="14" t="s">
        <v>391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392</v>
      </c>
      <c r="L1128" s="14" t="s">
        <v>522</v>
      </c>
      <c r="P1128" s="14" t="s">
        <v>31</v>
      </c>
      <c r="Q1128" s="14" t="s">
        <v>25</v>
      </c>
      <c r="R1128" s="14" t="s">
        <v>392</v>
      </c>
    </row>
    <row r="1129" spans="1:18" s="14" customFormat="1" x14ac:dyDescent="0.25">
      <c r="A1129" s="14" t="str">
        <f>"16004"</f>
        <v>16004</v>
      </c>
      <c r="B1129" s="14" t="str">
        <f>"05030"</f>
        <v>05030</v>
      </c>
      <c r="C1129" s="14" t="str">
        <f>"1700"</f>
        <v>1700</v>
      </c>
      <c r="D1129" s="14" t="str">
        <f>"16004"</f>
        <v>16004</v>
      </c>
      <c r="E1129" s="14" t="s">
        <v>523</v>
      </c>
      <c r="F1129" s="14" t="s">
        <v>378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377</v>
      </c>
      <c r="L1129" s="14" t="s">
        <v>47</v>
      </c>
      <c r="M1129" s="14" t="s">
        <v>370</v>
      </c>
      <c r="P1129" s="14" t="s">
        <v>31</v>
      </c>
      <c r="Q1129" s="14" t="s">
        <v>25</v>
      </c>
      <c r="R1129" s="14" t="s">
        <v>379</v>
      </c>
    </row>
    <row r="1130" spans="1:18" s="14" customFormat="1" x14ac:dyDescent="0.25">
      <c r="A1130" s="14" t="str">
        <f>"16006"</f>
        <v>16006</v>
      </c>
      <c r="B1130" s="14" t="str">
        <f>"05110"</f>
        <v>05110</v>
      </c>
      <c r="C1130" s="14" t="str">
        <f>"1700"</f>
        <v>1700</v>
      </c>
      <c r="D1130" s="14" t="str">
        <f>"16006"</f>
        <v>16006</v>
      </c>
      <c r="E1130" s="14" t="s">
        <v>525</v>
      </c>
      <c r="F1130" s="14" t="s">
        <v>391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392</v>
      </c>
      <c r="L1130" s="14" t="s">
        <v>526</v>
      </c>
      <c r="M1130" s="14" t="s">
        <v>522</v>
      </c>
      <c r="P1130" s="14" t="s">
        <v>31</v>
      </c>
      <c r="Q1130" s="14" t="s">
        <v>25</v>
      </c>
      <c r="R1130" s="14" t="s">
        <v>392</v>
      </c>
    </row>
    <row r="1131" spans="1:18" s="14" customFormat="1" x14ac:dyDescent="0.25">
      <c r="A1131" s="14" t="str">
        <f>"16007"</f>
        <v>16007</v>
      </c>
      <c r="B1131" s="14" t="str">
        <f>"05080"</f>
        <v>05080</v>
      </c>
      <c r="C1131" s="14" t="str">
        <f>"1700"</f>
        <v>1700</v>
      </c>
      <c r="D1131" s="14" t="str">
        <f>"16007"</f>
        <v>16007</v>
      </c>
      <c r="E1131" s="14" t="s">
        <v>385</v>
      </c>
      <c r="F1131" s="14" t="s">
        <v>385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386</v>
      </c>
      <c r="L1131" s="14" t="s">
        <v>47</v>
      </c>
      <c r="M1131" s="14" t="s">
        <v>387</v>
      </c>
      <c r="P1131" s="14" t="s">
        <v>31</v>
      </c>
      <c r="Q1131" s="14" t="s">
        <v>25</v>
      </c>
      <c r="R1131" s="14" t="s">
        <v>388</v>
      </c>
    </row>
    <row r="1132" spans="1:18" s="14" customFormat="1" x14ac:dyDescent="0.25">
      <c r="A1132" s="14" t="str">
        <f>"16008"</f>
        <v>16008</v>
      </c>
      <c r="B1132" s="14" t="str">
        <f>"05080"</f>
        <v>05080</v>
      </c>
      <c r="C1132" s="14" t="str">
        <f>"1700"</f>
        <v>1700</v>
      </c>
      <c r="D1132" s="14" t="str">
        <f>"16008"</f>
        <v>16008</v>
      </c>
      <c r="E1132" s="14" t="s">
        <v>527</v>
      </c>
      <c r="F1132" s="14" t="s">
        <v>385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386</v>
      </c>
      <c r="L1132" s="14" t="s">
        <v>47</v>
      </c>
      <c r="M1132" s="14" t="s">
        <v>387</v>
      </c>
      <c r="P1132" s="14" t="s">
        <v>31</v>
      </c>
      <c r="Q1132" s="14" t="s">
        <v>25</v>
      </c>
      <c r="R1132" s="14" t="s">
        <v>388</v>
      </c>
    </row>
    <row r="1133" spans="1:18" s="14" customFormat="1" x14ac:dyDescent="0.25">
      <c r="A1133" s="14" t="str">
        <f>"16009"</f>
        <v>16009</v>
      </c>
      <c r="B1133" s="14" t="str">
        <f>"05110"</f>
        <v>05110</v>
      </c>
      <c r="C1133" s="14" t="str">
        <f>"1700"</f>
        <v>1700</v>
      </c>
      <c r="D1133" s="14" t="str">
        <f>"16009"</f>
        <v>16009</v>
      </c>
      <c r="E1133" s="14" t="s">
        <v>528</v>
      </c>
      <c r="F1133" s="14" t="s">
        <v>391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392</v>
      </c>
      <c r="L1133" s="14" t="s">
        <v>526</v>
      </c>
      <c r="M1133" s="14" t="s">
        <v>522</v>
      </c>
      <c r="P1133" s="14" t="s">
        <v>31</v>
      </c>
      <c r="Q1133" s="14" t="s">
        <v>25</v>
      </c>
      <c r="R1133" s="14" t="s">
        <v>392</v>
      </c>
    </row>
    <row r="1134" spans="1:18" s="14" customFormat="1" x14ac:dyDescent="0.25">
      <c r="A1134" s="14" t="str">
        <f>"16010"</f>
        <v>16010</v>
      </c>
      <c r="B1134" s="14" t="str">
        <f>"05115"</f>
        <v>05115</v>
      </c>
      <c r="C1134" s="14" t="str">
        <f>"1700"</f>
        <v>1700</v>
      </c>
      <c r="D1134" s="14" t="str">
        <f>"16010"</f>
        <v>16010</v>
      </c>
      <c r="E1134" s="14" t="s">
        <v>529</v>
      </c>
      <c r="F1134" s="14" t="s">
        <v>393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394</v>
      </c>
      <c r="L1134" s="14" t="s">
        <v>395</v>
      </c>
      <c r="M1134" s="14" t="s">
        <v>396</v>
      </c>
      <c r="N1134" s="14" t="s">
        <v>90</v>
      </c>
      <c r="P1134" s="14" t="s">
        <v>31</v>
      </c>
      <c r="Q1134" s="14" t="s">
        <v>25</v>
      </c>
      <c r="R1134" s="14" t="s">
        <v>394</v>
      </c>
    </row>
    <row r="1135" spans="1:18" s="14" customFormat="1" x14ac:dyDescent="0.25">
      <c r="A1135" s="14" t="str">
        <f>"16011"</f>
        <v>16011</v>
      </c>
      <c r="B1135" s="14" t="str">
        <f>"05110"</f>
        <v>05110</v>
      </c>
      <c r="C1135" s="14" t="str">
        <f>"1700"</f>
        <v>1700</v>
      </c>
      <c r="D1135" s="14" t="str">
        <f>"16011"</f>
        <v>16011</v>
      </c>
      <c r="E1135" s="14" t="s">
        <v>530</v>
      </c>
      <c r="F1135" s="14" t="s">
        <v>391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392</v>
      </c>
      <c r="L1135" s="14" t="s">
        <v>522</v>
      </c>
      <c r="P1135" s="14" t="s">
        <v>31</v>
      </c>
      <c r="Q1135" s="14" t="s">
        <v>25</v>
      </c>
      <c r="R1135" s="14" t="s">
        <v>392</v>
      </c>
    </row>
    <row r="1136" spans="1:18" s="14" customFormat="1" x14ac:dyDescent="0.25">
      <c r="A1136" s="14" t="str">
        <f>"16012"</f>
        <v>16012</v>
      </c>
      <c r="B1136" s="14" t="str">
        <f>"05030"</f>
        <v>05030</v>
      </c>
      <c r="C1136" s="14" t="str">
        <f>"1700"</f>
        <v>1700</v>
      </c>
      <c r="D1136" s="14" t="str">
        <f>"16012"</f>
        <v>16012</v>
      </c>
      <c r="E1136" s="14" t="s">
        <v>531</v>
      </c>
      <c r="F1136" s="14" t="s">
        <v>378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377</v>
      </c>
      <c r="L1136" s="14" t="s">
        <v>47</v>
      </c>
      <c r="M1136" s="14" t="s">
        <v>370</v>
      </c>
      <c r="P1136" s="14" t="s">
        <v>31</v>
      </c>
      <c r="Q1136" s="14" t="s">
        <v>25</v>
      </c>
      <c r="R1136" s="14" t="s">
        <v>532</v>
      </c>
    </row>
    <row r="1137" spans="1:18" s="14" customFormat="1" x14ac:dyDescent="0.25">
      <c r="A1137" s="14" t="str">
        <f>"16014"</f>
        <v>16014</v>
      </c>
      <c r="B1137" s="14" t="str">
        <f>"05100"</f>
        <v>05100</v>
      </c>
      <c r="C1137" s="14" t="str">
        <f>"1700"</f>
        <v>1700</v>
      </c>
      <c r="D1137" s="14" t="str">
        <f>"16014"</f>
        <v>16014</v>
      </c>
      <c r="E1137" s="14" t="s">
        <v>533</v>
      </c>
      <c r="F1137" s="14" t="s">
        <v>534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47</v>
      </c>
      <c r="L1137" s="14" t="s">
        <v>377</v>
      </c>
      <c r="P1137" s="14" t="s">
        <v>31</v>
      </c>
      <c r="Q1137" s="14" t="s">
        <v>25</v>
      </c>
      <c r="R1137" s="14" t="s">
        <v>377</v>
      </c>
    </row>
    <row r="1138" spans="1:18" s="14" customFormat="1" x14ac:dyDescent="0.25">
      <c r="A1138" s="14" t="str">
        <f>"16015"</f>
        <v>16015</v>
      </c>
      <c r="B1138" s="14" t="str">
        <f>"05100"</f>
        <v>05100</v>
      </c>
      <c r="C1138" s="14" t="str">
        <f>"1700"</f>
        <v>1700</v>
      </c>
      <c r="D1138" s="14" t="str">
        <f>"16015"</f>
        <v>16015</v>
      </c>
      <c r="E1138" s="14" t="s">
        <v>535</v>
      </c>
      <c r="F1138" s="14" t="s">
        <v>534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47</v>
      </c>
      <c r="L1138" s="14" t="s">
        <v>377</v>
      </c>
      <c r="M1138" s="14" t="s">
        <v>536</v>
      </c>
      <c r="P1138" s="14" t="s">
        <v>31</v>
      </c>
      <c r="Q1138" s="14" t="s">
        <v>25</v>
      </c>
      <c r="R1138" s="14" t="s">
        <v>367</v>
      </c>
    </row>
    <row r="1139" spans="1:18" s="14" customFormat="1" x14ac:dyDescent="0.25">
      <c r="A1139" s="14" t="str">
        <f>"16017"</f>
        <v>16017</v>
      </c>
      <c r="B1139" s="14" t="str">
        <f>"05115"</f>
        <v>05115</v>
      </c>
      <c r="C1139" s="14" t="str">
        <f>"1700"</f>
        <v>1700</v>
      </c>
      <c r="D1139" s="14" t="str">
        <f>"16017"</f>
        <v>16017</v>
      </c>
      <c r="E1139" s="14" t="s">
        <v>537</v>
      </c>
      <c r="F1139" s="14" t="s">
        <v>393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394</v>
      </c>
      <c r="L1139" s="14" t="s">
        <v>395</v>
      </c>
      <c r="M1139" s="14" t="s">
        <v>396</v>
      </c>
      <c r="N1139" s="14" t="s">
        <v>90</v>
      </c>
      <c r="P1139" s="14" t="s">
        <v>31</v>
      </c>
      <c r="Q1139" s="14" t="s">
        <v>25</v>
      </c>
      <c r="R1139" s="14" t="s">
        <v>394</v>
      </c>
    </row>
    <row r="1140" spans="1:18" s="14" customFormat="1" x14ac:dyDescent="0.25">
      <c r="A1140" s="14" t="str">
        <f>"16047"</f>
        <v>16047</v>
      </c>
      <c r="B1140" s="14" t="str">
        <f>"05000"</f>
        <v>05000</v>
      </c>
      <c r="C1140" s="14" t="str">
        <f>"1700"</f>
        <v>1700</v>
      </c>
      <c r="D1140" s="14" t="str">
        <f>"16047"</f>
        <v>16047</v>
      </c>
      <c r="E1140" s="14" t="s">
        <v>561</v>
      </c>
      <c r="F1140" s="14" t="s">
        <v>366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47</v>
      </c>
      <c r="L1140" s="14" t="s">
        <v>37</v>
      </c>
      <c r="P1140" s="14" t="s">
        <v>31</v>
      </c>
      <c r="Q1140" s="14" t="s">
        <v>25</v>
      </c>
      <c r="R1140" s="14" t="s">
        <v>367</v>
      </c>
    </row>
    <row r="1141" spans="1:18" s="14" customFormat="1" x14ac:dyDescent="0.25">
      <c r="A1141" s="14" t="str">
        <f>"16048"</f>
        <v>16048</v>
      </c>
      <c r="B1141" s="14" t="str">
        <f>"05050"</f>
        <v>05050</v>
      </c>
      <c r="C1141" s="14" t="str">
        <f>"1700"</f>
        <v>1700</v>
      </c>
      <c r="D1141" s="14" t="str">
        <f>"16048"</f>
        <v>16048</v>
      </c>
      <c r="E1141" s="14" t="s">
        <v>562</v>
      </c>
      <c r="F1141" s="14" t="s">
        <v>563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381</v>
      </c>
      <c r="L1141" s="14" t="s">
        <v>382</v>
      </c>
      <c r="P1141" s="14" t="s">
        <v>31</v>
      </c>
      <c r="Q1141" s="14" t="s">
        <v>25</v>
      </c>
      <c r="R1141" s="14" t="s">
        <v>383</v>
      </c>
    </row>
    <row r="1142" spans="1:18" s="14" customFormat="1" x14ac:dyDescent="0.25">
      <c r="A1142" s="14" t="str">
        <f>"16052"</f>
        <v>16052</v>
      </c>
      <c r="B1142" s="14" t="str">
        <f>"05060"</f>
        <v>05060</v>
      </c>
      <c r="C1142" s="14" t="str">
        <f>"1700"</f>
        <v>1700</v>
      </c>
      <c r="D1142" s="14" t="str">
        <f>"05060B"</f>
        <v>05060B</v>
      </c>
      <c r="E1142" s="14" t="s">
        <v>567</v>
      </c>
      <c r="F1142" s="14" t="s">
        <v>380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382</v>
      </c>
      <c r="L1142" s="14" t="s">
        <v>381</v>
      </c>
      <c r="P1142" s="14" t="s">
        <v>31</v>
      </c>
      <c r="Q1142" s="14" t="s">
        <v>25</v>
      </c>
      <c r="R1142" s="14" t="s">
        <v>383</v>
      </c>
    </row>
    <row r="1143" spans="1:18" s="14" customFormat="1" x14ac:dyDescent="0.25">
      <c r="A1143" s="14" t="str">
        <f>"16052"</f>
        <v>16052</v>
      </c>
      <c r="B1143" s="14" t="str">
        <f>"05061"</f>
        <v>05061</v>
      </c>
      <c r="C1143" s="14" t="str">
        <f>"1700"</f>
        <v>1700</v>
      </c>
      <c r="D1143" s="14" t="str">
        <f>"05061"</f>
        <v>05061</v>
      </c>
      <c r="E1143" s="14" t="s">
        <v>567</v>
      </c>
      <c r="F1143" s="14" t="s">
        <v>568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382</v>
      </c>
      <c r="L1143" s="14" t="s">
        <v>381</v>
      </c>
      <c r="P1143" s="14" t="s">
        <v>31</v>
      </c>
      <c r="Q1143" s="14" t="s">
        <v>25</v>
      </c>
      <c r="R1143" s="14" t="s">
        <v>383</v>
      </c>
    </row>
    <row r="1144" spans="1:18" s="14" customFormat="1" x14ac:dyDescent="0.25">
      <c r="A1144" s="14" t="str">
        <f>"16053"</f>
        <v>16053</v>
      </c>
      <c r="B1144" s="14" t="str">
        <f>"05060"</f>
        <v>05060</v>
      </c>
      <c r="C1144" s="14" t="str">
        <f>"1700"</f>
        <v>1700</v>
      </c>
      <c r="D1144" s="14" t="str">
        <f>"16053"</f>
        <v>16053</v>
      </c>
      <c r="E1144" s="14" t="s">
        <v>569</v>
      </c>
      <c r="F1144" s="14" t="s">
        <v>380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382</v>
      </c>
      <c r="L1144" s="14" t="s">
        <v>381</v>
      </c>
      <c r="P1144" s="14" t="s">
        <v>31</v>
      </c>
      <c r="Q1144" s="14" t="s">
        <v>25</v>
      </c>
      <c r="R1144" s="14" t="s">
        <v>383</v>
      </c>
    </row>
    <row r="1145" spans="1:18" s="14" customFormat="1" x14ac:dyDescent="0.25">
      <c r="A1145" s="14" t="str">
        <f>"16057"</f>
        <v>16057</v>
      </c>
      <c r="B1145" s="14" t="str">
        <f>"05110"</f>
        <v>05110</v>
      </c>
      <c r="C1145" s="14" t="str">
        <f>"1700"</f>
        <v>1700</v>
      </c>
      <c r="D1145" s="14" t="str">
        <f>"16057"</f>
        <v>16057</v>
      </c>
      <c r="E1145" s="14" t="s">
        <v>571</v>
      </c>
      <c r="F1145" s="14" t="s">
        <v>391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47</v>
      </c>
      <c r="L1145" s="14" t="s">
        <v>392</v>
      </c>
      <c r="P1145" s="14" t="s">
        <v>31</v>
      </c>
      <c r="Q1145" s="14" t="s">
        <v>25</v>
      </c>
      <c r="R1145" s="14" t="s">
        <v>392</v>
      </c>
    </row>
    <row r="1146" spans="1:18" s="14" customFormat="1" x14ac:dyDescent="0.25">
      <c r="A1146" s="14" t="str">
        <f>"16058"</f>
        <v>16058</v>
      </c>
      <c r="B1146" s="14" t="str">
        <f>"05110"</f>
        <v>05110</v>
      </c>
      <c r="C1146" s="14" t="str">
        <f>"1700"</f>
        <v>1700</v>
      </c>
      <c r="D1146" s="14" t="str">
        <f>"16058"</f>
        <v>16058</v>
      </c>
      <c r="E1146" s="14" t="s">
        <v>572</v>
      </c>
      <c r="F1146" s="14" t="s">
        <v>391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392</v>
      </c>
      <c r="L1146" s="14" t="s">
        <v>522</v>
      </c>
      <c r="P1146" s="14" t="s">
        <v>31</v>
      </c>
      <c r="Q1146" s="14" t="s">
        <v>25</v>
      </c>
      <c r="R1146" s="14" t="s">
        <v>392</v>
      </c>
    </row>
    <row r="1147" spans="1:18" s="14" customFormat="1" x14ac:dyDescent="0.25">
      <c r="A1147" s="14" t="str">
        <f>"16059"</f>
        <v>16059</v>
      </c>
      <c r="B1147" s="14" t="str">
        <f>"05000"</f>
        <v>05000</v>
      </c>
      <c r="C1147" s="14" t="str">
        <f>"1700"</f>
        <v>1700</v>
      </c>
      <c r="D1147" s="14" t="str">
        <f>"16059"</f>
        <v>16059</v>
      </c>
      <c r="E1147" s="14" t="s">
        <v>573</v>
      </c>
      <c r="F1147" s="14" t="s">
        <v>366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47</v>
      </c>
      <c r="L1147" s="14" t="s">
        <v>377</v>
      </c>
      <c r="P1147" s="14" t="s">
        <v>31</v>
      </c>
      <c r="Q1147" s="14" t="s">
        <v>25</v>
      </c>
      <c r="R1147" s="14" t="s">
        <v>377</v>
      </c>
    </row>
    <row r="1148" spans="1:18" s="14" customFormat="1" x14ac:dyDescent="0.25">
      <c r="A1148" s="14" t="str">
        <f>"16060"</f>
        <v>16060</v>
      </c>
      <c r="B1148" s="14" t="str">
        <f>"05050"</f>
        <v>05050</v>
      </c>
      <c r="C1148" s="14" t="str">
        <f>"1700"</f>
        <v>1700</v>
      </c>
      <c r="D1148" s="14" t="str">
        <f>"16060"</f>
        <v>16060</v>
      </c>
      <c r="E1148" s="14" t="s">
        <v>574</v>
      </c>
      <c r="F1148" s="14" t="s">
        <v>563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381</v>
      </c>
      <c r="L1148" s="14" t="s">
        <v>382</v>
      </c>
      <c r="P1148" s="14" t="s">
        <v>31</v>
      </c>
      <c r="Q1148" s="14" t="s">
        <v>25</v>
      </c>
      <c r="R1148" s="14" t="s">
        <v>383</v>
      </c>
    </row>
    <row r="1149" spans="1:18" s="14" customFormat="1" x14ac:dyDescent="0.25">
      <c r="A1149" s="14" t="str">
        <f>"16061"</f>
        <v>16061</v>
      </c>
      <c r="B1149" s="14" t="str">
        <f>"05080"</f>
        <v>05080</v>
      </c>
      <c r="C1149" s="14" t="str">
        <f>"1700"</f>
        <v>1700</v>
      </c>
      <c r="D1149" s="14" t="str">
        <f>"16061"</f>
        <v>16061</v>
      </c>
      <c r="E1149" s="14" t="s">
        <v>575</v>
      </c>
      <c r="F1149" s="14" t="s">
        <v>385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386</v>
      </c>
      <c r="L1149" s="14" t="s">
        <v>47</v>
      </c>
      <c r="M1149" s="14" t="s">
        <v>387</v>
      </c>
      <c r="P1149" s="14" t="s">
        <v>31</v>
      </c>
      <c r="Q1149" s="14" t="s">
        <v>25</v>
      </c>
      <c r="R1149" s="14" t="s">
        <v>388</v>
      </c>
    </row>
    <row r="1150" spans="1:18" s="14" customFormat="1" x14ac:dyDescent="0.25">
      <c r="A1150" s="14" t="str">
        <f>"16062"</f>
        <v>16062</v>
      </c>
      <c r="B1150" s="14" t="str">
        <f>"03050"</f>
        <v>03050</v>
      </c>
      <c r="C1150" s="14" t="str">
        <f>"1700"</f>
        <v>1700</v>
      </c>
      <c r="D1150" s="14" t="str">
        <f>"16062"</f>
        <v>16062</v>
      </c>
      <c r="E1150" s="14" t="s">
        <v>576</v>
      </c>
      <c r="F1150" s="14" t="s">
        <v>225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226</v>
      </c>
      <c r="L1150" s="14" t="s">
        <v>228</v>
      </c>
      <c r="P1150" s="14" t="s">
        <v>31</v>
      </c>
      <c r="Q1150" s="14" t="s">
        <v>25</v>
      </c>
      <c r="R1150" s="14" t="s">
        <v>229</v>
      </c>
    </row>
    <row r="1151" spans="1:18" s="14" customFormat="1" x14ac:dyDescent="0.25">
      <c r="A1151" s="14" t="str">
        <f>"16063"</f>
        <v>16063</v>
      </c>
      <c r="B1151" s="14" t="str">
        <f>"05000"</f>
        <v>05000</v>
      </c>
      <c r="C1151" s="14" t="str">
        <f>"1700"</f>
        <v>1700</v>
      </c>
      <c r="D1151" s="14" t="str">
        <f>""</f>
        <v/>
      </c>
      <c r="E1151" s="14" t="s">
        <v>577</v>
      </c>
      <c r="F1151" s="14" t="s">
        <v>366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47</v>
      </c>
      <c r="L1151" s="14" t="s">
        <v>37</v>
      </c>
      <c r="P1151" s="14" t="s">
        <v>31</v>
      </c>
      <c r="Q1151" s="14" t="s">
        <v>25</v>
      </c>
      <c r="R1151" s="14" t="s">
        <v>367</v>
      </c>
    </row>
    <row r="1152" spans="1:18" s="14" customFormat="1" x14ac:dyDescent="0.25">
      <c r="A1152" s="14" t="str">
        <f>"17292"</f>
        <v>17292</v>
      </c>
      <c r="B1152" s="14" t="str">
        <f>"01160"</f>
        <v>01160</v>
      </c>
      <c r="C1152" s="14" t="str">
        <f>"1600"</f>
        <v>1600</v>
      </c>
      <c r="D1152" s="14" t="str">
        <f>"17292"</f>
        <v>17292</v>
      </c>
      <c r="E1152" s="14" t="s">
        <v>583</v>
      </c>
      <c r="F1152" s="14" t="s">
        <v>63</v>
      </c>
      <c r="G1152" s="14" t="str">
        <f>"GR0017292"</f>
        <v>GR0017292</v>
      </c>
      <c r="H1152" s="14" t="str">
        <f>" 10"</f>
        <v xml:space="preserve"> 10</v>
      </c>
      <c r="I1152" s="14">
        <v>0.01</v>
      </c>
      <c r="J1152" s="14">
        <v>500</v>
      </c>
      <c r="K1152" s="14" t="s">
        <v>64</v>
      </c>
      <c r="P1152" s="14" t="s">
        <v>31</v>
      </c>
      <c r="Q1152" s="14" t="s">
        <v>31</v>
      </c>
      <c r="R1152" s="14" t="s">
        <v>55</v>
      </c>
    </row>
    <row r="1153" spans="1:18" s="14" customFormat="1" x14ac:dyDescent="0.25">
      <c r="A1153" s="14" t="str">
        <f>"17292"</f>
        <v>17292</v>
      </c>
      <c r="B1153" s="14" t="str">
        <f>"01160"</f>
        <v>01160</v>
      </c>
      <c r="C1153" s="14" t="str">
        <f>"1600"</f>
        <v>1600</v>
      </c>
      <c r="D1153" s="14" t="str">
        <f>"17292"</f>
        <v>17292</v>
      </c>
      <c r="E1153" s="14" t="s">
        <v>583</v>
      </c>
      <c r="F1153" s="14" t="s">
        <v>63</v>
      </c>
      <c r="G1153" s="14" t="str">
        <f>"GR0017292"</f>
        <v>GR0017292</v>
      </c>
      <c r="H1153" s="14" t="str">
        <f>" 20"</f>
        <v xml:space="preserve"> 20</v>
      </c>
      <c r="I1153" s="14">
        <v>500.01</v>
      </c>
      <c r="J1153" s="14">
        <v>9999999.9900000002</v>
      </c>
      <c r="K1153" s="14" t="s">
        <v>55</v>
      </c>
      <c r="L1153" s="14" t="s">
        <v>53</v>
      </c>
      <c r="M1153" s="14" t="s">
        <v>54</v>
      </c>
      <c r="P1153" s="14" t="s">
        <v>31</v>
      </c>
      <c r="Q1153" s="14" t="s">
        <v>31</v>
      </c>
      <c r="R1153" s="14" t="s">
        <v>55</v>
      </c>
    </row>
    <row r="1154" spans="1:18" s="14" customFormat="1" x14ac:dyDescent="0.25">
      <c r="A1154" s="14" t="str">
        <f>"18002"</f>
        <v>18002</v>
      </c>
      <c r="B1154" s="14" t="str">
        <f>"02010"</f>
        <v>02010</v>
      </c>
      <c r="C1154" s="14" t="str">
        <f>"1400"</f>
        <v>1400</v>
      </c>
      <c r="D1154" s="14" t="str">
        <f>"18002"</f>
        <v>18002</v>
      </c>
      <c r="E1154" s="14" t="s">
        <v>585</v>
      </c>
      <c r="F1154" s="14" t="s">
        <v>191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192</v>
      </c>
      <c r="L1154" s="14" t="s">
        <v>193</v>
      </c>
      <c r="M1154" s="14" t="s">
        <v>194</v>
      </c>
      <c r="P1154" s="14" t="s">
        <v>31</v>
      </c>
      <c r="Q1154" s="14" t="s">
        <v>25</v>
      </c>
      <c r="R1154" s="14" t="s">
        <v>192</v>
      </c>
    </row>
    <row r="1155" spans="1:18" s="14" customFormat="1" x14ac:dyDescent="0.25">
      <c r="A1155" s="14" t="str">
        <f>"18003"</f>
        <v>18003</v>
      </c>
      <c r="B1155" s="14" t="str">
        <f>"03130"</f>
        <v>03130</v>
      </c>
      <c r="C1155" s="14" t="str">
        <f>"1400"</f>
        <v>1400</v>
      </c>
      <c r="D1155" s="14" t="str">
        <f>"18003"</f>
        <v>18003</v>
      </c>
      <c r="E1155" s="14" t="s">
        <v>586</v>
      </c>
      <c r="F1155" s="14" t="s">
        <v>246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244</v>
      </c>
      <c r="P1155" s="14" t="s">
        <v>31</v>
      </c>
      <c r="Q1155" s="14" t="s">
        <v>25</v>
      </c>
      <c r="R1155" s="14" t="s">
        <v>245</v>
      </c>
    </row>
    <row r="1156" spans="1:18" s="14" customFormat="1" x14ac:dyDescent="0.25">
      <c r="A1156" s="14" t="str">
        <f>"18004"</f>
        <v>18004</v>
      </c>
      <c r="B1156" s="14" t="str">
        <f>"01090"</f>
        <v>01090</v>
      </c>
      <c r="C1156" s="14" t="str">
        <f>"1600"</f>
        <v>1600</v>
      </c>
      <c r="D1156" s="14" t="str">
        <f>"18004"</f>
        <v>18004</v>
      </c>
      <c r="E1156" s="14" t="s">
        <v>587</v>
      </c>
      <c r="F1156" s="14" t="s">
        <v>62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53</v>
      </c>
      <c r="L1156" s="14" t="s">
        <v>54</v>
      </c>
      <c r="M1156" s="14" t="s">
        <v>55</v>
      </c>
      <c r="P1156" s="14" t="s">
        <v>31</v>
      </c>
      <c r="Q1156" s="14" t="s">
        <v>25</v>
      </c>
      <c r="R1156" s="14" t="s">
        <v>54</v>
      </c>
    </row>
    <row r="1157" spans="1:18" s="14" customFormat="1" x14ac:dyDescent="0.25">
      <c r="A1157" s="14" t="str">
        <f>"18005"</f>
        <v>18005</v>
      </c>
      <c r="B1157" s="14" t="str">
        <f>"01160"</f>
        <v>01160</v>
      </c>
      <c r="C1157" s="14" t="str">
        <f>"1600"</f>
        <v>1600</v>
      </c>
      <c r="D1157" s="14" t="str">
        <f>"18005"</f>
        <v>18005</v>
      </c>
      <c r="E1157" s="14" t="s">
        <v>588</v>
      </c>
      <c r="F1157" s="14" t="s">
        <v>63</v>
      </c>
      <c r="G1157" s="14" t="str">
        <f>""</f>
        <v/>
      </c>
      <c r="H1157" s="14" t="str">
        <f>" 10"</f>
        <v xml:space="preserve"> 10</v>
      </c>
      <c r="I1157" s="14">
        <v>0.01</v>
      </c>
      <c r="J1157" s="14">
        <v>500</v>
      </c>
      <c r="K1157" s="14" t="s">
        <v>64</v>
      </c>
      <c r="P1157" s="14" t="s">
        <v>31</v>
      </c>
      <c r="Q1157" s="14" t="s">
        <v>25</v>
      </c>
      <c r="R1157" s="14" t="s">
        <v>55</v>
      </c>
    </row>
    <row r="1158" spans="1:18" s="14" customFormat="1" x14ac:dyDescent="0.25">
      <c r="A1158" s="14" t="str">
        <f>"18005"</f>
        <v>18005</v>
      </c>
      <c r="B1158" s="14" t="str">
        <f>"01160"</f>
        <v>01160</v>
      </c>
      <c r="C1158" s="14" t="str">
        <f>"1600"</f>
        <v>1600</v>
      </c>
      <c r="D1158" s="14" t="str">
        <f>"18005"</f>
        <v>18005</v>
      </c>
      <c r="E1158" s="14" t="s">
        <v>588</v>
      </c>
      <c r="F1158" s="14" t="s">
        <v>63</v>
      </c>
      <c r="G1158" s="14" t="str">
        <f>""</f>
        <v/>
      </c>
      <c r="H1158" s="14" t="str">
        <f>" 20"</f>
        <v xml:space="preserve"> 20</v>
      </c>
      <c r="I1158" s="14">
        <v>500.01</v>
      </c>
      <c r="J1158" s="14">
        <v>9999999.9900000002</v>
      </c>
      <c r="K1158" s="14" t="s">
        <v>55</v>
      </c>
      <c r="L1158" s="14" t="s">
        <v>53</v>
      </c>
      <c r="P1158" s="14" t="s">
        <v>31</v>
      </c>
      <c r="Q1158" s="14" t="s">
        <v>25</v>
      </c>
      <c r="R1158" s="14" t="s">
        <v>55</v>
      </c>
    </row>
    <row r="1159" spans="1:18" s="14" customFormat="1" x14ac:dyDescent="0.25">
      <c r="A1159" s="14" t="str">
        <f>"18007"</f>
        <v>18007</v>
      </c>
      <c r="B1159" s="14" t="str">
        <f>"01090"</f>
        <v>01090</v>
      </c>
      <c r="C1159" s="14" t="str">
        <f>"1100"</f>
        <v>1100</v>
      </c>
      <c r="D1159" s="14" t="str">
        <f>"18007"</f>
        <v>18007</v>
      </c>
      <c r="E1159" s="14" t="s">
        <v>592</v>
      </c>
      <c r="F1159" s="14" t="s">
        <v>62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53</v>
      </c>
      <c r="L1159" s="14" t="s">
        <v>54</v>
      </c>
      <c r="M1159" s="14" t="s">
        <v>55</v>
      </c>
      <c r="P1159" s="14" t="s">
        <v>31</v>
      </c>
      <c r="Q1159" s="14" t="s">
        <v>25</v>
      </c>
      <c r="R1159" s="14" t="s">
        <v>54</v>
      </c>
    </row>
    <row r="1160" spans="1:18" s="14" customFormat="1" x14ac:dyDescent="0.25">
      <c r="A1160" s="14" t="str">
        <f>"18008"</f>
        <v>18008</v>
      </c>
      <c r="B1160" s="14" t="str">
        <f>"01090"</f>
        <v>01090</v>
      </c>
      <c r="C1160" s="14" t="str">
        <f>"1600"</f>
        <v>1600</v>
      </c>
      <c r="D1160" s="14" t="str">
        <f>"18008"</f>
        <v>18008</v>
      </c>
      <c r="E1160" s="14" t="s">
        <v>593</v>
      </c>
      <c r="F1160" s="14" t="s">
        <v>62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53</v>
      </c>
      <c r="L1160" s="14" t="s">
        <v>54</v>
      </c>
      <c r="M1160" s="14" t="s">
        <v>55</v>
      </c>
      <c r="P1160" s="14" t="s">
        <v>31</v>
      </c>
      <c r="Q1160" s="14" t="s">
        <v>25</v>
      </c>
      <c r="R1160" s="14" t="s">
        <v>54</v>
      </c>
    </row>
    <row r="1161" spans="1:18" s="14" customFormat="1" x14ac:dyDescent="0.25">
      <c r="A1161" s="14" t="str">
        <f>"18009"</f>
        <v>18009</v>
      </c>
      <c r="B1161" s="14" t="str">
        <f>"01090"</f>
        <v>01090</v>
      </c>
      <c r="C1161" s="14" t="str">
        <f>"1100"</f>
        <v>1100</v>
      </c>
      <c r="D1161" s="14" t="str">
        <f>"18009"</f>
        <v>18009</v>
      </c>
      <c r="E1161" s="14" t="s">
        <v>594</v>
      </c>
      <c r="F1161" s="14" t="s">
        <v>62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53</v>
      </c>
      <c r="L1161" s="14" t="s">
        <v>54</v>
      </c>
      <c r="M1161" s="14" t="s">
        <v>55</v>
      </c>
      <c r="P1161" s="14" t="s">
        <v>31</v>
      </c>
      <c r="Q1161" s="14" t="s">
        <v>25</v>
      </c>
      <c r="R1161" s="14" t="s">
        <v>54</v>
      </c>
    </row>
    <row r="1162" spans="1:18" s="14" customFormat="1" x14ac:dyDescent="0.25">
      <c r="A1162" s="14" t="str">
        <f>"18013"</f>
        <v>18013</v>
      </c>
      <c r="B1162" s="14" t="str">
        <f>"01400"</f>
        <v>01400</v>
      </c>
      <c r="C1162" s="14" t="str">
        <f>"1600"</f>
        <v>1600</v>
      </c>
      <c r="D1162" s="14" t="str">
        <f>"18013"</f>
        <v>18013</v>
      </c>
      <c r="E1162" s="14" t="s">
        <v>596</v>
      </c>
      <c r="F1162" s="14" t="s">
        <v>117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69</v>
      </c>
      <c r="L1162" s="14" t="s">
        <v>70</v>
      </c>
      <c r="M1162" s="14" t="s">
        <v>71</v>
      </c>
      <c r="P1162" s="14" t="s">
        <v>31</v>
      </c>
      <c r="Q1162" s="14" t="s">
        <v>25</v>
      </c>
      <c r="R1162" s="14" t="s">
        <v>72</v>
      </c>
    </row>
    <row r="1163" spans="1:18" s="14" customFormat="1" x14ac:dyDescent="0.25">
      <c r="A1163" s="14" t="str">
        <f>"18018"</f>
        <v>18018</v>
      </c>
      <c r="B1163" s="14" t="str">
        <f>"01400"</f>
        <v>01400</v>
      </c>
      <c r="C1163" s="14" t="str">
        <f>"1300"</f>
        <v>1300</v>
      </c>
      <c r="D1163" s="14" t="str">
        <f>"18018"</f>
        <v>18018</v>
      </c>
      <c r="E1163" s="14" t="s">
        <v>602</v>
      </c>
      <c r="F1163" s="14" t="s">
        <v>117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69</v>
      </c>
      <c r="L1163" s="14" t="s">
        <v>70</v>
      </c>
      <c r="M1163" s="14" t="s">
        <v>71</v>
      </c>
      <c r="P1163" s="14" t="s">
        <v>31</v>
      </c>
      <c r="Q1163" s="14" t="s">
        <v>25</v>
      </c>
      <c r="R1163" s="14" t="s">
        <v>72</v>
      </c>
    </row>
    <row r="1164" spans="1:18" s="14" customFormat="1" x14ac:dyDescent="0.25">
      <c r="A1164" s="14" t="str">
        <f>"18019"</f>
        <v>18019</v>
      </c>
      <c r="B1164" s="14" t="str">
        <f>"01780"</f>
        <v>01780</v>
      </c>
      <c r="C1164" s="14" t="str">
        <f>"1300"</f>
        <v>1300</v>
      </c>
      <c r="D1164" s="14" t="str">
        <f>"18019"</f>
        <v>18019</v>
      </c>
      <c r="E1164" s="14" t="s">
        <v>603</v>
      </c>
      <c r="F1164" s="14" t="s">
        <v>175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112</v>
      </c>
      <c r="L1164" s="14" t="s">
        <v>113</v>
      </c>
      <c r="M1164" s="14" t="s">
        <v>114</v>
      </c>
      <c r="P1164" s="14" t="s">
        <v>31</v>
      </c>
      <c r="Q1164" s="14" t="s">
        <v>25</v>
      </c>
      <c r="R1164" s="14" t="s">
        <v>115</v>
      </c>
    </row>
    <row r="1165" spans="1:18" s="14" customFormat="1" x14ac:dyDescent="0.25">
      <c r="A1165" s="14" t="str">
        <f>"18032"</f>
        <v>18032</v>
      </c>
      <c r="B1165" s="14" t="str">
        <f>"01400"</f>
        <v>01400</v>
      </c>
      <c r="C1165" s="14" t="str">
        <f>"1300"</f>
        <v>1300</v>
      </c>
      <c r="D1165" s="14" t="str">
        <f>"18032"</f>
        <v>18032</v>
      </c>
      <c r="E1165" s="14" t="s">
        <v>607</v>
      </c>
      <c r="F1165" s="14" t="s">
        <v>117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69</v>
      </c>
      <c r="L1165" s="14" t="s">
        <v>70</v>
      </c>
      <c r="M1165" s="14" t="s">
        <v>71</v>
      </c>
      <c r="P1165" s="14" t="s">
        <v>31</v>
      </c>
      <c r="Q1165" s="14" t="s">
        <v>25</v>
      </c>
      <c r="R1165" s="14" t="s">
        <v>72</v>
      </c>
    </row>
    <row r="1166" spans="1:18" s="14" customFormat="1" x14ac:dyDescent="0.25">
      <c r="A1166" s="14" t="str">
        <f>"18038"</f>
        <v>18038</v>
      </c>
      <c r="B1166" s="14" t="str">
        <f>"03094"</f>
        <v>03094</v>
      </c>
      <c r="C1166" s="14" t="str">
        <f>"1400"</f>
        <v>1400</v>
      </c>
      <c r="D1166" s="14" t="str">
        <f>"18038"</f>
        <v>18038</v>
      </c>
      <c r="E1166" s="14" t="s">
        <v>240</v>
      </c>
      <c r="F1166" s="14" t="s">
        <v>240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241</v>
      </c>
      <c r="L1166" s="14" t="s">
        <v>231</v>
      </c>
      <c r="P1166" s="14" t="s">
        <v>31</v>
      </c>
      <c r="Q1166" s="14" t="s">
        <v>25</v>
      </c>
      <c r="R1166" s="14" t="s">
        <v>242</v>
      </c>
    </row>
    <row r="1167" spans="1:18" s="14" customFormat="1" x14ac:dyDescent="0.25">
      <c r="A1167" s="14" t="str">
        <f>"18039"</f>
        <v>18039</v>
      </c>
      <c r="B1167" s="14" t="str">
        <f>"03170"</f>
        <v>03170</v>
      </c>
      <c r="C1167" s="14" t="str">
        <f>"1400"</f>
        <v>1400</v>
      </c>
      <c r="D1167" s="14" t="str">
        <f>"18039"</f>
        <v>18039</v>
      </c>
      <c r="E1167" s="14" t="s">
        <v>608</v>
      </c>
      <c r="F1167" s="14" t="s">
        <v>251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252</v>
      </c>
      <c r="L1167" s="14" t="s">
        <v>253</v>
      </c>
      <c r="P1167" s="14" t="s">
        <v>31</v>
      </c>
      <c r="Q1167" s="14" t="s">
        <v>25</v>
      </c>
      <c r="R1167" s="14" t="s">
        <v>254</v>
      </c>
    </row>
    <row r="1168" spans="1:18" s="14" customFormat="1" x14ac:dyDescent="0.25">
      <c r="A1168" s="14" t="str">
        <f>"18041"</f>
        <v>18041</v>
      </c>
      <c r="B1168" s="14" t="str">
        <f>"03094"</f>
        <v>03094</v>
      </c>
      <c r="C1168" s="14" t="str">
        <f>"1400"</f>
        <v>1400</v>
      </c>
      <c r="D1168" s="14" t="str">
        <f>"18041"</f>
        <v>18041</v>
      </c>
      <c r="E1168" s="14" t="s">
        <v>609</v>
      </c>
      <c r="F1168" s="14" t="s">
        <v>240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241</v>
      </c>
      <c r="L1168" s="14" t="s">
        <v>231</v>
      </c>
      <c r="P1168" s="14" t="s">
        <v>31</v>
      </c>
      <c r="Q1168" s="14" t="s">
        <v>25</v>
      </c>
      <c r="R1168" s="14" t="s">
        <v>242</v>
      </c>
    </row>
    <row r="1169" spans="1:18" s="14" customFormat="1" x14ac:dyDescent="0.25">
      <c r="A1169" s="14" t="str">
        <f>"18042"</f>
        <v>18042</v>
      </c>
      <c r="B1169" s="14" t="str">
        <f>"03170"</f>
        <v>03170</v>
      </c>
      <c r="C1169" s="14" t="str">
        <f>"1400"</f>
        <v>1400</v>
      </c>
      <c r="D1169" s="14" t="str">
        <f>"18042"</f>
        <v>18042</v>
      </c>
      <c r="E1169" s="14" t="s">
        <v>610</v>
      </c>
      <c r="F1169" s="14" t="s">
        <v>251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252</v>
      </c>
      <c r="L1169" s="14" t="s">
        <v>253</v>
      </c>
      <c r="P1169" s="14" t="s">
        <v>31</v>
      </c>
      <c r="Q1169" s="14" t="s">
        <v>25</v>
      </c>
      <c r="R1169" s="14" t="s">
        <v>254</v>
      </c>
    </row>
    <row r="1170" spans="1:18" s="14" customFormat="1" x14ac:dyDescent="0.25">
      <c r="A1170" s="14" t="str">
        <f>"18048"</f>
        <v>18048</v>
      </c>
      <c r="B1170" s="14" t="str">
        <f>"05115"</f>
        <v>05115</v>
      </c>
      <c r="C1170" s="14" t="str">
        <f>"1700"</f>
        <v>1700</v>
      </c>
      <c r="D1170" s="14" t="str">
        <f>"18048"</f>
        <v>18048</v>
      </c>
      <c r="E1170" s="14" t="s">
        <v>613</v>
      </c>
      <c r="F1170" s="14" t="s">
        <v>393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394</v>
      </c>
      <c r="L1170" s="14" t="s">
        <v>395</v>
      </c>
      <c r="M1170" s="14" t="s">
        <v>396</v>
      </c>
      <c r="N1170" s="14" t="s">
        <v>90</v>
      </c>
      <c r="P1170" s="14" t="s">
        <v>31</v>
      </c>
      <c r="Q1170" s="14" t="s">
        <v>25</v>
      </c>
      <c r="R1170" s="14" t="s">
        <v>394</v>
      </c>
    </row>
    <row r="1171" spans="1:18" s="14" customFormat="1" x14ac:dyDescent="0.25">
      <c r="A1171" s="14" t="str">
        <f>"18056"</f>
        <v>18056</v>
      </c>
      <c r="B1171" s="14" t="str">
        <f>"01780"</f>
        <v>01780</v>
      </c>
      <c r="C1171" s="14" t="str">
        <f>"1600"</f>
        <v>1600</v>
      </c>
      <c r="D1171" s="14" t="str">
        <f>"18056"</f>
        <v>18056</v>
      </c>
      <c r="E1171" s="14" t="s">
        <v>646</v>
      </c>
      <c r="F1171" s="14" t="s">
        <v>175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647</v>
      </c>
      <c r="L1171" s="14" t="s">
        <v>112</v>
      </c>
      <c r="M1171" s="14" t="s">
        <v>113</v>
      </c>
      <c r="N1171" s="14" t="s">
        <v>114</v>
      </c>
      <c r="P1171" s="14" t="s">
        <v>31</v>
      </c>
      <c r="Q1171" s="14" t="s">
        <v>25</v>
      </c>
      <c r="R1171" s="14" t="s">
        <v>115</v>
      </c>
    </row>
    <row r="1172" spans="1:18" s="14" customFormat="1" x14ac:dyDescent="0.25">
      <c r="A1172" s="14" t="str">
        <f>"18057"</f>
        <v>18057</v>
      </c>
      <c r="B1172" s="14" t="str">
        <f>"03000"</f>
        <v>03000</v>
      </c>
      <c r="C1172" s="14" t="str">
        <f>"1400"</f>
        <v>1400</v>
      </c>
      <c r="D1172" s="14" t="str">
        <f>"18057"</f>
        <v>18057</v>
      </c>
      <c r="E1172" s="14" t="s">
        <v>648</v>
      </c>
      <c r="F1172" s="14" t="s">
        <v>217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34</v>
      </c>
      <c r="P1172" s="14" t="s">
        <v>31</v>
      </c>
      <c r="Q1172" s="14" t="s">
        <v>25</v>
      </c>
      <c r="R1172" s="14" t="s">
        <v>35</v>
      </c>
    </row>
    <row r="1173" spans="1:18" s="14" customFormat="1" x14ac:dyDescent="0.25">
      <c r="A1173" s="14" t="str">
        <f>"18061"</f>
        <v>18061</v>
      </c>
      <c r="B1173" s="14" t="str">
        <f>"01200"</f>
        <v>01200</v>
      </c>
      <c r="C1173" s="14" t="str">
        <f>"1800"</f>
        <v>1800</v>
      </c>
      <c r="D1173" s="14" t="str">
        <f>"18061"</f>
        <v>18061</v>
      </c>
      <c r="E1173" s="14" t="s">
        <v>649</v>
      </c>
      <c r="F1173" s="14" t="s">
        <v>68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69</v>
      </c>
      <c r="L1173" s="14" t="s">
        <v>650</v>
      </c>
      <c r="M1173" s="14" t="s">
        <v>70</v>
      </c>
      <c r="N1173" s="14" t="s">
        <v>71</v>
      </c>
      <c r="P1173" s="14" t="s">
        <v>31</v>
      </c>
      <c r="Q1173" s="14" t="s">
        <v>25</v>
      </c>
      <c r="R1173" s="14" t="s">
        <v>650</v>
      </c>
    </row>
    <row r="1174" spans="1:18" s="14" customFormat="1" x14ac:dyDescent="0.25">
      <c r="A1174" s="14" t="str">
        <f>"18063"</f>
        <v>18063</v>
      </c>
      <c r="B1174" s="14" t="str">
        <f>"01370"</f>
        <v>01370</v>
      </c>
      <c r="C1174" s="14" t="str">
        <f>"1300"</f>
        <v>1300</v>
      </c>
      <c r="D1174" s="14" t="str">
        <f>"18063"</f>
        <v>18063</v>
      </c>
      <c r="E1174" s="14" t="s">
        <v>651</v>
      </c>
      <c r="F1174" s="14" t="s">
        <v>108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69</v>
      </c>
      <c r="L1174" s="14" t="s">
        <v>109</v>
      </c>
      <c r="M1174" s="14" t="s">
        <v>70</v>
      </c>
      <c r="N1174" s="14" t="s">
        <v>71</v>
      </c>
      <c r="P1174" s="14" t="s">
        <v>31</v>
      </c>
      <c r="Q1174" s="14" t="s">
        <v>25</v>
      </c>
      <c r="R1174" s="14" t="s">
        <v>109</v>
      </c>
    </row>
    <row r="1175" spans="1:18" s="14" customFormat="1" x14ac:dyDescent="0.25">
      <c r="A1175" s="14" t="str">
        <f>"18064"</f>
        <v>18064</v>
      </c>
      <c r="B1175" s="14" t="str">
        <f>"01160"</f>
        <v>01160</v>
      </c>
      <c r="C1175" s="14" t="str">
        <f>"1100"</f>
        <v>1100</v>
      </c>
      <c r="D1175" s="14" t="str">
        <f>"18064"</f>
        <v>18064</v>
      </c>
      <c r="E1175" s="14" t="s">
        <v>652</v>
      </c>
      <c r="F1175" s="14" t="s">
        <v>63</v>
      </c>
      <c r="G1175" s="14" t="str">
        <f>""</f>
        <v/>
      </c>
      <c r="H1175" s="14" t="str">
        <f>" 10"</f>
        <v xml:space="preserve"> 10</v>
      </c>
      <c r="I1175" s="14">
        <v>0.01</v>
      </c>
      <c r="J1175" s="14">
        <v>500</v>
      </c>
      <c r="K1175" s="14" t="s">
        <v>64</v>
      </c>
      <c r="P1175" s="14" t="s">
        <v>31</v>
      </c>
      <c r="Q1175" s="14" t="s">
        <v>25</v>
      </c>
      <c r="R1175" s="14" t="s">
        <v>55</v>
      </c>
    </row>
    <row r="1176" spans="1:18" s="14" customFormat="1" x14ac:dyDescent="0.25">
      <c r="A1176" s="14" t="str">
        <f>"18064"</f>
        <v>18064</v>
      </c>
      <c r="B1176" s="14" t="str">
        <f>"01160"</f>
        <v>01160</v>
      </c>
      <c r="C1176" s="14" t="str">
        <f>"1100"</f>
        <v>1100</v>
      </c>
      <c r="D1176" s="14" t="str">
        <f>"18064"</f>
        <v>18064</v>
      </c>
      <c r="E1176" s="14" t="s">
        <v>652</v>
      </c>
      <c r="F1176" s="14" t="s">
        <v>63</v>
      </c>
      <c r="G1176" s="14" t="str">
        <f>""</f>
        <v/>
      </c>
      <c r="H1176" s="14" t="str">
        <f>" 20"</f>
        <v xml:space="preserve"> 20</v>
      </c>
      <c r="I1176" s="14">
        <v>500.01</v>
      </c>
      <c r="J1176" s="14">
        <v>9999999.9900000002</v>
      </c>
      <c r="K1176" s="14" t="s">
        <v>55</v>
      </c>
      <c r="L1176" s="14" t="s">
        <v>53</v>
      </c>
      <c r="M1176" s="14" t="s">
        <v>54</v>
      </c>
      <c r="P1176" s="14" t="s">
        <v>31</v>
      </c>
      <c r="Q1176" s="14" t="s">
        <v>25</v>
      </c>
      <c r="R1176" s="14" t="s">
        <v>55</v>
      </c>
    </row>
    <row r="1177" spans="1:18" s="14" customFormat="1" x14ac:dyDescent="0.25">
      <c r="A1177" s="14" t="str">
        <f>"18065"</f>
        <v>18065</v>
      </c>
      <c r="B1177" s="14" t="str">
        <f>"01400"</f>
        <v>01400</v>
      </c>
      <c r="C1177" s="14" t="str">
        <f>"1300"</f>
        <v>1300</v>
      </c>
      <c r="D1177" s="14" t="str">
        <f>"18065"</f>
        <v>18065</v>
      </c>
      <c r="E1177" s="14" t="s">
        <v>653</v>
      </c>
      <c r="F1177" s="14" t="s">
        <v>117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69</v>
      </c>
      <c r="L1177" s="14" t="s">
        <v>70</v>
      </c>
      <c r="M1177" s="14" t="s">
        <v>71</v>
      </c>
      <c r="P1177" s="14" t="s">
        <v>31</v>
      </c>
      <c r="Q1177" s="14" t="s">
        <v>25</v>
      </c>
      <c r="R1177" s="14" t="s">
        <v>72</v>
      </c>
    </row>
    <row r="1178" spans="1:18" s="14" customFormat="1" x14ac:dyDescent="0.25">
      <c r="A1178" s="14" t="str">
        <f>"18071"</f>
        <v>18071</v>
      </c>
      <c r="B1178" s="14" t="str">
        <f>"01030"</f>
        <v>01030</v>
      </c>
      <c r="C1178" s="14" t="str">
        <f>"1600"</f>
        <v>1600</v>
      </c>
      <c r="D1178" s="14" t="str">
        <f>"18071"</f>
        <v>18071</v>
      </c>
      <c r="E1178" s="14" t="s">
        <v>656</v>
      </c>
      <c r="F1178" s="14" t="s">
        <v>52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53</v>
      </c>
      <c r="L1178" s="14" t="s">
        <v>54</v>
      </c>
      <c r="M1178" s="14" t="s">
        <v>55</v>
      </c>
      <c r="P1178" s="14" t="s">
        <v>31</v>
      </c>
      <c r="Q1178" s="14" t="s">
        <v>25</v>
      </c>
      <c r="R1178" s="14" t="s">
        <v>54</v>
      </c>
    </row>
    <row r="1179" spans="1:18" s="14" customFormat="1" x14ac:dyDescent="0.25">
      <c r="A1179" s="14" t="str">
        <f>"18073"</f>
        <v>18073</v>
      </c>
      <c r="B1179" s="14" t="str">
        <f>"01035"</f>
        <v>01035</v>
      </c>
      <c r="C1179" s="14" t="str">
        <f>"1600"</f>
        <v>1600</v>
      </c>
      <c r="D1179" s="14" t="str">
        <f>"18073"</f>
        <v>18073</v>
      </c>
      <c r="E1179" s="14" t="s">
        <v>657</v>
      </c>
      <c r="F1179" s="14" t="s">
        <v>56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53</v>
      </c>
      <c r="L1179" s="14" t="s">
        <v>54</v>
      </c>
      <c r="M1179" s="14" t="s">
        <v>55</v>
      </c>
      <c r="P1179" s="14" t="s">
        <v>31</v>
      </c>
      <c r="Q1179" s="14" t="s">
        <v>25</v>
      </c>
      <c r="R1179" s="14" t="s">
        <v>54</v>
      </c>
    </row>
    <row r="1180" spans="1:18" s="14" customFormat="1" x14ac:dyDescent="0.25">
      <c r="A1180" s="14" t="str">
        <f>"18084"</f>
        <v>18084</v>
      </c>
      <c r="B1180" s="14" t="str">
        <f>"01780"</f>
        <v>01780</v>
      </c>
      <c r="C1180" s="14" t="str">
        <f>"1600"</f>
        <v>1600</v>
      </c>
      <c r="D1180" s="14" t="str">
        <f>"18084"</f>
        <v>18084</v>
      </c>
      <c r="E1180" s="14" t="s">
        <v>664</v>
      </c>
      <c r="F1180" s="14" t="s">
        <v>175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647</v>
      </c>
      <c r="L1180" s="14" t="s">
        <v>112</v>
      </c>
      <c r="M1180" s="14" t="s">
        <v>113</v>
      </c>
      <c r="N1180" s="14" t="s">
        <v>114</v>
      </c>
      <c r="P1180" s="14" t="s">
        <v>31</v>
      </c>
      <c r="Q1180" s="14" t="s">
        <v>25</v>
      </c>
      <c r="R1180" s="14" t="s">
        <v>115</v>
      </c>
    </row>
    <row r="1181" spans="1:18" s="14" customFormat="1" x14ac:dyDescent="0.25">
      <c r="A1181" s="14" t="str">
        <f>"18090"</f>
        <v>18090</v>
      </c>
      <c r="B1181" s="14" t="str">
        <f>"01225"</f>
        <v>01225</v>
      </c>
      <c r="C1181" s="14" t="str">
        <f>"1300"</f>
        <v>1300</v>
      </c>
      <c r="D1181" s="14" t="str">
        <f>"18090"</f>
        <v>18090</v>
      </c>
      <c r="E1181" s="14" t="s">
        <v>665</v>
      </c>
      <c r="F1181" s="14" t="s">
        <v>73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50</v>
      </c>
      <c r="L1181" s="14" t="s">
        <v>37</v>
      </c>
      <c r="P1181" s="14" t="s">
        <v>31</v>
      </c>
      <c r="Q1181" s="14" t="s">
        <v>25</v>
      </c>
      <c r="R1181" s="14" t="s">
        <v>74</v>
      </c>
    </row>
    <row r="1182" spans="1:18" s="14" customFormat="1" x14ac:dyDescent="0.25">
      <c r="A1182" s="14" t="str">
        <f>"18095"</f>
        <v>18095</v>
      </c>
      <c r="B1182" s="14" t="str">
        <f>"01400"</f>
        <v>01400</v>
      </c>
      <c r="C1182" s="14" t="str">
        <f>"1600"</f>
        <v>1600</v>
      </c>
      <c r="D1182" s="14" t="str">
        <f>"18095"</f>
        <v>18095</v>
      </c>
      <c r="E1182" s="14" t="s">
        <v>668</v>
      </c>
      <c r="F1182" s="14" t="s">
        <v>117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69</v>
      </c>
      <c r="L1182" s="14" t="s">
        <v>70</v>
      </c>
      <c r="M1182" s="14" t="s">
        <v>71</v>
      </c>
      <c r="P1182" s="14" t="s">
        <v>31</v>
      </c>
      <c r="Q1182" s="14" t="s">
        <v>25</v>
      </c>
      <c r="R1182" s="14" t="s">
        <v>72</v>
      </c>
    </row>
    <row r="1183" spans="1:18" s="14" customFormat="1" x14ac:dyDescent="0.25">
      <c r="A1183" s="14" t="str">
        <f>"18100"</f>
        <v>18100</v>
      </c>
      <c r="B1183" s="14" t="str">
        <f>"01225"</f>
        <v>01225</v>
      </c>
      <c r="C1183" s="14" t="str">
        <f>"1300"</f>
        <v>1300</v>
      </c>
      <c r="D1183" s="14" t="str">
        <f>"18100"</f>
        <v>18100</v>
      </c>
      <c r="E1183" s="14" t="s">
        <v>669</v>
      </c>
      <c r="F1183" s="14" t="s">
        <v>73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50</v>
      </c>
      <c r="L1183" s="14" t="s">
        <v>37</v>
      </c>
      <c r="P1183" s="14" t="s">
        <v>31</v>
      </c>
      <c r="Q1183" s="14" t="s">
        <v>25</v>
      </c>
      <c r="R1183" s="14" t="s">
        <v>50</v>
      </c>
    </row>
    <row r="1184" spans="1:18" s="14" customFormat="1" x14ac:dyDescent="0.25">
      <c r="A1184" s="14" t="str">
        <f>"18101"</f>
        <v>18101</v>
      </c>
      <c r="B1184" s="14" t="str">
        <f>"02000"</f>
        <v>02000</v>
      </c>
      <c r="C1184" s="14" t="str">
        <f>"1400"</f>
        <v>1400</v>
      </c>
      <c r="D1184" s="14" t="str">
        <f>"18101"</f>
        <v>18101</v>
      </c>
      <c r="E1184" s="14" t="s">
        <v>670</v>
      </c>
      <c r="F1184" s="14" t="s">
        <v>189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28</v>
      </c>
      <c r="L1184" s="14" t="s">
        <v>210</v>
      </c>
      <c r="P1184" s="14" t="s">
        <v>31</v>
      </c>
      <c r="Q1184" s="14" t="s">
        <v>25</v>
      </c>
      <c r="R1184" s="14" t="s">
        <v>32</v>
      </c>
    </row>
    <row r="1185" spans="1:18" s="14" customFormat="1" x14ac:dyDescent="0.25">
      <c r="A1185" s="14" t="str">
        <f>"18103"</f>
        <v>18103</v>
      </c>
      <c r="B1185" s="14" t="str">
        <f>"02040"</f>
        <v>02040</v>
      </c>
      <c r="C1185" s="14" t="str">
        <f>"1600"</f>
        <v>1600</v>
      </c>
      <c r="D1185" s="14" t="str">
        <f>"18103"</f>
        <v>18103</v>
      </c>
      <c r="E1185" s="14" t="s">
        <v>672</v>
      </c>
      <c r="F1185" s="14" t="s">
        <v>195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193</v>
      </c>
      <c r="L1185" s="14" t="s">
        <v>196</v>
      </c>
      <c r="M1185" s="14" t="s">
        <v>25</v>
      </c>
      <c r="P1185" s="14" t="s">
        <v>31</v>
      </c>
      <c r="Q1185" s="14" t="s">
        <v>25</v>
      </c>
      <c r="R1185" s="14" t="s">
        <v>193</v>
      </c>
    </row>
    <row r="1186" spans="1:18" s="14" customFormat="1" x14ac:dyDescent="0.25">
      <c r="A1186" s="14" t="str">
        <f>"18106"</f>
        <v>18106</v>
      </c>
      <c r="B1186" s="14" t="str">
        <f>"00161"</f>
        <v>00161</v>
      </c>
      <c r="C1186" s="14" t="str">
        <f>"1600"</f>
        <v>1600</v>
      </c>
      <c r="D1186" s="14" t="str">
        <f>"00161"</f>
        <v>00161</v>
      </c>
      <c r="E1186" s="14" t="s">
        <v>673</v>
      </c>
      <c r="F1186" s="14" t="s">
        <v>674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25</v>
      </c>
      <c r="L1186" s="14" t="s">
        <v>34</v>
      </c>
      <c r="M1186" s="14" t="s">
        <v>23</v>
      </c>
      <c r="P1186" s="14" t="s">
        <v>31</v>
      </c>
      <c r="Q1186" s="14" t="s">
        <v>25</v>
      </c>
      <c r="R1186" s="14" t="s">
        <v>23</v>
      </c>
    </row>
    <row r="1187" spans="1:18" s="14" customFormat="1" x14ac:dyDescent="0.25">
      <c r="A1187" s="14" t="str">
        <f>"18107"</f>
        <v>18107</v>
      </c>
      <c r="B1187" s="14" t="str">
        <f>"01047"</f>
        <v>01047</v>
      </c>
      <c r="C1187" s="14" t="str">
        <f>"1600"</f>
        <v>1600</v>
      </c>
      <c r="D1187" s="14" t="str">
        <f>"18107"</f>
        <v>18107</v>
      </c>
      <c r="E1187" s="14" t="s">
        <v>675</v>
      </c>
      <c r="F1187" s="14" t="s">
        <v>59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60</v>
      </c>
      <c r="L1187" s="14" t="s">
        <v>661</v>
      </c>
      <c r="P1187" s="14" t="s">
        <v>31</v>
      </c>
      <c r="Q1187" s="14" t="s">
        <v>25</v>
      </c>
      <c r="R1187" s="14" t="s">
        <v>60</v>
      </c>
    </row>
    <row r="1188" spans="1:18" s="14" customFormat="1" x14ac:dyDescent="0.25">
      <c r="A1188" s="14" t="str">
        <f>"18120"</f>
        <v>18120</v>
      </c>
      <c r="B1188" s="14" t="str">
        <f>"05000"</f>
        <v>05000</v>
      </c>
      <c r="C1188" s="14" t="str">
        <f>"1600"</f>
        <v>1600</v>
      </c>
      <c r="D1188" s="14" t="str">
        <f>"18120"</f>
        <v>18120</v>
      </c>
      <c r="E1188" s="14" t="s">
        <v>685</v>
      </c>
      <c r="F1188" s="14" t="s">
        <v>366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47</v>
      </c>
      <c r="L1188" s="14" t="s">
        <v>370</v>
      </c>
      <c r="P1188" s="14" t="s">
        <v>31</v>
      </c>
      <c r="Q1188" s="14" t="s">
        <v>25</v>
      </c>
      <c r="R1188" s="14" t="s">
        <v>367</v>
      </c>
    </row>
    <row r="1189" spans="1:18" s="14" customFormat="1" x14ac:dyDescent="0.25">
      <c r="A1189" s="14" t="str">
        <f>"18125"</f>
        <v>18125</v>
      </c>
      <c r="B1189" s="14" t="str">
        <f>"01620"</f>
        <v>01620</v>
      </c>
      <c r="C1189" s="14" t="str">
        <f>"1600"</f>
        <v>1600</v>
      </c>
      <c r="D1189" s="14" t="str">
        <f>"18125"</f>
        <v>18125</v>
      </c>
      <c r="E1189" s="14" t="s">
        <v>690</v>
      </c>
      <c r="F1189" s="14" t="s">
        <v>140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69</v>
      </c>
      <c r="L1189" s="14" t="s">
        <v>70</v>
      </c>
      <c r="M1189" s="14" t="s">
        <v>71</v>
      </c>
      <c r="N1189" s="14" t="s">
        <v>141</v>
      </c>
      <c r="P1189" s="14" t="s">
        <v>31</v>
      </c>
      <c r="Q1189" s="14" t="s">
        <v>25</v>
      </c>
      <c r="R1189" s="14" t="s">
        <v>72</v>
      </c>
    </row>
    <row r="1190" spans="1:18" s="14" customFormat="1" x14ac:dyDescent="0.25">
      <c r="A1190" s="14" t="str">
        <f>"18127"</f>
        <v>18127</v>
      </c>
      <c r="B1190" s="14" t="str">
        <f>"01580"</f>
        <v>01580</v>
      </c>
      <c r="C1190" s="14" t="str">
        <f>"1300"</f>
        <v>1300</v>
      </c>
      <c r="D1190" s="14" t="str">
        <f>"18127"</f>
        <v>18127</v>
      </c>
      <c r="E1190" s="14" t="s">
        <v>692</v>
      </c>
      <c r="F1190" s="14" t="s">
        <v>137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69</v>
      </c>
      <c r="L1190" s="14" t="s">
        <v>70</v>
      </c>
      <c r="M1190" s="14" t="s">
        <v>71</v>
      </c>
      <c r="P1190" s="14" t="s">
        <v>31</v>
      </c>
      <c r="Q1190" s="14" t="s">
        <v>25</v>
      </c>
      <c r="R1190" s="14" t="s">
        <v>72</v>
      </c>
    </row>
    <row r="1191" spans="1:18" s="14" customFormat="1" x14ac:dyDescent="0.25">
      <c r="A1191" s="14" t="str">
        <f>"18129"</f>
        <v>18129</v>
      </c>
      <c r="B1191" s="14" t="str">
        <f>"01780"</f>
        <v>01780</v>
      </c>
      <c r="C1191" s="14" t="str">
        <f>"1600"</f>
        <v>1600</v>
      </c>
      <c r="D1191" s="14" t="str">
        <f>"18129"</f>
        <v>18129</v>
      </c>
      <c r="E1191" s="14" t="s">
        <v>694</v>
      </c>
      <c r="F1191" s="14" t="s">
        <v>175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112</v>
      </c>
      <c r="L1191" s="14" t="s">
        <v>113</v>
      </c>
      <c r="P1191" s="14" t="s">
        <v>31</v>
      </c>
      <c r="Q1191" s="14" t="s">
        <v>25</v>
      </c>
      <c r="R1191" s="14" t="s">
        <v>115</v>
      </c>
    </row>
    <row r="1192" spans="1:18" s="14" customFormat="1" x14ac:dyDescent="0.25">
      <c r="A1192" s="14" t="str">
        <f>"18131"</f>
        <v>18131</v>
      </c>
      <c r="B1192" s="14" t="str">
        <f>"01400"</f>
        <v>01400</v>
      </c>
      <c r="C1192" s="14" t="str">
        <f>"1600"</f>
        <v>1600</v>
      </c>
      <c r="D1192" s="14" t="str">
        <f>"18131"</f>
        <v>18131</v>
      </c>
      <c r="E1192" s="14" t="s">
        <v>697</v>
      </c>
      <c r="F1192" s="14" t="s">
        <v>117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69</v>
      </c>
      <c r="L1192" s="14" t="s">
        <v>70</v>
      </c>
      <c r="M1192" s="14" t="s">
        <v>71</v>
      </c>
      <c r="P1192" s="14" t="s">
        <v>31</v>
      </c>
      <c r="Q1192" s="14" t="s">
        <v>25</v>
      </c>
      <c r="R1192" s="14" t="s">
        <v>72</v>
      </c>
    </row>
    <row r="1193" spans="1:18" s="14" customFormat="1" x14ac:dyDescent="0.25">
      <c r="A1193" s="14" t="str">
        <f>"18132"</f>
        <v>18132</v>
      </c>
      <c r="B1193" s="14" t="str">
        <f>"01545"</f>
        <v>01545</v>
      </c>
      <c r="C1193" s="14" t="str">
        <f>"1600"</f>
        <v>1600</v>
      </c>
      <c r="D1193" s="14" t="str">
        <f>"18132"</f>
        <v>18132</v>
      </c>
      <c r="E1193" s="14" t="s">
        <v>698</v>
      </c>
      <c r="F1193" s="14" t="s">
        <v>133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69</v>
      </c>
      <c r="L1193" s="14" t="s">
        <v>70</v>
      </c>
      <c r="M1193" s="14" t="s">
        <v>71</v>
      </c>
      <c r="P1193" s="14" t="s">
        <v>31</v>
      </c>
      <c r="Q1193" s="14" t="s">
        <v>25</v>
      </c>
      <c r="R1193" s="14" t="s">
        <v>72</v>
      </c>
    </row>
    <row r="1194" spans="1:18" s="14" customFormat="1" x14ac:dyDescent="0.25">
      <c r="A1194" s="14" t="str">
        <f>"18133"</f>
        <v>18133</v>
      </c>
      <c r="B1194" s="14" t="str">
        <f>"01400"</f>
        <v>01400</v>
      </c>
      <c r="C1194" s="14" t="str">
        <f>"1300"</f>
        <v>1300</v>
      </c>
      <c r="D1194" s="14" t="str">
        <f>"18133"</f>
        <v>18133</v>
      </c>
      <c r="E1194" s="14" t="s">
        <v>699</v>
      </c>
      <c r="F1194" s="14" t="s">
        <v>117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69</v>
      </c>
      <c r="L1194" s="14" t="s">
        <v>70</v>
      </c>
      <c r="M1194" s="14" t="s">
        <v>71</v>
      </c>
      <c r="P1194" s="14" t="s">
        <v>31</v>
      </c>
      <c r="Q1194" s="14" t="s">
        <v>25</v>
      </c>
      <c r="R1194" s="14" t="s">
        <v>72</v>
      </c>
    </row>
    <row r="1195" spans="1:18" s="14" customFormat="1" x14ac:dyDescent="0.25">
      <c r="A1195" s="14" t="str">
        <f>"18602"</f>
        <v>18602</v>
      </c>
      <c r="B1195" s="14" t="str">
        <f>"01545"</f>
        <v>01545</v>
      </c>
      <c r="C1195" s="14" t="str">
        <f>"1800"</f>
        <v>1800</v>
      </c>
      <c r="D1195" s="14" t="str">
        <f>""</f>
        <v/>
      </c>
      <c r="E1195" s="14" t="s">
        <v>737</v>
      </c>
      <c r="F1195" s="14" t="s">
        <v>133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69</v>
      </c>
      <c r="L1195" s="14" t="s">
        <v>70</v>
      </c>
      <c r="M1195" s="14" t="s">
        <v>71</v>
      </c>
      <c r="P1195" s="14" t="s">
        <v>31</v>
      </c>
      <c r="Q1195" s="14" t="s">
        <v>25</v>
      </c>
      <c r="R1195" s="14" t="s">
        <v>72</v>
      </c>
    </row>
    <row r="1196" spans="1:18" s="14" customFormat="1" x14ac:dyDescent="0.25">
      <c r="A1196" s="14" t="str">
        <f>"18608"</f>
        <v>18608</v>
      </c>
      <c r="B1196" s="14" t="str">
        <f>"05080"</f>
        <v>05080</v>
      </c>
      <c r="C1196" s="14" t="str">
        <f>"1800"</f>
        <v>1800</v>
      </c>
      <c r="D1196" s="14" t="str">
        <f>""</f>
        <v/>
      </c>
      <c r="E1196" s="14" t="s">
        <v>741</v>
      </c>
      <c r="F1196" s="14" t="s">
        <v>385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386</v>
      </c>
      <c r="L1196" s="14" t="s">
        <v>47</v>
      </c>
      <c r="M1196" s="14" t="s">
        <v>387</v>
      </c>
      <c r="P1196" s="14" t="s">
        <v>31</v>
      </c>
      <c r="Q1196" s="14" t="s">
        <v>25</v>
      </c>
      <c r="R1196" s="14" t="s">
        <v>388</v>
      </c>
    </row>
    <row r="1197" spans="1:18" s="14" customFormat="1" x14ac:dyDescent="0.25">
      <c r="A1197" s="14" t="str">
        <f>"18610"</f>
        <v>18610</v>
      </c>
      <c r="B1197" s="14" t="str">
        <f>"02040"</f>
        <v>02040</v>
      </c>
      <c r="C1197" s="14" t="str">
        <f>"1800"</f>
        <v>1800</v>
      </c>
      <c r="D1197" s="14" t="str">
        <f>""</f>
        <v/>
      </c>
      <c r="E1197" s="14" t="s">
        <v>743</v>
      </c>
      <c r="F1197" s="14" t="s">
        <v>195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193</v>
      </c>
      <c r="L1197" s="14" t="s">
        <v>196</v>
      </c>
      <c r="M1197" s="14" t="s">
        <v>25</v>
      </c>
      <c r="P1197" s="14" t="s">
        <v>31</v>
      </c>
      <c r="Q1197" s="14" t="s">
        <v>25</v>
      </c>
      <c r="R1197" s="14" t="s">
        <v>193</v>
      </c>
    </row>
    <row r="1198" spans="1:18" s="14" customFormat="1" x14ac:dyDescent="0.25">
      <c r="A1198" s="14" t="str">
        <f>"18613"</f>
        <v>18613</v>
      </c>
      <c r="B1198" s="14" t="str">
        <f>"05030"</f>
        <v>05030</v>
      </c>
      <c r="C1198" s="14" t="str">
        <f>"1800"</f>
        <v>1800</v>
      </c>
      <c r="D1198" s="14" t="str">
        <f>"18613"</f>
        <v>18613</v>
      </c>
      <c r="E1198" s="14" t="s">
        <v>746</v>
      </c>
      <c r="F1198" s="14" t="s">
        <v>378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377</v>
      </c>
      <c r="L1198" s="14" t="s">
        <v>379</v>
      </c>
      <c r="P1198" s="14" t="s">
        <v>31</v>
      </c>
      <c r="Q1198" s="14" t="s">
        <v>25</v>
      </c>
      <c r="R1198" s="14" t="s">
        <v>377</v>
      </c>
    </row>
    <row r="1199" spans="1:18" s="14" customFormat="1" x14ac:dyDescent="0.25">
      <c r="A1199" s="14" t="str">
        <f>"18614"</f>
        <v>18614</v>
      </c>
      <c r="B1199" s="14" t="str">
        <f>"01400"</f>
        <v>01400</v>
      </c>
      <c r="C1199" s="14" t="str">
        <f>"1800"</f>
        <v>1800</v>
      </c>
      <c r="D1199" s="14" t="str">
        <f>""</f>
        <v/>
      </c>
      <c r="E1199" s="14" t="s">
        <v>1922</v>
      </c>
      <c r="F1199" s="14" t="s">
        <v>117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69</v>
      </c>
      <c r="L1199" s="14" t="s">
        <v>70</v>
      </c>
      <c r="M1199" s="14" t="s">
        <v>71</v>
      </c>
      <c r="P1199" s="14" t="s">
        <v>31</v>
      </c>
      <c r="Q1199" s="14" t="s">
        <v>25</v>
      </c>
      <c r="R1199" s="14" t="s">
        <v>72</v>
      </c>
    </row>
    <row r="1200" spans="1:18" s="14" customFormat="1" x14ac:dyDescent="0.25">
      <c r="A1200" s="14" t="str">
        <f>"19005"</f>
        <v>19005</v>
      </c>
      <c r="B1200" s="14" t="str">
        <f>"01820"</f>
        <v>01820</v>
      </c>
      <c r="C1200" s="14" t="str">
        <f>"1200"</f>
        <v>1200</v>
      </c>
      <c r="D1200" s="14" t="str">
        <f>"19005"</f>
        <v>19005</v>
      </c>
      <c r="E1200" s="14" t="s">
        <v>747</v>
      </c>
      <c r="F1200" s="14" t="s">
        <v>185</v>
      </c>
      <c r="G1200" s="14" t="str">
        <f>"GR0019005"</f>
        <v>GR0019005</v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112</v>
      </c>
      <c r="L1200" s="14" t="s">
        <v>113</v>
      </c>
      <c r="M1200" s="14" t="s">
        <v>114</v>
      </c>
      <c r="O1200" s="14" t="s">
        <v>748</v>
      </c>
      <c r="P1200" s="14" t="s">
        <v>31</v>
      </c>
      <c r="Q1200" s="14" t="s">
        <v>31</v>
      </c>
      <c r="R1200" s="14" t="s">
        <v>115</v>
      </c>
    </row>
    <row r="1201" spans="1:18" s="14" customFormat="1" x14ac:dyDescent="0.25">
      <c r="A1201" s="14" t="str">
        <f>"19109"</f>
        <v>19109</v>
      </c>
      <c r="B1201" s="14" t="str">
        <f>"01630"</f>
        <v>01630</v>
      </c>
      <c r="C1201" s="14" t="str">
        <f>"1300"</f>
        <v>1300</v>
      </c>
      <c r="D1201" s="14" t="str">
        <f>"19109"</f>
        <v>19109</v>
      </c>
      <c r="E1201" s="14" t="s">
        <v>750</v>
      </c>
      <c r="F1201" s="14" t="s">
        <v>142</v>
      </c>
      <c r="G1201" s="14" t="str">
        <f>"GR0019109"</f>
        <v>GR0019109</v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69</v>
      </c>
      <c r="L1201" s="14" t="s">
        <v>70</v>
      </c>
      <c r="M1201" s="14" t="s">
        <v>71</v>
      </c>
      <c r="O1201" s="14" t="s">
        <v>751</v>
      </c>
      <c r="P1201" s="14" t="s">
        <v>31</v>
      </c>
      <c r="Q1201" s="14" t="s">
        <v>31</v>
      </c>
      <c r="R1201" s="14" t="s">
        <v>72</v>
      </c>
    </row>
    <row r="1202" spans="1:18" s="14" customFormat="1" x14ac:dyDescent="0.25">
      <c r="A1202" s="14" t="str">
        <f>"19122"</f>
        <v>19122</v>
      </c>
      <c r="B1202" s="14" t="str">
        <f>"01800"</f>
        <v>01800</v>
      </c>
      <c r="C1202" s="14" t="str">
        <f>"1700"</f>
        <v>1700</v>
      </c>
      <c r="D1202" s="14" t="str">
        <f>"19122"</f>
        <v>19122</v>
      </c>
      <c r="E1202" s="14" t="s">
        <v>752</v>
      </c>
      <c r="F1202" s="14" t="s">
        <v>180</v>
      </c>
      <c r="G1202" s="14" t="str">
        <f>"GR0019122"</f>
        <v>GR0019122</v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113</v>
      </c>
      <c r="L1202" s="14" t="s">
        <v>181</v>
      </c>
      <c r="M1202" s="14" t="s">
        <v>114</v>
      </c>
      <c r="N1202" s="14" t="s">
        <v>112</v>
      </c>
      <c r="O1202" s="14" t="s">
        <v>753</v>
      </c>
      <c r="P1202" s="14" t="s">
        <v>31</v>
      </c>
      <c r="Q1202" s="14" t="s">
        <v>31</v>
      </c>
      <c r="R1202" s="14" t="s">
        <v>115</v>
      </c>
    </row>
    <row r="1203" spans="1:18" s="14" customFormat="1" x14ac:dyDescent="0.25">
      <c r="A1203" s="14" t="str">
        <f>"19144"</f>
        <v>19144</v>
      </c>
      <c r="B1203" s="14" t="str">
        <f>"01630"</f>
        <v>01630</v>
      </c>
      <c r="C1203" s="14" t="str">
        <f>"1300"</f>
        <v>1300</v>
      </c>
      <c r="D1203" s="14" t="str">
        <f>"19144"</f>
        <v>19144</v>
      </c>
      <c r="E1203" s="14" t="s">
        <v>754</v>
      </c>
      <c r="F1203" s="14" t="s">
        <v>142</v>
      </c>
      <c r="G1203" s="14" t="str">
        <f>"GR0019144"</f>
        <v>GR0019144</v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69</v>
      </c>
      <c r="L1203" s="14" t="s">
        <v>70</v>
      </c>
      <c r="M1203" s="14" t="s">
        <v>71</v>
      </c>
      <c r="O1203" s="14" t="s">
        <v>755</v>
      </c>
      <c r="P1203" s="14" t="s">
        <v>31</v>
      </c>
      <c r="Q1203" s="14" t="s">
        <v>31</v>
      </c>
      <c r="R1203" s="14" t="s">
        <v>72</v>
      </c>
    </row>
    <row r="1204" spans="1:18" s="14" customFormat="1" x14ac:dyDescent="0.25">
      <c r="A1204" s="14" t="str">
        <f>"19234"</f>
        <v>19234</v>
      </c>
      <c r="B1204" s="14" t="str">
        <f>"01630"</f>
        <v>01630</v>
      </c>
      <c r="C1204" s="14" t="str">
        <f>"1300"</f>
        <v>1300</v>
      </c>
      <c r="D1204" s="14" t="str">
        <f>"19234"</f>
        <v>19234</v>
      </c>
      <c r="E1204" s="14" t="s">
        <v>760</v>
      </c>
      <c r="F1204" s="14" t="s">
        <v>142</v>
      </c>
      <c r="G1204" s="14" t="str">
        <f>"GR0019234"</f>
        <v>GR0019234</v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69</v>
      </c>
      <c r="L1204" s="14" t="s">
        <v>70</v>
      </c>
      <c r="M1204" s="14" t="s">
        <v>71</v>
      </c>
      <c r="P1204" s="14" t="s">
        <v>31</v>
      </c>
      <c r="Q1204" s="14" t="s">
        <v>31</v>
      </c>
      <c r="R1204" s="14" t="s">
        <v>72</v>
      </c>
    </row>
    <row r="1205" spans="1:18" s="14" customFormat="1" x14ac:dyDescent="0.25">
      <c r="A1205" s="14" t="str">
        <f>"19236"</f>
        <v>19236</v>
      </c>
      <c r="B1205" s="14" t="str">
        <f>"01790"</f>
        <v>01790</v>
      </c>
      <c r="C1205" s="14" t="str">
        <f>"1300"</f>
        <v>1300</v>
      </c>
      <c r="D1205" s="14" t="str">
        <f>"19236"</f>
        <v>19236</v>
      </c>
      <c r="E1205" s="14" t="s">
        <v>761</v>
      </c>
      <c r="F1205" s="14" t="s">
        <v>178</v>
      </c>
      <c r="G1205" s="14" t="str">
        <f>"GR0019236"</f>
        <v>GR0019236</v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112</v>
      </c>
      <c r="L1205" s="14" t="s">
        <v>179</v>
      </c>
      <c r="M1205" s="14" t="s">
        <v>113</v>
      </c>
      <c r="N1205" s="14" t="s">
        <v>114</v>
      </c>
      <c r="O1205" s="14" t="s">
        <v>762</v>
      </c>
      <c r="P1205" s="14" t="s">
        <v>31</v>
      </c>
      <c r="Q1205" s="14" t="s">
        <v>31</v>
      </c>
      <c r="R1205" s="14" t="s">
        <v>115</v>
      </c>
    </row>
    <row r="1206" spans="1:18" s="14" customFormat="1" x14ac:dyDescent="0.25">
      <c r="A1206" s="14" t="str">
        <f>"19237"</f>
        <v>19237</v>
      </c>
      <c r="B1206" s="14" t="str">
        <f>"01780"</f>
        <v>01780</v>
      </c>
      <c r="C1206" s="14" t="str">
        <f>"1300"</f>
        <v>1300</v>
      </c>
      <c r="D1206" s="14" t="str">
        <f>"19237"</f>
        <v>19237</v>
      </c>
      <c r="E1206" s="14" t="s">
        <v>763</v>
      </c>
      <c r="F1206" s="14" t="s">
        <v>175</v>
      </c>
      <c r="G1206" s="14" t="str">
        <f>"GR0019237"</f>
        <v>GR0019237</v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112</v>
      </c>
      <c r="L1206" s="14" t="s">
        <v>113</v>
      </c>
      <c r="M1206" s="14" t="s">
        <v>114</v>
      </c>
      <c r="O1206" s="14" t="s">
        <v>764</v>
      </c>
      <c r="P1206" s="14" t="s">
        <v>31</v>
      </c>
      <c r="Q1206" s="14" t="s">
        <v>31</v>
      </c>
      <c r="R1206" s="14" t="s">
        <v>115</v>
      </c>
    </row>
    <row r="1207" spans="1:18" s="14" customFormat="1" x14ac:dyDescent="0.25">
      <c r="A1207" s="14" t="str">
        <f>"19239"</f>
        <v>19239</v>
      </c>
      <c r="B1207" s="14" t="str">
        <f>"01790"</f>
        <v>01790</v>
      </c>
      <c r="C1207" s="14" t="str">
        <f>"1300"</f>
        <v>1300</v>
      </c>
      <c r="D1207" s="14" t="str">
        <f>"19239"</f>
        <v>19239</v>
      </c>
      <c r="E1207" s="14" t="s">
        <v>765</v>
      </c>
      <c r="F1207" s="14" t="s">
        <v>178</v>
      </c>
      <c r="G1207" s="14" t="str">
        <f>"GR0019239"</f>
        <v>GR0019239</v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112</v>
      </c>
      <c r="L1207" s="14" t="s">
        <v>179</v>
      </c>
      <c r="M1207" s="14" t="s">
        <v>113</v>
      </c>
      <c r="N1207" s="14" t="s">
        <v>114</v>
      </c>
      <c r="O1207" s="14" t="s">
        <v>766</v>
      </c>
      <c r="P1207" s="14" t="s">
        <v>31</v>
      </c>
      <c r="Q1207" s="14" t="s">
        <v>31</v>
      </c>
      <c r="R1207" s="14" t="s">
        <v>115</v>
      </c>
    </row>
    <row r="1208" spans="1:18" s="14" customFormat="1" x14ac:dyDescent="0.25">
      <c r="A1208" s="14" t="str">
        <f>"19240"</f>
        <v>19240</v>
      </c>
      <c r="B1208" s="14" t="str">
        <f>"01820"</f>
        <v>01820</v>
      </c>
      <c r="C1208" s="14" t="str">
        <f>"1200"</f>
        <v>1200</v>
      </c>
      <c r="D1208" s="14" t="str">
        <f>"19240"</f>
        <v>19240</v>
      </c>
      <c r="E1208" s="14" t="s">
        <v>767</v>
      </c>
      <c r="F1208" s="14" t="s">
        <v>185</v>
      </c>
      <c r="G1208" s="14" t="str">
        <f>"GR0019240"</f>
        <v>GR0019240</v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112</v>
      </c>
      <c r="L1208" s="14" t="s">
        <v>186</v>
      </c>
      <c r="M1208" s="14" t="s">
        <v>113</v>
      </c>
      <c r="N1208" s="14" t="s">
        <v>114</v>
      </c>
      <c r="O1208" s="14" t="s">
        <v>186</v>
      </c>
      <c r="P1208" s="14" t="s">
        <v>31</v>
      </c>
      <c r="Q1208" s="14" t="s">
        <v>31</v>
      </c>
      <c r="R1208" s="14" t="s">
        <v>115</v>
      </c>
    </row>
    <row r="1209" spans="1:18" s="14" customFormat="1" x14ac:dyDescent="0.25">
      <c r="A1209" s="14" t="str">
        <f>"19241"</f>
        <v>19241</v>
      </c>
      <c r="B1209" s="14" t="str">
        <f>"01790"</f>
        <v>01790</v>
      </c>
      <c r="C1209" s="14" t="str">
        <f>"1200"</f>
        <v>1200</v>
      </c>
      <c r="D1209" s="14" t="str">
        <f>"19241"</f>
        <v>19241</v>
      </c>
      <c r="E1209" s="14" t="s">
        <v>768</v>
      </c>
      <c r="F1209" s="14" t="s">
        <v>178</v>
      </c>
      <c r="G1209" s="14" t="str">
        <f>"GR0019241"</f>
        <v>GR0019241</v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113</v>
      </c>
      <c r="L1209" s="14" t="s">
        <v>179</v>
      </c>
      <c r="M1209" s="14" t="s">
        <v>114</v>
      </c>
      <c r="N1209" s="14" t="s">
        <v>112</v>
      </c>
      <c r="O1209" s="14" t="s">
        <v>114</v>
      </c>
      <c r="P1209" s="14" t="s">
        <v>31</v>
      </c>
      <c r="Q1209" s="14" t="s">
        <v>31</v>
      </c>
      <c r="R1209" s="14" t="s">
        <v>115</v>
      </c>
    </row>
    <row r="1210" spans="1:18" s="14" customFormat="1" x14ac:dyDescent="0.25">
      <c r="A1210" s="14" t="str">
        <f>"19254"</f>
        <v>19254</v>
      </c>
      <c r="B1210" s="14" t="str">
        <f>"01790"</f>
        <v>01790</v>
      </c>
      <c r="C1210" s="14" t="str">
        <f>"1200"</f>
        <v>1200</v>
      </c>
      <c r="D1210" s="14" t="str">
        <f>"19254"</f>
        <v>19254</v>
      </c>
      <c r="E1210" s="14" t="s">
        <v>769</v>
      </c>
      <c r="F1210" s="14" t="s">
        <v>178</v>
      </c>
      <c r="G1210" s="14" t="str">
        <f>"GR0019254"</f>
        <v>GR0019254</v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112</v>
      </c>
      <c r="L1210" s="14" t="s">
        <v>179</v>
      </c>
      <c r="M1210" s="14" t="s">
        <v>114</v>
      </c>
      <c r="N1210" s="14" t="s">
        <v>113</v>
      </c>
      <c r="O1210" s="14" t="s">
        <v>762</v>
      </c>
      <c r="P1210" s="14" t="s">
        <v>31</v>
      </c>
      <c r="Q1210" s="14" t="s">
        <v>31</v>
      </c>
      <c r="R1210" s="14" t="s">
        <v>115</v>
      </c>
    </row>
    <row r="1211" spans="1:18" s="14" customFormat="1" x14ac:dyDescent="0.25">
      <c r="A1211" s="14" t="str">
        <f>"19256"</f>
        <v>19256</v>
      </c>
      <c r="B1211" s="14" t="str">
        <f>"01780"</f>
        <v>01780</v>
      </c>
      <c r="C1211" s="14" t="str">
        <f>"1600"</f>
        <v>1600</v>
      </c>
      <c r="D1211" s="14" t="str">
        <f>"19256"</f>
        <v>19256</v>
      </c>
      <c r="E1211" s="14" t="s">
        <v>770</v>
      </c>
      <c r="F1211" s="14" t="s">
        <v>175</v>
      </c>
      <c r="G1211" s="14" t="str">
        <f>"GR0019256"</f>
        <v>GR0019256</v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112</v>
      </c>
      <c r="L1211" s="14" t="s">
        <v>114</v>
      </c>
      <c r="M1211" s="14" t="s">
        <v>113</v>
      </c>
      <c r="O1211" s="14" t="s">
        <v>647</v>
      </c>
      <c r="P1211" s="14" t="s">
        <v>31</v>
      </c>
      <c r="Q1211" s="14" t="s">
        <v>31</v>
      </c>
      <c r="R1211" s="14" t="s">
        <v>115</v>
      </c>
    </row>
    <row r="1212" spans="1:18" s="14" customFormat="1" x14ac:dyDescent="0.25">
      <c r="A1212" s="14" t="str">
        <f>"19259"</f>
        <v>19259</v>
      </c>
      <c r="B1212" s="14" t="str">
        <f>"01820"</f>
        <v>01820</v>
      </c>
      <c r="C1212" s="14" t="str">
        <f>"1200"</f>
        <v>1200</v>
      </c>
      <c r="D1212" s="14" t="str">
        <f>"19259"</f>
        <v>19259</v>
      </c>
      <c r="E1212" s="14" t="s">
        <v>771</v>
      </c>
      <c r="F1212" s="14" t="s">
        <v>185</v>
      </c>
      <c r="G1212" s="14" t="str">
        <f>"GR0019259"</f>
        <v>GR0019259</v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112</v>
      </c>
      <c r="L1212" s="14" t="s">
        <v>186</v>
      </c>
      <c r="M1212" s="14" t="s">
        <v>114</v>
      </c>
      <c r="N1212" s="14" t="s">
        <v>113</v>
      </c>
      <c r="O1212" s="14" t="s">
        <v>772</v>
      </c>
      <c r="P1212" s="14" t="s">
        <v>31</v>
      </c>
      <c r="Q1212" s="14" t="s">
        <v>31</v>
      </c>
      <c r="R1212" s="14" t="s">
        <v>115</v>
      </c>
    </row>
    <row r="1213" spans="1:18" s="14" customFormat="1" x14ac:dyDescent="0.25">
      <c r="A1213" s="14" t="str">
        <f>"19262"</f>
        <v>19262</v>
      </c>
      <c r="B1213" s="14" t="str">
        <f>"01810"</f>
        <v>01810</v>
      </c>
      <c r="C1213" s="14" t="str">
        <f>"1200"</f>
        <v>1200</v>
      </c>
      <c r="D1213" s="14" t="str">
        <f>"19262"</f>
        <v>19262</v>
      </c>
      <c r="E1213" s="14" t="s">
        <v>774</v>
      </c>
      <c r="F1213" s="14" t="s">
        <v>183</v>
      </c>
      <c r="G1213" s="14" t="str">
        <f>"GR0019262"</f>
        <v>GR0019262</v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184</v>
      </c>
      <c r="L1213" s="14" t="s">
        <v>112</v>
      </c>
      <c r="M1213" s="14" t="s">
        <v>113</v>
      </c>
      <c r="N1213" s="14" t="s">
        <v>114</v>
      </c>
      <c r="O1213" s="14" t="s">
        <v>775</v>
      </c>
      <c r="P1213" s="14" t="s">
        <v>31</v>
      </c>
      <c r="Q1213" s="14" t="s">
        <v>31</v>
      </c>
      <c r="R1213" s="14" t="s">
        <v>115</v>
      </c>
    </row>
    <row r="1214" spans="1:18" s="14" customFormat="1" x14ac:dyDescent="0.25">
      <c r="A1214" s="14" t="str">
        <f>"19267"</f>
        <v>19267</v>
      </c>
      <c r="B1214" s="14" t="str">
        <f>"01550"</f>
        <v>01550</v>
      </c>
      <c r="C1214" s="14" t="str">
        <f>"1200"</f>
        <v>1200</v>
      </c>
      <c r="D1214" s="14" t="str">
        <f>"19267"</f>
        <v>19267</v>
      </c>
      <c r="E1214" s="14" t="s">
        <v>778</v>
      </c>
      <c r="F1214" s="14" t="s">
        <v>134</v>
      </c>
      <c r="G1214" s="14" t="str">
        <f>"GR0019267"</f>
        <v>GR0019267</v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69</v>
      </c>
      <c r="L1214" s="14" t="s">
        <v>70</v>
      </c>
      <c r="M1214" s="14" t="s">
        <v>71</v>
      </c>
      <c r="O1214" s="14" t="s">
        <v>779</v>
      </c>
      <c r="P1214" s="14" t="s">
        <v>31</v>
      </c>
      <c r="Q1214" s="14" t="s">
        <v>31</v>
      </c>
      <c r="R1214" s="14" t="s">
        <v>72</v>
      </c>
    </row>
    <row r="1215" spans="1:18" s="14" customFormat="1" x14ac:dyDescent="0.25">
      <c r="A1215" s="14" t="str">
        <f>"19271"</f>
        <v>19271</v>
      </c>
      <c r="B1215" s="14" t="str">
        <f>"01790"</f>
        <v>01790</v>
      </c>
      <c r="C1215" s="14" t="str">
        <f>"1200"</f>
        <v>1200</v>
      </c>
      <c r="D1215" s="14" t="str">
        <f>"19271"</f>
        <v>19271</v>
      </c>
      <c r="E1215" s="14" t="s">
        <v>782</v>
      </c>
      <c r="F1215" s="14" t="s">
        <v>178</v>
      </c>
      <c r="G1215" s="14" t="str">
        <f>"GR0019271"</f>
        <v>GR0019271</v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179</v>
      </c>
      <c r="L1215" s="14" t="s">
        <v>112</v>
      </c>
      <c r="M1215" s="14" t="s">
        <v>113</v>
      </c>
      <c r="N1215" s="14" t="s">
        <v>114</v>
      </c>
      <c r="O1215" s="14" t="s">
        <v>762</v>
      </c>
      <c r="P1215" s="14" t="s">
        <v>31</v>
      </c>
      <c r="Q1215" s="14" t="s">
        <v>31</v>
      </c>
      <c r="R1215" s="14" t="s">
        <v>115</v>
      </c>
    </row>
    <row r="1216" spans="1:18" s="14" customFormat="1" x14ac:dyDescent="0.25">
      <c r="A1216" s="14" t="str">
        <f>"19274"</f>
        <v>19274</v>
      </c>
      <c r="B1216" s="14" t="str">
        <f>"01550"</f>
        <v>01550</v>
      </c>
      <c r="C1216" s="14" t="str">
        <f>"1300"</f>
        <v>1300</v>
      </c>
      <c r="D1216" s="14" t="str">
        <f>"19274"</f>
        <v>19274</v>
      </c>
      <c r="E1216" s="14" t="s">
        <v>783</v>
      </c>
      <c r="F1216" s="14" t="s">
        <v>134</v>
      </c>
      <c r="G1216" s="14" t="str">
        <f>"GR0019274"</f>
        <v>GR0019274</v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69</v>
      </c>
      <c r="L1216" s="14" t="s">
        <v>70</v>
      </c>
      <c r="M1216" s="14" t="s">
        <v>71</v>
      </c>
      <c r="O1216" s="14" t="s">
        <v>779</v>
      </c>
      <c r="P1216" s="14" t="s">
        <v>31</v>
      </c>
      <c r="Q1216" s="14" t="s">
        <v>31</v>
      </c>
      <c r="R1216" s="14" t="s">
        <v>72</v>
      </c>
    </row>
    <row r="1217" spans="1:18" s="14" customFormat="1" x14ac:dyDescent="0.25">
      <c r="A1217" s="14" t="str">
        <f>"19275"</f>
        <v>19275</v>
      </c>
      <c r="B1217" s="14" t="str">
        <f>"01500"</f>
        <v>01500</v>
      </c>
      <c r="C1217" s="14" t="str">
        <f>"1300"</f>
        <v>1300</v>
      </c>
      <c r="D1217" s="14" t="str">
        <f>"19275"</f>
        <v>19275</v>
      </c>
      <c r="E1217" s="14" t="s">
        <v>784</v>
      </c>
      <c r="F1217" s="14" t="s">
        <v>130</v>
      </c>
      <c r="G1217" s="14" t="str">
        <f>"GR0019275"</f>
        <v>GR0019275</v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69</v>
      </c>
      <c r="L1217" s="14" t="s">
        <v>70</v>
      </c>
      <c r="M1217" s="14" t="s">
        <v>71</v>
      </c>
      <c r="O1217" s="14" t="s">
        <v>785</v>
      </c>
      <c r="P1217" s="14" t="s">
        <v>31</v>
      </c>
      <c r="Q1217" s="14" t="s">
        <v>31</v>
      </c>
      <c r="R1217" s="14" t="s">
        <v>72</v>
      </c>
    </row>
    <row r="1218" spans="1:18" s="14" customFormat="1" x14ac:dyDescent="0.25">
      <c r="A1218" s="14" t="str">
        <f>"19276"</f>
        <v>19276</v>
      </c>
      <c r="B1218" s="14" t="str">
        <f>"01800"</f>
        <v>01800</v>
      </c>
      <c r="C1218" s="14" t="str">
        <f>"1300"</f>
        <v>1300</v>
      </c>
      <c r="D1218" s="14" t="str">
        <f>"19276"</f>
        <v>19276</v>
      </c>
      <c r="E1218" s="14" t="s">
        <v>786</v>
      </c>
      <c r="F1218" s="14" t="s">
        <v>180</v>
      </c>
      <c r="G1218" s="14" t="str">
        <f>"GR0019276"</f>
        <v>GR0019276</v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181</v>
      </c>
      <c r="L1218" s="14" t="s">
        <v>112</v>
      </c>
      <c r="M1218" s="14" t="s">
        <v>113</v>
      </c>
      <c r="N1218" s="14" t="s">
        <v>114</v>
      </c>
      <c r="O1218" s="14" t="s">
        <v>787</v>
      </c>
      <c r="P1218" s="14" t="s">
        <v>31</v>
      </c>
      <c r="Q1218" s="14" t="s">
        <v>31</v>
      </c>
      <c r="R1218" s="14" t="s">
        <v>115</v>
      </c>
    </row>
    <row r="1219" spans="1:18" s="14" customFormat="1" x14ac:dyDescent="0.25">
      <c r="A1219" s="14" t="str">
        <f>"19277"</f>
        <v>19277</v>
      </c>
      <c r="B1219" s="14" t="str">
        <f>"01800"</f>
        <v>01800</v>
      </c>
      <c r="C1219" s="14" t="str">
        <f>"1300"</f>
        <v>1300</v>
      </c>
      <c r="D1219" s="14" t="str">
        <f>"19277"</f>
        <v>19277</v>
      </c>
      <c r="E1219" s="14" t="s">
        <v>788</v>
      </c>
      <c r="F1219" s="14" t="s">
        <v>180</v>
      </c>
      <c r="G1219" s="14" t="str">
        <f>"GR0019277"</f>
        <v>GR0019277</v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181</v>
      </c>
      <c r="L1219" s="14" t="s">
        <v>112</v>
      </c>
      <c r="M1219" s="14" t="s">
        <v>113</v>
      </c>
      <c r="N1219" s="14" t="s">
        <v>114</v>
      </c>
      <c r="O1219" s="14" t="s">
        <v>789</v>
      </c>
      <c r="P1219" s="14" t="s">
        <v>31</v>
      </c>
      <c r="Q1219" s="14" t="s">
        <v>31</v>
      </c>
      <c r="R1219" s="14" t="s">
        <v>115</v>
      </c>
    </row>
    <row r="1220" spans="1:18" s="14" customFormat="1" x14ac:dyDescent="0.25">
      <c r="A1220" s="14" t="str">
        <f>"19278"</f>
        <v>19278</v>
      </c>
      <c r="B1220" s="14" t="str">
        <f>"01390"</f>
        <v>01390</v>
      </c>
      <c r="C1220" s="14" t="str">
        <f>"1300"</f>
        <v>1300</v>
      </c>
      <c r="D1220" s="14" t="str">
        <f>"19278"</f>
        <v>19278</v>
      </c>
      <c r="E1220" s="14" t="s">
        <v>790</v>
      </c>
      <c r="F1220" s="14" t="s">
        <v>116</v>
      </c>
      <c r="G1220" s="14" t="str">
        <f>"GR0019278"</f>
        <v>GR0019278</v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112</v>
      </c>
      <c r="L1220" s="14" t="s">
        <v>113</v>
      </c>
      <c r="M1220" s="14" t="s">
        <v>114</v>
      </c>
      <c r="O1220" s="14" t="s">
        <v>791</v>
      </c>
      <c r="P1220" s="14" t="s">
        <v>31</v>
      </c>
      <c r="Q1220" s="14" t="s">
        <v>31</v>
      </c>
      <c r="R1220" s="14" t="s">
        <v>115</v>
      </c>
    </row>
    <row r="1221" spans="1:18" s="14" customFormat="1" x14ac:dyDescent="0.25">
      <c r="A1221" s="14" t="str">
        <f>"19279"</f>
        <v>19279</v>
      </c>
      <c r="B1221" s="14" t="str">
        <f>"01820"</f>
        <v>01820</v>
      </c>
      <c r="C1221" s="14" t="str">
        <f>"1300"</f>
        <v>1300</v>
      </c>
      <c r="D1221" s="14" t="str">
        <f>"19279"</f>
        <v>19279</v>
      </c>
      <c r="E1221" s="14" t="s">
        <v>792</v>
      </c>
      <c r="F1221" s="14" t="s">
        <v>185</v>
      </c>
      <c r="G1221" s="14" t="str">
        <f>"GR0019279"</f>
        <v>GR0019279</v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112</v>
      </c>
      <c r="L1221" s="14" t="s">
        <v>113</v>
      </c>
      <c r="M1221" s="14" t="s">
        <v>114</v>
      </c>
      <c r="O1221" s="14" t="s">
        <v>186</v>
      </c>
      <c r="P1221" s="14" t="s">
        <v>31</v>
      </c>
      <c r="Q1221" s="14" t="s">
        <v>31</v>
      </c>
      <c r="R1221" s="14" t="s">
        <v>115</v>
      </c>
    </row>
    <row r="1222" spans="1:18" s="14" customFormat="1" x14ac:dyDescent="0.25">
      <c r="A1222" s="14" t="str">
        <f>"19280"</f>
        <v>19280</v>
      </c>
      <c r="B1222" s="14" t="str">
        <f>"01780"</f>
        <v>01780</v>
      </c>
      <c r="C1222" s="14" t="str">
        <f>"1300"</f>
        <v>1300</v>
      </c>
      <c r="D1222" s="14" t="str">
        <f>"19280"</f>
        <v>19280</v>
      </c>
      <c r="E1222" s="14" t="s">
        <v>793</v>
      </c>
      <c r="F1222" s="14" t="s">
        <v>175</v>
      </c>
      <c r="G1222" s="14" t="str">
        <f>"GR0019280"</f>
        <v>GR0019280</v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112</v>
      </c>
      <c r="L1222" s="14" t="s">
        <v>113</v>
      </c>
      <c r="M1222" s="14" t="s">
        <v>114</v>
      </c>
      <c r="O1222" s="14" t="s">
        <v>794</v>
      </c>
      <c r="P1222" s="14" t="s">
        <v>31</v>
      </c>
      <c r="Q1222" s="14" t="s">
        <v>31</v>
      </c>
      <c r="R1222" s="14" t="s">
        <v>115</v>
      </c>
    </row>
    <row r="1223" spans="1:18" s="14" customFormat="1" x14ac:dyDescent="0.25">
      <c r="A1223" s="14" t="str">
        <f>"19281"</f>
        <v>19281</v>
      </c>
      <c r="B1223" s="14" t="str">
        <f>"01645"</f>
        <v>01645</v>
      </c>
      <c r="C1223" s="14" t="str">
        <f>"1300"</f>
        <v>1300</v>
      </c>
      <c r="D1223" s="14" t="str">
        <f>"19281"</f>
        <v>19281</v>
      </c>
      <c r="E1223" s="14" t="s">
        <v>795</v>
      </c>
      <c r="F1223" s="14" t="s">
        <v>144</v>
      </c>
      <c r="G1223" s="14" t="str">
        <f>"GR0019281"</f>
        <v>GR0019281</v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69</v>
      </c>
      <c r="L1223" s="14" t="s">
        <v>70</v>
      </c>
      <c r="M1223" s="14" t="s">
        <v>796</v>
      </c>
      <c r="O1223" s="14" t="s">
        <v>797</v>
      </c>
      <c r="P1223" s="14" t="s">
        <v>31</v>
      </c>
      <c r="Q1223" s="14" t="s">
        <v>31</v>
      </c>
      <c r="R1223" s="14" t="s">
        <v>72</v>
      </c>
    </row>
    <row r="1224" spans="1:18" s="14" customFormat="1" x14ac:dyDescent="0.25">
      <c r="A1224" s="14" t="str">
        <f>"19282"</f>
        <v>19282</v>
      </c>
      <c r="B1224" s="14" t="str">
        <f>"01645"</f>
        <v>01645</v>
      </c>
      <c r="C1224" s="14" t="str">
        <f>"1300"</f>
        <v>1300</v>
      </c>
      <c r="D1224" s="14" t="str">
        <f>"19282"</f>
        <v>19282</v>
      </c>
      <c r="E1224" s="14" t="s">
        <v>798</v>
      </c>
      <c r="F1224" s="14" t="s">
        <v>144</v>
      </c>
      <c r="G1224" s="14" t="str">
        <f>"GR0019282"</f>
        <v>GR0019282</v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69</v>
      </c>
      <c r="L1224" s="14" t="s">
        <v>70</v>
      </c>
      <c r="M1224" s="14" t="s">
        <v>71</v>
      </c>
      <c r="O1224" s="14" t="s">
        <v>799</v>
      </c>
      <c r="P1224" s="14" t="s">
        <v>31</v>
      </c>
      <c r="Q1224" s="14" t="s">
        <v>31</v>
      </c>
      <c r="R1224" s="14" t="s">
        <v>72</v>
      </c>
    </row>
    <row r="1225" spans="1:18" s="14" customFormat="1" x14ac:dyDescent="0.25">
      <c r="A1225" s="14" t="str">
        <f>"19283"</f>
        <v>19283</v>
      </c>
      <c r="B1225" s="14" t="str">
        <f>"01550"</f>
        <v>01550</v>
      </c>
      <c r="C1225" s="14" t="str">
        <f>"1300"</f>
        <v>1300</v>
      </c>
      <c r="D1225" s="14" t="str">
        <f>"19283"</f>
        <v>19283</v>
      </c>
      <c r="E1225" s="14" t="s">
        <v>800</v>
      </c>
      <c r="F1225" s="14" t="s">
        <v>134</v>
      </c>
      <c r="G1225" s="14" t="str">
        <f>"GR0019283"</f>
        <v>GR0019283</v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69</v>
      </c>
      <c r="L1225" s="14" t="s">
        <v>70</v>
      </c>
      <c r="M1225" s="14" t="s">
        <v>71</v>
      </c>
      <c r="O1225" s="14" t="s">
        <v>801</v>
      </c>
      <c r="P1225" s="14" t="s">
        <v>31</v>
      </c>
      <c r="Q1225" s="14" t="s">
        <v>31</v>
      </c>
      <c r="R1225" s="14" t="s">
        <v>72</v>
      </c>
    </row>
    <row r="1226" spans="1:18" s="14" customFormat="1" x14ac:dyDescent="0.25">
      <c r="A1226" s="14" t="str">
        <f>"19285"</f>
        <v>19285</v>
      </c>
      <c r="B1226" s="14" t="str">
        <f>"01560"</f>
        <v>01560</v>
      </c>
      <c r="C1226" s="14" t="str">
        <f>"1300"</f>
        <v>1300</v>
      </c>
      <c r="D1226" s="14" t="str">
        <f>"19285"</f>
        <v>19285</v>
      </c>
      <c r="E1226" s="14" t="s">
        <v>802</v>
      </c>
      <c r="F1226" s="14" t="s">
        <v>135</v>
      </c>
      <c r="G1226" s="14" t="str">
        <f>"GR0019285"</f>
        <v>GR0019285</v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69</v>
      </c>
      <c r="L1226" s="14" t="s">
        <v>70</v>
      </c>
      <c r="M1226" s="14" t="s">
        <v>71</v>
      </c>
      <c r="O1226" s="14" t="s">
        <v>803</v>
      </c>
      <c r="P1226" s="14" t="s">
        <v>31</v>
      </c>
      <c r="Q1226" s="14" t="s">
        <v>31</v>
      </c>
      <c r="R1226" s="14" t="s">
        <v>72</v>
      </c>
    </row>
    <row r="1227" spans="1:18" s="14" customFormat="1" x14ac:dyDescent="0.25">
      <c r="A1227" s="14" t="str">
        <f>"19286"</f>
        <v>19286</v>
      </c>
      <c r="B1227" s="14" t="str">
        <f>"01500"</f>
        <v>01500</v>
      </c>
      <c r="C1227" s="14" t="str">
        <f>"1300"</f>
        <v>1300</v>
      </c>
      <c r="D1227" s="14" t="str">
        <f>"19286"</f>
        <v>19286</v>
      </c>
      <c r="E1227" s="14" t="s">
        <v>804</v>
      </c>
      <c r="F1227" s="14" t="s">
        <v>130</v>
      </c>
      <c r="G1227" s="14" t="str">
        <f>"GR0019286"</f>
        <v>GR0019286</v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69</v>
      </c>
      <c r="L1227" s="14" t="s">
        <v>70</v>
      </c>
      <c r="M1227" s="14" t="s">
        <v>71</v>
      </c>
      <c r="O1227" s="14" t="s">
        <v>805</v>
      </c>
      <c r="P1227" s="14" t="s">
        <v>31</v>
      </c>
      <c r="Q1227" s="14" t="s">
        <v>31</v>
      </c>
      <c r="R1227" s="14" t="s">
        <v>72</v>
      </c>
    </row>
    <row r="1228" spans="1:18" s="14" customFormat="1" x14ac:dyDescent="0.25">
      <c r="A1228" s="14" t="str">
        <f>"19287"</f>
        <v>19287</v>
      </c>
      <c r="B1228" s="14" t="str">
        <f>"01380"</f>
        <v>01380</v>
      </c>
      <c r="C1228" s="14" t="str">
        <f>"1200"</f>
        <v>1200</v>
      </c>
      <c r="D1228" s="14" t="str">
        <f>"19287"</f>
        <v>19287</v>
      </c>
      <c r="E1228" s="14" t="s">
        <v>806</v>
      </c>
      <c r="F1228" s="14" t="s">
        <v>110</v>
      </c>
      <c r="G1228" s="14" t="str">
        <f>"GR0019287"</f>
        <v>GR0019287</v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111</v>
      </c>
      <c r="L1228" s="14" t="s">
        <v>112</v>
      </c>
      <c r="M1228" s="14" t="s">
        <v>113</v>
      </c>
      <c r="N1228" s="14" t="s">
        <v>114</v>
      </c>
      <c r="O1228" s="14" t="s">
        <v>807</v>
      </c>
      <c r="P1228" s="14" t="s">
        <v>31</v>
      </c>
      <c r="Q1228" s="14" t="s">
        <v>31</v>
      </c>
      <c r="R1228" s="14" t="s">
        <v>115</v>
      </c>
    </row>
    <row r="1229" spans="1:18" s="14" customFormat="1" x14ac:dyDescent="0.25">
      <c r="A1229" s="14" t="str">
        <f>"19288"</f>
        <v>19288</v>
      </c>
      <c r="B1229" s="14" t="str">
        <f>"01800"</f>
        <v>01800</v>
      </c>
      <c r="C1229" s="14" t="str">
        <f>"1200"</f>
        <v>1200</v>
      </c>
      <c r="D1229" s="14" t="str">
        <f>"19288"</f>
        <v>19288</v>
      </c>
      <c r="E1229" s="14" t="s">
        <v>808</v>
      </c>
      <c r="F1229" s="14" t="s">
        <v>180</v>
      </c>
      <c r="G1229" s="14" t="str">
        <f>"GR0019288"</f>
        <v>GR0019288</v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181</v>
      </c>
      <c r="L1229" s="14" t="s">
        <v>112</v>
      </c>
      <c r="M1229" s="14" t="s">
        <v>113</v>
      </c>
      <c r="N1229" s="14" t="s">
        <v>114</v>
      </c>
      <c r="O1229" s="14" t="s">
        <v>809</v>
      </c>
      <c r="P1229" s="14" t="s">
        <v>31</v>
      </c>
      <c r="Q1229" s="14" t="s">
        <v>31</v>
      </c>
      <c r="R1229" s="14" t="s">
        <v>115</v>
      </c>
    </row>
    <row r="1230" spans="1:18" s="14" customFormat="1" x14ac:dyDescent="0.25">
      <c r="A1230" s="14" t="str">
        <f>"19289"</f>
        <v>19289</v>
      </c>
      <c r="B1230" s="14" t="str">
        <f>"01800"</f>
        <v>01800</v>
      </c>
      <c r="C1230" s="14" t="str">
        <f>"1200"</f>
        <v>1200</v>
      </c>
      <c r="D1230" s="14" t="str">
        <f>"19289"</f>
        <v>19289</v>
      </c>
      <c r="E1230" s="14" t="s">
        <v>810</v>
      </c>
      <c r="F1230" s="14" t="s">
        <v>180</v>
      </c>
      <c r="G1230" s="14" t="str">
        <f>"GR0019289"</f>
        <v>GR0019289</v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181</v>
      </c>
      <c r="L1230" s="14" t="s">
        <v>112</v>
      </c>
      <c r="M1230" s="14" t="s">
        <v>113</v>
      </c>
      <c r="N1230" s="14" t="s">
        <v>114</v>
      </c>
      <c r="O1230" s="14" t="s">
        <v>809</v>
      </c>
      <c r="P1230" s="14" t="s">
        <v>31</v>
      </c>
      <c r="Q1230" s="14" t="s">
        <v>31</v>
      </c>
      <c r="R1230" s="14" t="s">
        <v>115</v>
      </c>
    </row>
    <row r="1231" spans="1:18" s="14" customFormat="1" x14ac:dyDescent="0.25">
      <c r="A1231" s="14" t="str">
        <f>"19290"</f>
        <v>19290</v>
      </c>
      <c r="B1231" s="14" t="str">
        <f>"01780"</f>
        <v>01780</v>
      </c>
      <c r="C1231" s="14" t="str">
        <f>"1700"</f>
        <v>1700</v>
      </c>
      <c r="D1231" s="14" t="str">
        <f>"19290"</f>
        <v>19290</v>
      </c>
      <c r="E1231" s="14" t="s">
        <v>811</v>
      </c>
      <c r="F1231" s="14" t="s">
        <v>175</v>
      </c>
      <c r="G1231" s="14" t="str">
        <f>"GR0019290"</f>
        <v>GR0019290</v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112</v>
      </c>
      <c r="L1231" s="14" t="s">
        <v>113</v>
      </c>
      <c r="M1231" s="14" t="s">
        <v>114</v>
      </c>
      <c r="O1231" s="14" t="s">
        <v>812</v>
      </c>
      <c r="P1231" s="14" t="s">
        <v>31</v>
      </c>
      <c r="Q1231" s="14" t="s">
        <v>31</v>
      </c>
      <c r="R1231" s="14" t="s">
        <v>115</v>
      </c>
    </row>
    <row r="1232" spans="1:18" s="14" customFormat="1" x14ac:dyDescent="0.25">
      <c r="A1232" s="14" t="str">
        <f>"19291"</f>
        <v>19291</v>
      </c>
      <c r="B1232" s="14" t="str">
        <f>"01820"</f>
        <v>01820</v>
      </c>
      <c r="C1232" s="14" t="str">
        <f>"1200"</f>
        <v>1200</v>
      </c>
      <c r="D1232" s="14" t="str">
        <f>"19291"</f>
        <v>19291</v>
      </c>
      <c r="E1232" s="14" t="s">
        <v>813</v>
      </c>
      <c r="F1232" s="14" t="s">
        <v>185</v>
      </c>
      <c r="G1232" s="14" t="str">
        <f>"GR0019291"</f>
        <v>GR0019291</v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186</v>
      </c>
      <c r="L1232" s="14" t="s">
        <v>112</v>
      </c>
      <c r="M1232" s="14" t="s">
        <v>113</v>
      </c>
      <c r="N1232" s="14" t="s">
        <v>114</v>
      </c>
      <c r="O1232" s="14" t="s">
        <v>814</v>
      </c>
      <c r="P1232" s="14" t="s">
        <v>31</v>
      </c>
      <c r="Q1232" s="14" t="s">
        <v>31</v>
      </c>
      <c r="R1232" s="14" t="s">
        <v>115</v>
      </c>
    </row>
    <row r="1233" spans="1:18" s="14" customFormat="1" x14ac:dyDescent="0.25">
      <c r="A1233" s="14" t="str">
        <f>"19296"</f>
        <v>19296</v>
      </c>
      <c r="B1233" s="14" t="str">
        <f>"01580"</f>
        <v>01580</v>
      </c>
      <c r="C1233" s="14" t="str">
        <f>"1300"</f>
        <v>1300</v>
      </c>
      <c r="D1233" s="14" t="str">
        <f>"19296"</f>
        <v>19296</v>
      </c>
      <c r="E1233" s="14" t="s">
        <v>821</v>
      </c>
      <c r="F1233" s="14" t="s">
        <v>137</v>
      </c>
      <c r="G1233" s="14" t="str">
        <f>"GR0019296"</f>
        <v>GR0019296</v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69</v>
      </c>
      <c r="L1233" s="14" t="s">
        <v>70</v>
      </c>
      <c r="M1233" s="14" t="s">
        <v>71</v>
      </c>
      <c r="O1233" s="14" t="s">
        <v>822</v>
      </c>
      <c r="P1233" s="14" t="s">
        <v>31</v>
      </c>
      <c r="Q1233" s="14" t="s">
        <v>31</v>
      </c>
      <c r="R1233" s="14" t="s">
        <v>72</v>
      </c>
    </row>
    <row r="1234" spans="1:18" s="14" customFormat="1" x14ac:dyDescent="0.25">
      <c r="A1234" s="14" t="str">
        <f>"19297"</f>
        <v>19297</v>
      </c>
      <c r="B1234" s="14" t="str">
        <f>"01500"</f>
        <v>01500</v>
      </c>
      <c r="C1234" s="14" t="str">
        <f>"1300"</f>
        <v>1300</v>
      </c>
      <c r="D1234" s="14" t="str">
        <f>"19297"</f>
        <v>19297</v>
      </c>
      <c r="E1234" s="14" t="s">
        <v>823</v>
      </c>
      <c r="F1234" s="14" t="s">
        <v>130</v>
      </c>
      <c r="G1234" s="14" t="str">
        <f>"GR0019297"</f>
        <v>GR0019297</v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69</v>
      </c>
      <c r="L1234" s="14" t="s">
        <v>70</v>
      </c>
      <c r="M1234" s="14" t="s">
        <v>71</v>
      </c>
      <c r="O1234" s="14" t="s">
        <v>824</v>
      </c>
      <c r="P1234" s="14" t="s">
        <v>31</v>
      </c>
      <c r="Q1234" s="14" t="s">
        <v>31</v>
      </c>
      <c r="R1234" s="14" t="s">
        <v>72</v>
      </c>
    </row>
    <row r="1235" spans="1:18" s="14" customFormat="1" x14ac:dyDescent="0.25">
      <c r="A1235" s="14" t="str">
        <f>"19298"</f>
        <v>19298</v>
      </c>
      <c r="B1235" s="14" t="str">
        <f>"01560"</f>
        <v>01560</v>
      </c>
      <c r="C1235" s="14" t="str">
        <f>"1300"</f>
        <v>1300</v>
      </c>
      <c r="D1235" s="14" t="str">
        <f>"19298"</f>
        <v>19298</v>
      </c>
      <c r="E1235" s="14" t="s">
        <v>825</v>
      </c>
      <c r="F1235" s="14" t="s">
        <v>135</v>
      </c>
      <c r="G1235" s="14" t="str">
        <f>"GR0019298"</f>
        <v>GR0019298</v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69</v>
      </c>
      <c r="L1235" s="14" t="s">
        <v>70</v>
      </c>
      <c r="M1235" s="14" t="s">
        <v>71</v>
      </c>
      <c r="O1235" s="14" t="s">
        <v>826</v>
      </c>
      <c r="P1235" s="14" t="s">
        <v>31</v>
      </c>
      <c r="Q1235" s="14" t="s">
        <v>31</v>
      </c>
      <c r="R1235" s="14" t="s">
        <v>72</v>
      </c>
    </row>
    <row r="1236" spans="1:18" s="14" customFormat="1" x14ac:dyDescent="0.25">
      <c r="A1236" s="14" t="str">
        <f>"19299"</f>
        <v>19299</v>
      </c>
      <c r="B1236" s="14" t="str">
        <f>"01560"</f>
        <v>01560</v>
      </c>
      <c r="C1236" s="14" t="str">
        <f>"1300"</f>
        <v>1300</v>
      </c>
      <c r="D1236" s="14" t="str">
        <f>"19299"</f>
        <v>19299</v>
      </c>
      <c r="E1236" s="14" t="s">
        <v>827</v>
      </c>
      <c r="F1236" s="14" t="s">
        <v>135</v>
      </c>
      <c r="G1236" s="14" t="str">
        <f>"GR0019299"</f>
        <v>GR0019299</v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69</v>
      </c>
      <c r="L1236" s="14" t="s">
        <v>70</v>
      </c>
      <c r="M1236" s="14" t="s">
        <v>71</v>
      </c>
      <c r="O1236" s="14" t="s">
        <v>828</v>
      </c>
      <c r="P1236" s="14" t="s">
        <v>31</v>
      </c>
      <c r="Q1236" s="14" t="s">
        <v>31</v>
      </c>
      <c r="R1236" s="14" t="s">
        <v>72</v>
      </c>
    </row>
    <row r="1237" spans="1:18" s="14" customFormat="1" x14ac:dyDescent="0.25">
      <c r="A1237" s="14" t="str">
        <f>"19300"</f>
        <v>19300</v>
      </c>
      <c r="B1237" s="14" t="str">
        <f>"01600"</f>
        <v>01600</v>
      </c>
      <c r="C1237" s="14" t="str">
        <f>"1300"</f>
        <v>1300</v>
      </c>
      <c r="D1237" s="14" t="str">
        <f>"19300"</f>
        <v>19300</v>
      </c>
      <c r="E1237" s="14" t="s">
        <v>829</v>
      </c>
      <c r="F1237" s="14" t="s">
        <v>138</v>
      </c>
      <c r="G1237" s="14" t="str">
        <f>"GR0019300"</f>
        <v>GR0019300</v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69</v>
      </c>
      <c r="L1237" s="14" t="s">
        <v>70</v>
      </c>
      <c r="M1237" s="14" t="s">
        <v>71</v>
      </c>
      <c r="O1237" s="14" t="s">
        <v>830</v>
      </c>
      <c r="P1237" s="14" t="s">
        <v>31</v>
      </c>
      <c r="Q1237" s="14" t="s">
        <v>31</v>
      </c>
      <c r="R1237" s="14" t="s">
        <v>72</v>
      </c>
    </row>
    <row r="1238" spans="1:18" s="14" customFormat="1" x14ac:dyDescent="0.25">
      <c r="A1238" s="14" t="str">
        <f>"19301"</f>
        <v>19301</v>
      </c>
      <c r="B1238" s="14" t="str">
        <f>"01820"</f>
        <v>01820</v>
      </c>
      <c r="C1238" s="14" t="str">
        <f>"1200"</f>
        <v>1200</v>
      </c>
      <c r="D1238" s="14" t="str">
        <f>"19301"</f>
        <v>19301</v>
      </c>
      <c r="E1238" s="14" t="s">
        <v>831</v>
      </c>
      <c r="F1238" s="14" t="s">
        <v>185</v>
      </c>
      <c r="G1238" s="14" t="str">
        <f>"GR0019301"</f>
        <v>GR0019301</v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186</v>
      </c>
      <c r="L1238" s="14" t="s">
        <v>112</v>
      </c>
      <c r="M1238" s="14" t="s">
        <v>113</v>
      </c>
      <c r="N1238" s="14" t="s">
        <v>114</v>
      </c>
      <c r="O1238" s="14" t="s">
        <v>772</v>
      </c>
      <c r="P1238" s="14" t="s">
        <v>31</v>
      </c>
      <c r="Q1238" s="14" t="s">
        <v>31</v>
      </c>
      <c r="R1238" s="14" t="s">
        <v>115</v>
      </c>
    </row>
    <row r="1239" spans="1:18" s="14" customFormat="1" x14ac:dyDescent="0.25">
      <c r="A1239" s="14" t="str">
        <f>"19302"</f>
        <v>19302</v>
      </c>
      <c r="B1239" s="14" t="str">
        <f>"01630"</f>
        <v>01630</v>
      </c>
      <c r="C1239" s="14" t="str">
        <f>"1200"</f>
        <v>1200</v>
      </c>
      <c r="D1239" s="14" t="str">
        <f>"19302"</f>
        <v>19302</v>
      </c>
      <c r="E1239" s="14" t="s">
        <v>832</v>
      </c>
      <c r="F1239" s="14" t="s">
        <v>142</v>
      </c>
      <c r="G1239" s="14" t="str">
        <f>"GR0019302"</f>
        <v>GR0019302</v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69</v>
      </c>
      <c r="L1239" s="14" t="s">
        <v>70</v>
      </c>
      <c r="M1239" s="14" t="s">
        <v>71</v>
      </c>
      <c r="O1239" s="14" t="s">
        <v>755</v>
      </c>
      <c r="P1239" s="14" t="s">
        <v>31</v>
      </c>
      <c r="Q1239" s="14" t="s">
        <v>31</v>
      </c>
      <c r="R1239" s="14" t="s">
        <v>72</v>
      </c>
    </row>
    <row r="1240" spans="1:18" s="14" customFormat="1" x14ac:dyDescent="0.25">
      <c r="A1240" s="14" t="str">
        <f>"19303"</f>
        <v>19303</v>
      </c>
      <c r="B1240" s="14" t="str">
        <f>"01630"</f>
        <v>01630</v>
      </c>
      <c r="C1240" s="14" t="str">
        <f>"1200"</f>
        <v>1200</v>
      </c>
      <c r="D1240" s="14" t="str">
        <f>"19303"</f>
        <v>19303</v>
      </c>
      <c r="E1240" s="14" t="s">
        <v>833</v>
      </c>
      <c r="F1240" s="14" t="s">
        <v>142</v>
      </c>
      <c r="G1240" s="14" t="str">
        <f>"GR0019303"</f>
        <v>GR0019303</v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69</v>
      </c>
      <c r="L1240" s="14" t="s">
        <v>70</v>
      </c>
      <c r="M1240" s="14" t="s">
        <v>71</v>
      </c>
      <c r="O1240" s="14" t="s">
        <v>755</v>
      </c>
      <c r="P1240" s="14" t="s">
        <v>31</v>
      </c>
      <c r="Q1240" s="14" t="s">
        <v>31</v>
      </c>
      <c r="R1240" s="14" t="s">
        <v>72</v>
      </c>
    </row>
    <row r="1241" spans="1:18" s="14" customFormat="1" x14ac:dyDescent="0.25">
      <c r="A1241" s="14" t="str">
        <f>"19304"</f>
        <v>19304</v>
      </c>
      <c r="B1241" s="14" t="str">
        <f>"01630"</f>
        <v>01630</v>
      </c>
      <c r="C1241" s="14" t="str">
        <f>"1200"</f>
        <v>1200</v>
      </c>
      <c r="D1241" s="14" t="str">
        <f>"19304"</f>
        <v>19304</v>
      </c>
      <c r="E1241" s="14" t="s">
        <v>834</v>
      </c>
      <c r="F1241" s="14" t="s">
        <v>142</v>
      </c>
      <c r="G1241" s="14" t="str">
        <f>"GR0019304"</f>
        <v>GR0019304</v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69</v>
      </c>
      <c r="L1241" s="14" t="s">
        <v>70</v>
      </c>
      <c r="M1241" s="14" t="s">
        <v>71</v>
      </c>
      <c r="O1241" s="14" t="s">
        <v>755</v>
      </c>
      <c r="P1241" s="14" t="s">
        <v>31</v>
      </c>
      <c r="Q1241" s="14" t="s">
        <v>31</v>
      </c>
      <c r="R1241" s="14" t="s">
        <v>72</v>
      </c>
    </row>
    <row r="1242" spans="1:18" s="14" customFormat="1" x14ac:dyDescent="0.25">
      <c r="A1242" s="14" t="str">
        <f>"19305"</f>
        <v>19305</v>
      </c>
      <c r="B1242" s="14" t="str">
        <f>"01500"</f>
        <v>01500</v>
      </c>
      <c r="C1242" s="14" t="str">
        <f>"1200"</f>
        <v>1200</v>
      </c>
      <c r="D1242" s="14" t="str">
        <f>"19305"</f>
        <v>19305</v>
      </c>
      <c r="E1242" s="14" t="s">
        <v>835</v>
      </c>
      <c r="F1242" s="14" t="s">
        <v>130</v>
      </c>
      <c r="G1242" s="14" t="str">
        <f>"GR0019305"</f>
        <v>GR0019305</v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69</v>
      </c>
      <c r="L1242" s="14" t="s">
        <v>70</v>
      </c>
      <c r="M1242" s="14" t="s">
        <v>71</v>
      </c>
      <c r="O1242" s="14" t="s">
        <v>836</v>
      </c>
      <c r="P1242" s="14" t="s">
        <v>31</v>
      </c>
      <c r="Q1242" s="14" t="s">
        <v>31</v>
      </c>
      <c r="R1242" s="14" t="s">
        <v>72</v>
      </c>
    </row>
    <row r="1243" spans="1:18" s="14" customFormat="1" x14ac:dyDescent="0.25">
      <c r="A1243" s="14" t="str">
        <f>"19306"</f>
        <v>19306</v>
      </c>
      <c r="B1243" s="14" t="str">
        <f>"01620"</f>
        <v>01620</v>
      </c>
      <c r="C1243" s="14" t="str">
        <f>"1200"</f>
        <v>1200</v>
      </c>
      <c r="D1243" s="14" t="str">
        <f>""</f>
        <v/>
      </c>
      <c r="E1243" s="14" t="s">
        <v>1923</v>
      </c>
      <c r="F1243" s="14" t="s">
        <v>140</v>
      </c>
      <c r="G1243" s="14" t="str">
        <f>"GR0019306"</f>
        <v>GR0019306</v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69</v>
      </c>
      <c r="L1243" s="14" t="s">
        <v>70</v>
      </c>
      <c r="M1243" s="14" t="s">
        <v>71</v>
      </c>
      <c r="O1243" s="14" t="s">
        <v>1924</v>
      </c>
      <c r="P1243" s="14" t="s">
        <v>31</v>
      </c>
      <c r="Q1243" s="14" t="s">
        <v>31</v>
      </c>
      <c r="R1243" s="14" t="s">
        <v>72</v>
      </c>
    </row>
    <row r="1244" spans="1:18" s="14" customFormat="1" x14ac:dyDescent="0.25">
      <c r="A1244" s="14" t="str">
        <f>"19307"</f>
        <v>19307</v>
      </c>
      <c r="B1244" s="14" t="str">
        <f>"01370"</f>
        <v>01370</v>
      </c>
      <c r="C1244" s="14" t="str">
        <f>"1200"</f>
        <v>1200</v>
      </c>
      <c r="D1244" s="14" t="str">
        <f>""</f>
        <v/>
      </c>
      <c r="E1244" s="14" t="s">
        <v>1925</v>
      </c>
      <c r="F1244" s="14" t="s">
        <v>108</v>
      </c>
      <c r="G1244" s="14" t="str">
        <f>"GR0019307"</f>
        <v>GR0019307</v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69</v>
      </c>
      <c r="L1244" s="14" t="s">
        <v>70</v>
      </c>
      <c r="M1244" s="14" t="s">
        <v>71</v>
      </c>
      <c r="O1244" s="14" t="s">
        <v>1926</v>
      </c>
      <c r="P1244" s="14" t="s">
        <v>31</v>
      </c>
      <c r="Q1244" s="14" t="s">
        <v>31</v>
      </c>
      <c r="R1244" s="14" t="s">
        <v>72</v>
      </c>
    </row>
    <row r="1245" spans="1:18" s="14" customFormat="1" x14ac:dyDescent="0.25">
      <c r="A1245" s="14" t="str">
        <f>"30105"</f>
        <v>30105</v>
      </c>
      <c r="B1245" s="14" t="str">
        <f>"05040"</f>
        <v>05040</v>
      </c>
      <c r="C1245" s="14" t="str">
        <f>"1930"</f>
        <v>1930</v>
      </c>
      <c r="D1245" s="14" t="str">
        <f>"05040"</f>
        <v>05040</v>
      </c>
      <c r="E1245" s="14" t="s">
        <v>951</v>
      </c>
      <c r="F1245" s="14" t="s">
        <v>952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381</v>
      </c>
      <c r="L1245" s="14" t="s">
        <v>382</v>
      </c>
      <c r="P1245" s="14" t="s">
        <v>31</v>
      </c>
      <c r="Q1245" s="14" t="s">
        <v>25</v>
      </c>
      <c r="R1245" s="14" t="s">
        <v>383</v>
      </c>
    </row>
    <row r="1246" spans="1:18" s="14" customFormat="1" x14ac:dyDescent="0.25">
      <c r="A1246" s="14" t="str">
        <f>"30105"</f>
        <v>30105</v>
      </c>
      <c r="B1246" s="14" t="str">
        <f>"05050"</f>
        <v>05050</v>
      </c>
      <c r="C1246" s="14" t="str">
        <f>"1930"</f>
        <v>1930</v>
      </c>
      <c r="D1246" s="14" t="str">
        <f>"05050"</f>
        <v>05050</v>
      </c>
      <c r="E1246" s="14" t="s">
        <v>951</v>
      </c>
      <c r="F1246" s="14" t="s">
        <v>563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381</v>
      </c>
      <c r="L1246" s="14" t="s">
        <v>382</v>
      </c>
      <c r="P1246" s="14" t="s">
        <v>31</v>
      </c>
      <c r="Q1246" s="14" t="s">
        <v>25</v>
      </c>
      <c r="R1246" s="14" t="s">
        <v>383</v>
      </c>
    </row>
    <row r="1247" spans="1:18" s="14" customFormat="1" x14ac:dyDescent="0.25">
      <c r="A1247" s="14" t="str">
        <f>"30110"</f>
        <v>30110</v>
      </c>
      <c r="B1247" s="14" t="str">
        <f>"05000"</f>
        <v>05000</v>
      </c>
      <c r="C1247" s="14" t="str">
        <f>"1930"</f>
        <v>1930</v>
      </c>
      <c r="D1247" s="14" t="str">
        <f>""</f>
        <v/>
      </c>
      <c r="E1247" s="14" t="s">
        <v>953</v>
      </c>
      <c r="F1247" s="14" t="s">
        <v>366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47</v>
      </c>
      <c r="L1247" s="14" t="s">
        <v>37</v>
      </c>
      <c r="P1247" s="14" t="s">
        <v>31</v>
      </c>
      <c r="Q1247" s="14" t="s">
        <v>25</v>
      </c>
      <c r="R1247" s="14" t="s">
        <v>367</v>
      </c>
    </row>
    <row r="1248" spans="1:18" s="14" customFormat="1" x14ac:dyDescent="0.25">
      <c r="A1248" s="14" t="str">
        <f>"31010"</f>
        <v>31010</v>
      </c>
      <c r="B1248" s="14" t="str">
        <f>"03140"</f>
        <v>03140</v>
      </c>
      <c r="C1248" s="14" t="str">
        <f>"1921"</f>
        <v>1921</v>
      </c>
      <c r="D1248" s="14" t="str">
        <f>"03140B"</f>
        <v>03140B</v>
      </c>
      <c r="E1248" s="14" t="s">
        <v>954</v>
      </c>
      <c r="F1248" s="14" t="s">
        <v>247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236</v>
      </c>
      <c r="L1248" s="14" t="s">
        <v>237</v>
      </c>
      <c r="M1248" s="14" t="s">
        <v>238</v>
      </c>
      <c r="P1248" s="14" t="s">
        <v>31</v>
      </c>
      <c r="Q1248" s="14" t="s">
        <v>25</v>
      </c>
      <c r="R1248" s="14" t="s">
        <v>1930</v>
      </c>
    </row>
    <row r="1249" spans="1:18" s="14" customFormat="1" x14ac:dyDescent="0.25">
      <c r="A1249" s="14" t="str">
        <f>"31010"</f>
        <v>31010</v>
      </c>
      <c r="B1249" s="14" t="str">
        <f>"05170"</f>
        <v>05170</v>
      </c>
      <c r="C1249" s="14" t="str">
        <f>"1921"</f>
        <v>1921</v>
      </c>
      <c r="D1249" s="14" t="str">
        <f>"05170A"</f>
        <v>05170A</v>
      </c>
      <c r="E1249" s="14" t="s">
        <v>954</v>
      </c>
      <c r="F1249" s="14" t="s">
        <v>954</v>
      </c>
      <c r="G1249" s="14" t="str">
        <f>""</f>
        <v/>
      </c>
      <c r="H1249" s="14" t="str">
        <f>" 10"</f>
        <v xml:space="preserve"> 10</v>
      </c>
      <c r="I1249" s="14">
        <v>0.01</v>
      </c>
      <c r="J1249" s="14">
        <v>500</v>
      </c>
      <c r="K1249" s="14" t="s">
        <v>955</v>
      </c>
      <c r="L1249" s="14" t="s">
        <v>956</v>
      </c>
      <c r="P1249" s="14" t="s">
        <v>31</v>
      </c>
      <c r="Q1249" s="14" t="s">
        <v>25</v>
      </c>
      <c r="R1249" s="14" t="s">
        <v>955</v>
      </c>
    </row>
    <row r="1250" spans="1:18" s="14" customFormat="1" x14ac:dyDescent="0.25">
      <c r="A1250" s="14" t="str">
        <f>"31010"</f>
        <v>31010</v>
      </c>
      <c r="B1250" s="14" t="str">
        <f>"05170"</f>
        <v>05170</v>
      </c>
      <c r="C1250" s="14" t="str">
        <f>"1921"</f>
        <v>1921</v>
      </c>
      <c r="D1250" s="14" t="str">
        <f>"05170A"</f>
        <v>05170A</v>
      </c>
      <c r="E1250" s="14" t="s">
        <v>954</v>
      </c>
      <c r="F1250" s="14" t="s">
        <v>954</v>
      </c>
      <c r="G1250" s="14" t="str">
        <f>""</f>
        <v/>
      </c>
      <c r="H1250" s="14" t="str">
        <f>" 20"</f>
        <v xml:space="preserve"> 20</v>
      </c>
      <c r="I1250" s="14">
        <v>500.01</v>
      </c>
      <c r="J1250" s="14">
        <v>9999999.9900000002</v>
      </c>
      <c r="K1250" s="14" t="s">
        <v>956</v>
      </c>
      <c r="L1250" s="14" t="s">
        <v>957</v>
      </c>
      <c r="M1250" s="14" t="s">
        <v>47</v>
      </c>
      <c r="P1250" s="14" t="s">
        <v>31</v>
      </c>
      <c r="Q1250" s="14" t="s">
        <v>25</v>
      </c>
      <c r="R1250" s="14" t="s">
        <v>955</v>
      </c>
    </row>
    <row r="1251" spans="1:18" s="14" customFormat="1" x14ac:dyDescent="0.25">
      <c r="A1251" s="14" t="str">
        <f>"31010"</f>
        <v>31010</v>
      </c>
      <c r="B1251" s="14" t="str">
        <f>"05175"</f>
        <v>05175</v>
      </c>
      <c r="C1251" s="14" t="str">
        <f>"1921"</f>
        <v>1921</v>
      </c>
      <c r="D1251" s="14" t="str">
        <f>""</f>
        <v/>
      </c>
      <c r="E1251" s="14" t="s">
        <v>954</v>
      </c>
      <c r="F1251" s="14" t="s">
        <v>958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956</v>
      </c>
      <c r="L1251" s="14" t="s">
        <v>957</v>
      </c>
      <c r="M1251" s="14" t="s">
        <v>47</v>
      </c>
      <c r="P1251" s="14" t="s">
        <v>31</v>
      </c>
      <c r="Q1251" s="14" t="s">
        <v>25</v>
      </c>
      <c r="R1251" s="14" t="s">
        <v>955</v>
      </c>
    </row>
    <row r="1252" spans="1:18" s="14" customFormat="1" x14ac:dyDescent="0.25">
      <c r="A1252" s="14" t="str">
        <f>"31010"</f>
        <v>31010</v>
      </c>
      <c r="B1252" s="14" t="str">
        <f>"05190"</f>
        <v>05190</v>
      </c>
      <c r="C1252" s="14" t="str">
        <f>"1921"</f>
        <v>1921</v>
      </c>
      <c r="D1252" s="14" t="str">
        <f>"05190"</f>
        <v>05190</v>
      </c>
      <c r="E1252" s="14" t="s">
        <v>954</v>
      </c>
      <c r="F1252" s="14" t="s">
        <v>959</v>
      </c>
      <c r="G1252" s="14" t="str">
        <f>""</f>
        <v/>
      </c>
      <c r="H1252" s="14" t="str">
        <f>" 10"</f>
        <v xml:space="preserve"> 10</v>
      </c>
      <c r="I1252" s="14">
        <v>0.01</v>
      </c>
      <c r="J1252" s="14">
        <v>500</v>
      </c>
      <c r="K1252" s="14" t="s">
        <v>955</v>
      </c>
      <c r="L1252" s="14" t="s">
        <v>956</v>
      </c>
      <c r="P1252" s="14" t="s">
        <v>31</v>
      </c>
      <c r="Q1252" s="14" t="s">
        <v>25</v>
      </c>
      <c r="R1252" s="14" t="s">
        <v>955</v>
      </c>
    </row>
    <row r="1253" spans="1:18" s="14" customFormat="1" x14ac:dyDescent="0.25">
      <c r="A1253" s="14" t="str">
        <f>"31010"</f>
        <v>31010</v>
      </c>
      <c r="B1253" s="14" t="str">
        <f>"05190"</f>
        <v>05190</v>
      </c>
      <c r="C1253" s="14" t="str">
        <f>"1921"</f>
        <v>1921</v>
      </c>
      <c r="D1253" s="14" t="str">
        <f>"05190"</f>
        <v>05190</v>
      </c>
      <c r="E1253" s="14" t="s">
        <v>954</v>
      </c>
      <c r="F1253" s="14" t="s">
        <v>959</v>
      </c>
      <c r="G1253" s="14" t="str">
        <f>""</f>
        <v/>
      </c>
      <c r="H1253" s="14" t="str">
        <f>" 20"</f>
        <v xml:space="preserve"> 20</v>
      </c>
      <c r="I1253" s="14">
        <v>500.01</v>
      </c>
      <c r="J1253" s="14">
        <v>9999999.9900000002</v>
      </c>
      <c r="K1253" s="14" t="s">
        <v>956</v>
      </c>
      <c r="L1253" s="14" t="s">
        <v>957</v>
      </c>
      <c r="M1253" s="14" t="s">
        <v>47</v>
      </c>
      <c r="P1253" s="14" t="s">
        <v>31</v>
      </c>
      <c r="Q1253" s="14" t="s">
        <v>25</v>
      </c>
      <c r="R1253" s="14" t="s">
        <v>955</v>
      </c>
    </row>
    <row r="1254" spans="1:18" s="14" customFormat="1" x14ac:dyDescent="0.25">
      <c r="A1254" s="14" t="str">
        <f>"31010"</f>
        <v>31010</v>
      </c>
      <c r="B1254" s="14" t="str">
        <f>"05210"</f>
        <v>05210</v>
      </c>
      <c r="C1254" s="14" t="str">
        <f>"1921"</f>
        <v>1921</v>
      </c>
      <c r="D1254" s="14" t="str">
        <f>"05210"</f>
        <v>05210</v>
      </c>
      <c r="E1254" s="14" t="s">
        <v>954</v>
      </c>
      <c r="F1254" s="14" t="s">
        <v>960</v>
      </c>
      <c r="G1254" s="14" t="str">
        <f>""</f>
        <v/>
      </c>
      <c r="H1254" s="14" t="str">
        <f>" 10"</f>
        <v xml:space="preserve"> 10</v>
      </c>
      <c r="I1254" s="14">
        <v>0.01</v>
      </c>
      <c r="J1254" s="14">
        <v>500</v>
      </c>
      <c r="K1254" s="14" t="s">
        <v>955</v>
      </c>
      <c r="L1254" s="14" t="s">
        <v>956</v>
      </c>
      <c r="P1254" s="14" t="s">
        <v>31</v>
      </c>
      <c r="Q1254" s="14" t="s">
        <v>25</v>
      </c>
      <c r="R1254" s="14" t="s">
        <v>955</v>
      </c>
    </row>
    <row r="1255" spans="1:18" s="14" customFormat="1" x14ac:dyDescent="0.25">
      <c r="A1255" s="14" t="str">
        <f>"31010"</f>
        <v>31010</v>
      </c>
      <c r="B1255" s="14" t="str">
        <f>"05210"</f>
        <v>05210</v>
      </c>
      <c r="C1255" s="14" t="str">
        <f>"1921"</f>
        <v>1921</v>
      </c>
      <c r="D1255" s="14" t="str">
        <f>"05210"</f>
        <v>05210</v>
      </c>
      <c r="E1255" s="14" t="s">
        <v>954</v>
      </c>
      <c r="F1255" s="14" t="s">
        <v>960</v>
      </c>
      <c r="G1255" s="14" t="str">
        <f>""</f>
        <v/>
      </c>
      <c r="H1255" s="14" t="str">
        <f>" 20"</f>
        <v xml:space="preserve"> 20</v>
      </c>
      <c r="I1255" s="14">
        <v>500.01</v>
      </c>
      <c r="J1255" s="14">
        <v>9999999.9900000002</v>
      </c>
      <c r="K1255" s="14" t="s">
        <v>956</v>
      </c>
      <c r="L1255" s="14" t="s">
        <v>957</v>
      </c>
      <c r="M1255" s="14" t="s">
        <v>47</v>
      </c>
      <c r="P1255" s="14" t="s">
        <v>31</v>
      </c>
      <c r="Q1255" s="14" t="s">
        <v>25</v>
      </c>
      <c r="R1255" s="14" t="s">
        <v>955</v>
      </c>
    </row>
    <row r="1256" spans="1:18" s="14" customFormat="1" x14ac:dyDescent="0.25">
      <c r="A1256" s="14" t="str">
        <f>"31010"</f>
        <v>31010</v>
      </c>
      <c r="B1256" s="14" t="str">
        <f>"05220"</f>
        <v>05220</v>
      </c>
      <c r="C1256" s="14" t="str">
        <f>"1921"</f>
        <v>1921</v>
      </c>
      <c r="D1256" s="14" t="str">
        <f>"05220"</f>
        <v>05220</v>
      </c>
      <c r="E1256" s="14" t="s">
        <v>954</v>
      </c>
      <c r="F1256" s="14" t="s">
        <v>961</v>
      </c>
      <c r="G1256" s="14" t="str">
        <f>""</f>
        <v/>
      </c>
      <c r="H1256" s="14" t="str">
        <f>" 10"</f>
        <v xml:space="preserve"> 10</v>
      </c>
      <c r="I1256" s="14">
        <v>0.01</v>
      </c>
      <c r="J1256" s="14">
        <v>500</v>
      </c>
      <c r="K1256" s="14" t="s">
        <v>955</v>
      </c>
      <c r="L1256" s="14" t="s">
        <v>956</v>
      </c>
      <c r="P1256" s="14" t="s">
        <v>31</v>
      </c>
      <c r="Q1256" s="14" t="s">
        <v>25</v>
      </c>
      <c r="R1256" s="14" t="s">
        <v>955</v>
      </c>
    </row>
    <row r="1257" spans="1:18" s="14" customFormat="1" x14ac:dyDescent="0.25">
      <c r="A1257" s="14" t="str">
        <f>"31010"</f>
        <v>31010</v>
      </c>
      <c r="B1257" s="14" t="str">
        <f>"05220"</f>
        <v>05220</v>
      </c>
      <c r="C1257" s="14" t="str">
        <f>"1921"</f>
        <v>1921</v>
      </c>
      <c r="D1257" s="14" t="str">
        <f>"05220"</f>
        <v>05220</v>
      </c>
      <c r="E1257" s="14" t="s">
        <v>954</v>
      </c>
      <c r="F1257" s="14" t="s">
        <v>961</v>
      </c>
      <c r="G1257" s="14" t="str">
        <f>""</f>
        <v/>
      </c>
      <c r="H1257" s="14" t="str">
        <f>" 20"</f>
        <v xml:space="preserve"> 20</v>
      </c>
      <c r="I1257" s="14">
        <v>500.01</v>
      </c>
      <c r="J1257" s="14">
        <v>9999999.9900000002</v>
      </c>
      <c r="K1257" s="14" t="s">
        <v>956</v>
      </c>
      <c r="L1257" s="14" t="s">
        <v>957</v>
      </c>
      <c r="M1257" s="14" t="s">
        <v>47</v>
      </c>
      <c r="P1257" s="14" t="s">
        <v>31</v>
      </c>
      <c r="Q1257" s="14" t="s">
        <v>25</v>
      </c>
      <c r="R1257" s="14" t="s">
        <v>955</v>
      </c>
    </row>
    <row r="1258" spans="1:18" s="14" customFormat="1" x14ac:dyDescent="0.25">
      <c r="A1258" s="14" t="str">
        <f>"31015"</f>
        <v>31015</v>
      </c>
      <c r="B1258" s="14" t="str">
        <f>"05170"</f>
        <v>05170</v>
      </c>
      <c r="C1258" s="14" t="str">
        <f>"1921"</f>
        <v>1921</v>
      </c>
      <c r="D1258" s="14" t="str">
        <f>"05170B"</f>
        <v>05170B</v>
      </c>
      <c r="E1258" s="14" t="s">
        <v>962</v>
      </c>
      <c r="F1258" s="14" t="s">
        <v>954</v>
      </c>
      <c r="G1258" s="14" t="str">
        <f>""</f>
        <v/>
      </c>
      <c r="H1258" s="14" t="str">
        <f>" 10"</f>
        <v xml:space="preserve"> 10</v>
      </c>
      <c r="I1258" s="14">
        <v>0.01</v>
      </c>
      <c r="J1258" s="14">
        <v>500</v>
      </c>
      <c r="K1258" s="14" t="s">
        <v>955</v>
      </c>
      <c r="L1258" s="14" t="s">
        <v>956</v>
      </c>
      <c r="P1258" s="14" t="s">
        <v>31</v>
      </c>
      <c r="Q1258" s="14" t="s">
        <v>25</v>
      </c>
      <c r="R1258" s="14" t="s">
        <v>955</v>
      </c>
    </row>
    <row r="1259" spans="1:18" s="14" customFormat="1" x14ac:dyDescent="0.25">
      <c r="A1259" s="14" t="str">
        <f>"31015"</f>
        <v>31015</v>
      </c>
      <c r="B1259" s="14" t="str">
        <f>"05170"</f>
        <v>05170</v>
      </c>
      <c r="C1259" s="14" t="str">
        <f>"1921"</f>
        <v>1921</v>
      </c>
      <c r="D1259" s="14" t="str">
        <f>"05170B"</f>
        <v>05170B</v>
      </c>
      <c r="E1259" s="14" t="s">
        <v>962</v>
      </c>
      <c r="F1259" s="14" t="s">
        <v>954</v>
      </c>
      <c r="G1259" s="14" t="str">
        <f>""</f>
        <v/>
      </c>
      <c r="H1259" s="14" t="str">
        <f>" 20"</f>
        <v xml:space="preserve"> 20</v>
      </c>
      <c r="I1259" s="14">
        <v>500.01</v>
      </c>
      <c r="J1259" s="14">
        <v>9999999.9900000002</v>
      </c>
      <c r="K1259" s="14" t="s">
        <v>956</v>
      </c>
      <c r="L1259" s="14" t="s">
        <v>957</v>
      </c>
      <c r="M1259" s="14" t="s">
        <v>47</v>
      </c>
      <c r="P1259" s="14" t="s">
        <v>31</v>
      </c>
      <c r="Q1259" s="14" t="s">
        <v>25</v>
      </c>
      <c r="R1259" s="14" t="s">
        <v>955</v>
      </c>
    </row>
    <row r="1260" spans="1:18" s="14" customFormat="1" x14ac:dyDescent="0.25">
      <c r="A1260" s="14" t="str">
        <f>"31015"</f>
        <v>31015</v>
      </c>
      <c r="B1260" s="14" t="str">
        <f>"05200"</f>
        <v>05200</v>
      </c>
      <c r="C1260" s="14" t="str">
        <f>"1921"</f>
        <v>1921</v>
      </c>
      <c r="D1260" s="14" t="str">
        <f>"05200"</f>
        <v>05200</v>
      </c>
      <c r="E1260" s="14" t="s">
        <v>962</v>
      </c>
      <c r="F1260" s="14" t="s">
        <v>963</v>
      </c>
      <c r="G1260" s="14" t="str">
        <f>""</f>
        <v/>
      </c>
      <c r="H1260" s="14" t="str">
        <f>" 10"</f>
        <v xml:space="preserve"> 10</v>
      </c>
      <c r="I1260" s="14">
        <v>0.01</v>
      </c>
      <c r="J1260" s="14">
        <v>500</v>
      </c>
      <c r="K1260" s="14" t="s">
        <v>955</v>
      </c>
      <c r="L1260" s="14" t="s">
        <v>956</v>
      </c>
      <c r="P1260" s="14" t="s">
        <v>31</v>
      </c>
      <c r="Q1260" s="14" t="s">
        <v>25</v>
      </c>
      <c r="R1260" s="14" t="s">
        <v>955</v>
      </c>
    </row>
    <row r="1261" spans="1:18" s="14" customFormat="1" x14ac:dyDescent="0.25">
      <c r="A1261" s="14" t="str">
        <f>"31015"</f>
        <v>31015</v>
      </c>
      <c r="B1261" s="14" t="str">
        <f>"05200"</f>
        <v>05200</v>
      </c>
      <c r="C1261" s="14" t="str">
        <f>"1921"</f>
        <v>1921</v>
      </c>
      <c r="D1261" s="14" t="str">
        <f>"05200"</f>
        <v>05200</v>
      </c>
      <c r="E1261" s="14" t="s">
        <v>962</v>
      </c>
      <c r="F1261" s="14" t="s">
        <v>963</v>
      </c>
      <c r="G1261" s="14" t="str">
        <f>""</f>
        <v/>
      </c>
      <c r="H1261" s="14" t="str">
        <f>" 20"</f>
        <v xml:space="preserve"> 20</v>
      </c>
      <c r="I1261" s="14">
        <v>500.01</v>
      </c>
      <c r="J1261" s="14">
        <v>9999999.9900000002</v>
      </c>
      <c r="K1261" s="14" t="s">
        <v>956</v>
      </c>
      <c r="L1261" s="14" t="s">
        <v>957</v>
      </c>
      <c r="M1261" s="14" t="s">
        <v>47</v>
      </c>
      <c r="P1261" s="14" t="s">
        <v>31</v>
      </c>
      <c r="Q1261" s="14" t="s">
        <v>25</v>
      </c>
      <c r="R1261" s="14" t="s">
        <v>955</v>
      </c>
    </row>
    <row r="1262" spans="1:18" s="14" customFormat="1" x14ac:dyDescent="0.25">
      <c r="A1262" s="14" t="str">
        <f>"31049"</f>
        <v>31049</v>
      </c>
      <c r="B1262" s="14" t="str">
        <f>"03170"</f>
        <v>03170</v>
      </c>
      <c r="C1262" s="14" t="str">
        <f>"1921"</f>
        <v>1921</v>
      </c>
      <c r="D1262" s="14" t="str">
        <f>"31049"</f>
        <v>31049</v>
      </c>
      <c r="E1262" s="14" t="s">
        <v>964</v>
      </c>
      <c r="F1262" s="14" t="s">
        <v>251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252</v>
      </c>
      <c r="L1262" s="14" t="s">
        <v>253</v>
      </c>
      <c r="P1262" s="14" t="s">
        <v>31</v>
      </c>
      <c r="Q1262" s="14" t="s">
        <v>25</v>
      </c>
      <c r="R1262" s="14" t="s">
        <v>254</v>
      </c>
    </row>
    <row r="1263" spans="1:18" s="14" customFormat="1" x14ac:dyDescent="0.25">
      <c r="A1263" s="14" t="str">
        <f>"31064"</f>
        <v>31064</v>
      </c>
      <c r="B1263" s="14" t="str">
        <f>"03140"</f>
        <v>03140</v>
      </c>
      <c r="C1263" s="14" t="str">
        <f>"1921"</f>
        <v>1921</v>
      </c>
      <c r="D1263" s="14" t="str">
        <f>"31064"</f>
        <v>31064</v>
      </c>
      <c r="E1263" s="14" t="s">
        <v>965</v>
      </c>
      <c r="F1263" s="14" t="s">
        <v>247</v>
      </c>
      <c r="G1263" s="14" t="str">
        <f>"GN0031064"</f>
        <v>GN0031064</v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236</v>
      </c>
      <c r="L1263" s="14" t="s">
        <v>237</v>
      </c>
      <c r="M1263" s="14" t="s">
        <v>238</v>
      </c>
      <c r="P1263" s="14" t="s">
        <v>31</v>
      </c>
      <c r="Q1263" s="14" t="s">
        <v>25</v>
      </c>
      <c r="R1263" s="14" t="s">
        <v>1930</v>
      </c>
    </row>
    <row r="1264" spans="1:18" s="14" customFormat="1" x14ac:dyDescent="0.25">
      <c r="A1264" s="14" t="str">
        <f>"31065"</f>
        <v>31065</v>
      </c>
      <c r="B1264" s="14" t="str">
        <f>"05170"</f>
        <v>05170</v>
      </c>
      <c r="C1264" s="14" t="str">
        <f>"1921"</f>
        <v>1921</v>
      </c>
      <c r="D1264" s="14" t="str">
        <f>"31065"</f>
        <v>31065</v>
      </c>
      <c r="E1264" s="14" t="s">
        <v>966</v>
      </c>
      <c r="F1264" s="14" t="s">
        <v>954</v>
      </c>
      <c r="G1264" s="14" t="str">
        <f>"GN0031065"</f>
        <v>GN0031065</v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957</v>
      </c>
      <c r="L1264" s="14" t="s">
        <v>956</v>
      </c>
      <c r="M1264" s="14" t="s">
        <v>47</v>
      </c>
      <c r="P1264" s="14" t="s">
        <v>31</v>
      </c>
      <c r="Q1264" s="14" t="s">
        <v>25</v>
      </c>
      <c r="R1264" s="14" t="s">
        <v>955</v>
      </c>
    </row>
    <row r="1265" spans="1:18" s="14" customFormat="1" x14ac:dyDescent="0.25">
      <c r="A1265" s="14" t="str">
        <f>"31105"</f>
        <v>31105</v>
      </c>
      <c r="B1265" s="14" t="str">
        <f>"03000"</f>
        <v>03000</v>
      </c>
      <c r="C1265" s="14" t="str">
        <f>"1930"</f>
        <v>1930</v>
      </c>
      <c r="D1265" s="14" t="str">
        <f>"31105"</f>
        <v>31105</v>
      </c>
      <c r="E1265" s="14" t="s">
        <v>967</v>
      </c>
      <c r="F1265" s="14" t="s">
        <v>217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34</v>
      </c>
      <c r="L1265" s="14" t="s">
        <v>226</v>
      </c>
      <c r="P1265" s="14" t="s">
        <v>31</v>
      </c>
      <c r="Q1265" s="14" t="s">
        <v>25</v>
      </c>
      <c r="R1265" s="14" t="s">
        <v>35</v>
      </c>
    </row>
    <row r="1266" spans="1:18" s="14" customFormat="1" x14ac:dyDescent="0.25">
      <c r="A1266" s="14" t="str">
        <f>"31205"</f>
        <v>31205</v>
      </c>
      <c r="B1266" s="14" t="str">
        <f>"03000"</f>
        <v>03000</v>
      </c>
      <c r="C1266" s="14" t="str">
        <f>"1930"</f>
        <v>1930</v>
      </c>
      <c r="D1266" s="14" t="str">
        <f>"31205"</f>
        <v>31205</v>
      </c>
      <c r="E1266" s="14" t="s">
        <v>969</v>
      </c>
      <c r="F1266" s="14" t="s">
        <v>217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34</v>
      </c>
      <c r="P1266" s="14" t="s">
        <v>31</v>
      </c>
      <c r="Q1266" s="14" t="s">
        <v>25</v>
      </c>
      <c r="R1266" s="14" t="s">
        <v>35</v>
      </c>
    </row>
    <row r="1267" spans="1:18" s="14" customFormat="1" x14ac:dyDescent="0.25">
      <c r="A1267" s="14" t="str">
        <f>"32105"</f>
        <v>32105</v>
      </c>
      <c r="B1267" s="14" t="str">
        <f>"02120"</f>
        <v>02120</v>
      </c>
      <c r="C1267" s="14" t="str">
        <f>"1930"</f>
        <v>1930</v>
      </c>
      <c r="D1267" s="14" t="str">
        <f>"02120B"</f>
        <v>02120B</v>
      </c>
      <c r="E1267" s="14" t="s">
        <v>972</v>
      </c>
      <c r="F1267" s="14" t="s">
        <v>209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29</v>
      </c>
      <c r="L1267" s="14" t="s">
        <v>210</v>
      </c>
      <c r="P1267" s="14" t="s">
        <v>31</v>
      </c>
      <c r="Q1267" s="14" t="s">
        <v>25</v>
      </c>
      <c r="R1267" s="14" t="s">
        <v>210</v>
      </c>
    </row>
    <row r="1268" spans="1:18" s="14" customFormat="1" x14ac:dyDescent="0.25">
      <c r="A1268" s="14" t="str">
        <f>"32105"</f>
        <v>32105</v>
      </c>
      <c r="B1268" s="14" t="str">
        <f>"03000"</f>
        <v>03000</v>
      </c>
      <c r="C1268" s="14" t="str">
        <f>"1930"</f>
        <v>1930</v>
      </c>
      <c r="D1268" s="14" t="str">
        <f>"03000B"</f>
        <v>03000B</v>
      </c>
      <c r="E1268" s="14" t="s">
        <v>972</v>
      </c>
      <c r="F1268" s="14" t="s">
        <v>217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34</v>
      </c>
      <c r="L1268" s="14" t="s">
        <v>25</v>
      </c>
      <c r="P1268" s="14" t="s">
        <v>31</v>
      </c>
      <c r="Q1268" s="14" t="s">
        <v>25</v>
      </c>
      <c r="R1268" s="14" t="s">
        <v>35</v>
      </c>
    </row>
    <row r="1269" spans="1:18" s="14" customFormat="1" x14ac:dyDescent="0.25">
      <c r="A1269" s="14" t="str">
        <f>"32115"</f>
        <v>32115</v>
      </c>
      <c r="B1269" s="14" t="str">
        <f>"03000"</f>
        <v>03000</v>
      </c>
      <c r="C1269" s="14" t="str">
        <f>"1930"</f>
        <v>1930</v>
      </c>
      <c r="D1269" s="14" t="str">
        <f>"32115"</f>
        <v>32115</v>
      </c>
      <c r="E1269" s="14" t="s">
        <v>973</v>
      </c>
      <c r="F1269" s="14" t="s">
        <v>217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34</v>
      </c>
      <c r="L1269" s="14" t="s">
        <v>226</v>
      </c>
      <c r="P1269" s="14" t="s">
        <v>31</v>
      </c>
      <c r="Q1269" s="14" t="s">
        <v>25</v>
      </c>
      <c r="R1269" s="14" t="s">
        <v>35</v>
      </c>
    </row>
    <row r="1270" spans="1:18" s="14" customFormat="1" x14ac:dyDescent="0.25">
      <c r="A1270" s="14" t="str">
        <f>"33005"</f>
        <v>33005</v>
      </c>
      <c r="B1270" s="14" t="str">
        <f>"01150"</f>
        <v>01150</v>
      </c>
      <c r="C1270" s="14" t="str">
        <f>"1930"</f>
        <v>1930</v>
      </c>
      <c r="D1270" s="14" t="str">
        <f>"01150A"</f>
        <v>01150A</v>
      </c>
      <c r="E1270" s="14" t="s">
        <v>974</v>
      </c>
      <c r="F1270" s="14" t="s">
        <v>975</v>
      </c>
      <c r="G1270" s="14" t="str">
        <f>""</f>
        <v/>
      </c>
      <c r="H1270" s="14" t="str">
        <f>" 10"</f>
        <v xml:space="preserve"> 10</v>
      </c>
      <c r="I1270" s="14">
        <v>0.01</v>
      </c>
      <c r="J1270" s="14">
        <v>500</v>
      </c>
      <c r="K1270" s="14" t="s">
        <v>727</v>
      </c>
      <c r="L1270" s="14" t="s">
        <v>55</v>
      </c>
      <c r="P1270" s="14" t="s">
        <v>31</v>
      </c>
      <c r="Q1270" s="14" t="s">
        <v>25</v>
      </c>
      <c r="R1270" s="14" t="s">
        <v>727</v>
      </c>
    </row>
    <row r="1271" spans="1:18" s="14" customFormat="1" x14ac:dyDescent="0.25">
      <c r="A1271" s="14" t="str">
        <f>"33005"</f>
        <v>33005</v>
      </c>
      <c r="B1271" s="14" t="str">
        <f>"01150"</f>
        <v>01150</v>
      </c>
      <c r="C1271" s="14" t="str">
        <f>"1930"</f>
        <v>1930</v>
      </c>
      <c r="D1271" s="14" t="str">
        <f>"01150A"</f>
        <v>01150A</v>
      </c>
      <c r="E1271" s="14" t="s">
        <v>974</v>
      </c>
      <c r="F1271" s="14" t="s">
        <v>975</v>
      </c>
      <c r="G1271" s="14" t="str">
        <f>""</f>
        <v/>
      </c>
      <c r="H1271" s="14" t="str">
        <f>" 20"</f>
        <v xml:space="preserve"> 20</v>
      </c>
      <c r="I1271" s="14">
        <v>500.01</v>
      </c>
      <c r="J1271" s="14">
        <v>9999999.9900000002</v>
      </c>
      <c r="K1271" s="14" t="s">
        <v>55</v>
      </c>
      <c r="L1271" s="14" t="s">
        <v>53</v>
      </c>
      <c r="M1271" s="14" t="s">
        <v>726</v>
      </c>
      <c r="P1271" s="14" t="s">
        <v>31</v>
      </c>
      <c r="Q1271" s="14" t="s">
        <v>25</v>
      </c>
      <c r="R1271" s="14" t="s">
        <v>727</v>
      </c>
    </row>
    <row r="1272" spans="1:18" s="14" customFormat="1" x14ac:dyDescent="0.25">
      <c r="A1272" s="14" t="str">
        <f>"33005"</f>
        <v>33005</v>
      </c>
      <c r="B1272" s="14" t="str">
        <f>"01151"</f>
        <v>01151</v>
      </c>
      <c r="C1272" s="14" t="str">
        <f>"1930"</f>
        <v>1930</v>
      </c>
      <c r="D1272" s="14" t="str">
        <f>"01151"</f>
        <v>01151</v>
      </c>
      <c r="E1272" s="14" t="s">
        <v>974</v>
      </c>
      <c r="F1272" s="14" t="s">
        <v>976</v>
      </c>
      <c r="G1272" s="14" t="str">
        <f>""</f>
        <v/>
      </c>
      <c r="H1272" s="14" t="str">
        <f>" 10"</f>
        <v xml:space="preserve"> 10</v>
      </c>
      <c r="I1272" s="14">
        <v>0.01</v>
      </c>
      <c r="J1272" s="14">
        <v>500</v>
      </c>
      <c r="K1272" s="14" t="s">
        <v>727</v>
      </c>
      <c r="L1272" s="14" t="s">
        <v>55</v>
      </c>
      <c r="P1272" s="14" t="s">
        <v>31</v>
      </c>
      <c r="Q1272" s="14" t="s">
        <v>25</v>
      </c>
      <c r="R1272" s="14" t="s">
        <v>727</v>
      </c>
    </row>
    <row r="1273" spans="1:18" s="14" customFormat="1" x14ac:dyDescent="0.25">
      <c r="A1273" s="14" t="str">
        <f>"33005"</f>
        <v>33005</v>
      </c>
      <c r="B1273" s="14" t="str">
        <f>"01151"</f>
        <v>01151</v>
      </c>
      <c r="C1273" s="14" t="str">
        <f>"1930"</f>
        <v>1930</v>
      </c>
      <c r="D1273" s="14" t="str">
        <f>"01151"</f>
        <v>01151</v>
      </c>
      <c r="E1273" s="14" t="s">
        <v>974</v>
      </c>
      <c r="F1273" s="14" t="s">
        <v>976</v>
      </c>
      <c r="G1273" s="14" t="str">
        <f>""</f>
        <v/>
      </c>
      <c r="H1273" s="14" t="str">
        <f>" 20"</f>
        <v xml:space="preserve"> 20</v>
      </c>
      <c r="I1273" s="14">
        <v>500.01</v>
      </c>
      <c r="J1273" s="14">
        <v>9999999.9900000002</v>
      </c>
      <c r="K1273" s="14" t="s">
        <v>55</v>
      </c>
      <c r="L1273" s="14" t="s">
        <v>53</v>
      </c>
      <c r="M1273" s="14" t="s">
        <v>726</v>
      </c>
      <c r="P1273" s="14" t="s">
        <v>31</v>
      </c>
      <c r="Q1273" s="14" t="s">
        <v>25</v>
      </c>
      <c r="R1273" s="14" t="s">
        <v>727</v>
      </c>
    </row>
    <row r="1274" spans="1:18" s="14" customFormat="1" x14ac:dyDescent="0.25">
      <c r="A1274" s="14" t="str">
        <f>"33005"</f>
        <v>33005</v>
      </c>
      <c r="B1274" s="14" t="str">
        <f>"01152"</f>
        <v>01152</v>
      </c>
      <c r="C1274" s="14" t="str">
        <f>"1930"</f>
        <v>1930</v>
      </c>
      <c r="D1274" s="14" t="str">
        <f>"01152"</f>
        <v>01152</v>
      </c>
      <c r="E1274" s="14" t="s">
        <v>974</v>
      </c>
      <c r="F1274" s="14" t="s">
        <v>977</v>
      </c>
      <c r="G1274" s="14" t="str">
        <f>""</f>
        <v/>
      </c>
      <c r="H1274" s="14" t="str">
        <f>" 10"</f>
        <v xml:space="preserve"> 10</v>
      </c>
      <c r="I1274" s="14">
        <v>0.01</v>
      </c>
      <c r="J1274" s="14">
        <v>500</v>
      </c>
      <c r="K1274" s="14" t="s">
        <v>727</v>
      </c>
      <c r="L1274" s="14" t="s">
        <v>55</v>
      </c>
      <c r="P1274" s="14" t="s">
        <v>31</v>
      </c>
      <c r="Q1274" s="14" t="s">
        <v>25</v>
      </c>
      <c r="R1274" s="14" t="s">
        <v>727</v>
      </c>
    </row>
    <row r="1275" spans="1:18" s="14" customFormat="1" x14ac:dyDescent="0.25">
      <c r="A1275" s="14" t="str">
        <f>"33005"</f>
        <v>33005</v>
      </c>
      <c r="B1275" s="14" t="str">
        <f>"01152"</f>
        <v>01152</v>
      </c>
      <c r="C1275" s="14" t="str">
        <f>"1930"</f>
        <v>1930</v>
      </c>
      <c r="D1275" s="14" t="str">
        <f>"01152"</f>
        <v>01152</v>
      </c>
      <c r="E1275" s="14" t="s">
        <v>974</v>
      </c>
      <c r="F1275" s="14" t="s">
        <v>977</v>
      </c>
      <c r="G1275" s="14" t="str">
        <f>""</f>
        <v/>
      </c>
      <c r="H1275" s="14" t="str">
        <f>" 20"</f>
        <v xml:space="preserve"> 20</v>
      </c>
      <c r="I1275" s="14">
        <v>500.01</v>
      </c>
      <c r="J1275" s="14">
        <v>9999999.9900000002</v>
      </c>
      <c r="K1275" s="14" t="s">
        <v>55</v>
      </c>
      <c r="L1275" s="14" t="s">
        <v>53</v>
      </c>
      <c r="M1275" s="14" t="s">
        <v>726</v>
      </c>
      <c r="P1275" s="14" t="s">
        <v>31</v>
      </c>
      <c r="Q1275" s="14" t="s">
        <v>25</v>
      </c>
      <c r="R1275" s="14" t="s">
        <v>727</v>
      </c>
    </row>
    <row r="1276" spans="1:18" s="14" customFormat="1" x14ac:dyDescent="0.25">
      <c r="A1276" s="14" t="str">
        <f>"33005"</f>
        <v>33005</v>
      </c>
      <c r="B1276" s="14" t="str">
        <f>"01154"</f>
        <v>01154</v>
      </c>
      <c r="C1276" s="14" t="str">
        <f>"1930"</f>
        <v>1930</v>
      </c>
      <c r="D1276" s="14" t="str">
        <f>"01154"</f>
        <v>01154</v>
      </c>
      <c r="E1276" s="14" t="s">
        <v>974</v>
      </c>
      <c r="F1276" s="14" t="s">
        <v>978</v>
      </c>
      <c r="G1276" s="14" t="str">
        <f>""</f>
        <v/>
      </c>
      <c r="H1276" s="14" t="str">
        <f>" 10"</f>
        <v xml:space="preserve"> 10</v>
      </c>
      <c r="I1276" s="14">
        <v>0.01</v>
      </c>
      <c r="J1276" s="14">
        <v>500</v>
      </c>
      <c r="K1276" s="14" t="s">
        <v>727</v>
      </c>
      <c r="L1276" s="14" t="s">
        <v>55</v>
      </c>
      <c r="P1276" s="14" t="s">
        <v>31</v>
      </c>
      <c r="Q1276" s="14" t="s">
        <v>25</v>
      </c>
      <c r="R1276" s="14" t="s">
        <v>727</v>
      </c>
    </row>
    <row r="1277" spans="1:18" s="14" customFormat="1" x14ac:dyDescent="0.25">
      <c r="A1277" s="14" t="str">
        <f>"33005"</f>
        <v>33005</v>
      </c>
      <c r="B1277" s="14" t="str">
        <f>"01154"</f>
        <v>01154</v>
      </c>
      <c r="C1277" s="14" t="str">
        <f>"1930"</f>
        <v>1930</v>
      </c>
      <c r="D1277" s="14" t="str">
        <f>"01154"</f>
        <v>01154</v>
      </c>
      <c r="E1277" s="14" t="s">
        <v>974</v>
      </c>
      <c r="F1277" s="14" t="s">
        <v>978</v>
      </c>
      <c r="G1277" s="14" t="str">
        <f>""</f>
        <v/>
      </c>
      <c r="H1277" s="14" t="str">
        <f>" 20"</f>
        <v xml:space="preserve"> 20</v>
      </c>
      <c r="I1277" s="14">
        <v>500.01</v>
      </c>
      <c r="J1277" s="14">
        <v>9999999.9900000002</v>
      </c>
      <c r="K1277" s="14" t="s">
        <v>55</v>
      </c>
      <c r="L1277" s="14" t="s">
        <v>53</v>
      </c>
      <c r="M1277" s="14" t="s">
        <v>726</v>
      </c>
      <c r="P1277" s="14" t="s">
        <v>31</v>
      </c>
      <c r="Q1277" s="14" t="s">
        <v>25</v>
      </c>
      <c r="R1277" s="14" t="s">
        <v>727</v>
      </c>
    </row>
    <row r="1278" spans="1:18" s="14" customFormat="1" x14ac:dyDescent="0.25">
      <c r="A1278" s="14" t="str">
        <f>"33010"</f>
        <v>33010</v>
      </c>
      <c r="B1278" s="14" t="str">
        <f>"01150"</f>
        <v>01150</v>
      </c>
      <c r="C1278" s="14" t="str">
        <f>"1930"</f>
        <v>1930</v>
      </c>
      <c r="D1278" s="14" t="str">
        <f>"01150B"</f>
        <v>01150B</v>
      </c>
      <c r="E1278" s="14" t="s">
        <v>979</v>
      </c>
      <c r="F1278" s="14" t="s">
        <v>975</v>
      </c>
      <c r="G1278" s="14" t="str">
        <f>""</f>
        <v/>
      </c>
      <c r="H1278" s="14" t="str">
        <f>" 10"</f>
        <v xml:space="preserve"> 10</v>
      </c>
      <c r="I1278" s="14">
        <v>0.01</v>
      </c>
      <c r="J1278" s="14">
        <v>500</v>
      </c>
      <c r="K1278" s="14" t="s">
        <v>727</v>
      </c>
      <c r="L1278" s="14" t="s">
        <v>55</v>
      </c>
      <c r="P1278" s="14" t="s">
        <v>31</v>
      </c>
      <c r="Q1278" s="14" t="s">
        <v>25</v>
      </c>
      <c r="R1278" s="14" t="s">
        <v>727</v>
      </c>
    </row>
    <row r="1279" spans="1:18" s="14" customFormat="1" x14ac:dyDescent="0.25">
      <c r="A1279" s="14" t="str">
        <f>"33010"</f>
        <v>33010</v>
      </c>
      <c r="B1279" s="14" t="str">
        <f>"01150"</f>
        <v>01150</v>
      </c>
      <c r="C1279" s="14" t="str">
        <f>"1930"</f>
        <v>1930</v>
      </c>
      <c r="D1279" s="14" t="str">
        <f>"01150B"</f>
        <v>01150B</v>
      </c>
      <c r="E1279" s="14" t="s">
        <v>979</v>
      </c>
      <c r="F1279" s="14" t="s">
        <v>975</v>
      </c>
      <c r="G1279" s="14" t="str">
        <f>""</f>
        <v/>
      </c>
      <c r="H1279" s="14" t="str">
        <f>" 20"</f>
        <v xml:space="preserve"> 20</v>
      </c>
      <c r="I1279" s="14">
        <v>500.01</v>
      </c>
      <c r="J1279" s="14">
        <v>9999999.9900000002</v>
      </c>
      <c r="K1279" s="14" t="s">
        <v>55</v>
      </c>
      <c r="L1279" s="14" t="s">
        <v>53</v>
      </c>
      <c r="M1279" s="14" t="s">
        <v>726</v>
      </c>
      <c r="P1279" s="14" t="s">
        <v>31</v>
      </c>
      <c r="Q1279" s="14" t="s">
        <v>25</v>
      </c>
      <c r="R1279" s="14" t="s">
        <v>727</v>
      </c>
    </row>
    <row r="1280" spans="1:18" s="14" customFormat="1" x14ac:dyDescent="0.25">
      <c r="A1280" s="14" t="str">
        <f>"33105"</f>
        <v>33105</v>
      </c>
      <c r="B1280" s="14" t="str">
        <f>"01100"</f>
        <v>01100</v>
      </c>
      <c r="C1280" s="14" t="str">
        <f>"1930"</f>
        <v>1930</v>
      </c>
      <c r="D1280" s="14" t="str">
        <f>"01100"</f>
        <v>01100</v>
      </c>
      <c r="E1280" s="14" t="s">
        <v>725</v>
      </c>
      <c r="F1280" s="14" t="s">
        <v>725</v>
      </c>
      <c r="G1280" s="14" t="str">
        <f>""</f>
        <v/>
      </c>
      <c r="H1280" s="14" t="str">
        <f>" 10"</f>
        <v xml:space="preserve"> 10</v>
      </c>
      <c r="I1280" s="14">
        <v>0.01</v>
      </c>
      <c r="J1280" s="14">
        <v>500</v>
      </c>
      <c r="K1280" s="14" t="s">
        <v>727</v>
      </c>
      <c r="L1280" s="14" t="s">
        <v>55</v>
      </c>
      <c r="P1280" s="14" t="s">
        <v>31</v>
      </c>
      <c r="Q1280" s="14" t="s">
        <v>25</v>
      </c>
      <c r="R1280" s="14" t="s">
        <v>727</v>
      </c>
    </row>
    <row r="1281" spans="1:18" s="14" customFormat="1" x14ac:dyDescent="0.25">
      <c r="A1281" s="14" t="str">
        <f>"33105"</f>
        <v>33105</v>
      </c>
      <c r="B1281" s="14" t="str">
        <f>"01100"</f>
        <v>01100</v>
      </c>
      <c r="C1281" s="14" t="str">
        <f>"1930"</f>
        <v>1930</v>
      </c>
      <c r="D1281" s="14" t="str">
        <f>"01100"</f>
        <v>01100</v>
      </c>
      <c r="E1281" s="14" t="s">
        <v>725</v>
      </c>
      <c r="F1281" s="14" t="s">
        <v>725</v>
      </c>
      <c r="G1281" s="14" t="str">
        <f>""</f>
        <v/>
      </c>
      <c r="H1281" s="14" t="str">
        <f>" 20"</f>
        <v xml:space="preserve"> 20</v>
      </c>
      <c r="I1281" s="14">
        <v>500.01</v>
      </c>
      <c r="J1281" s="14">
        <v>9999999.9900000002</v>
      </c>
      <c r="K1281" s="14" t="s">
        <v>55</v>
      </c>
      <c r="L1281" s="14" t="s">
        <v>53</v>
      </c>
      <c r="M1281" s="14" t="s">
        <v>726</v>
      </c>
      <c r="P1281" s="14" t="s">
        <v>31</v>
      </c>
      <c r="Q1281" s="14" t="s">
        <v>25</v>
      </c>
      <c r="R1281" s="14" t="s">
        <v>727</v>
      </c>
    </row>
    <row r="1282" spans="1:18" s="14" customFormat="1" x14ac:dyDescent="0.25">
      <c r="A1282" s="14" t="str">
        <f>"33105"</f>
        <v>33105</v>
      </c>
      <c r="B1282" s="14" t="str">
        <f>"01110"</f>
        <v>01110</v>
      </c>
      <c r="C1282" s="14" t="str">
        <f>"1930"</f>
        <v>1930</v>
      </c>
      <c r="D1282" s="14" t="str">
        <f>"01110"</f>
        <v>01110</v>
      </c>
      <c r="E1282" s="14" t="s">
        <v>725</v>
      </c>
      <c r="F1282" s="14" t="s">
        <v>905</v>
      </c>
      <c r="G1282" s="14" t="str">
        <f>""</f>
        <v/>
      </c>
      <c r="H1282" s="14" t="str">
        <f>" 10"</f>
        <v xml:space="preserve"> 10</v>
      </c>
      <c r="I1282" s="14">
        <v>0.01</v>
      </c>
      <c r="J1282" s="14">
        <v>500</v>
      </c>
      <c r="K1282" s="14" t="s">
        <v>727</v>
      </c>
      <c r="L1282" s="14" t="s">
        <v>906</v>
      </c>
      <c r="M1282" s="14" t="s">
        <v>55</v>
      </c>
      <c r="P1282" s="14" t="s">
        <v>31</v>
      </c>
      <c r="Q1282" s="14" t="s">
        <v>25</v>
      </c>
      <c r="R1282" s="14" t="s">
        <v>727</v>
      </c>
    </row>
    <row r="1283" spans="1:18" s="14" customFormat="1" x14ac:dyDescent="0.25">
      <c r="A1283" s="14" t="str">
        <f>"33105"</f>
        <v>33105</v>
      </c>
      <c r="B1283" s="14" t="str">
        <f>"01110"</f>
        <v>01110</v>
      </c>
      <c r="C1283" s="14" t="str">
        <f>"1930"</f>
        <v>1930</v>
      </c>
      <c r="D1283" s="14" t="str">
        <f>"01110"</f>
        <v>01110</v>
      </c>
      <c r="E1283" s="14" t="s">
        <v>725</v>
      </c>
      <c r="F1283" s="14" t="s">
        <v>905</v>
      </c>
      <c r="G1283" s="14" t="str">
        <f>""</f>
        <v/>
      </c>
      <c r="H1283" s="14" t="str">
        <f>" 20"</f>
        <v xml:space="preserve"> 20</v>
      </c>
      <c r="I1283" s="14">
        <v>500.01</v>
      </c>
      <c r="J1283" s="14">
        <v>9999999.9900000002</v>
      </c>
      <c r="K1283" s="14" t="s">
        <v>906</v>
      </c>
      <c r="L1283" s="14" t="s">
        <v>55</v>
      </c>
      <c r="M1283" s="14" t="s">
        <v>53</v>
      </c>
      <c r="P1283" s="14" t="s">
        <v>31</v>
      </c>
      <c r="Q1283" s="14" t="s">
        <v>25</v>
      </c>
      <c r="R1283" s="14" t="s">
        <v>727</v>
      </c>
    </row>
    <row r="1284" spans="1:18" s="14" customFormat="1" x14ac:dyDescent="0.25">
      <c r="A1284" s="14" t="str">
        <f>"33110"</f>
        <v>33110</v>
      </c>
      <c r="B1284" s="14" t="str">
        <f>"03140"</f>
        <v>03140</v>
      </c>
      <c r="C1284" s="14" t="str">
        <f>"1930"</f>
        <v>1930</v>
      </c>
      <c r="D1284" s="14" t="str">
        <f>"33110"</f>
        <v>33110</v>
      </c>
      <c r="E1284" s="14" t="s">
        <v>980</v>
      </c>
      <c r="F1284" s="14" t="s">
        <v>247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236</v>
      </c>
      <c r="L1284" s="14" t="s">
        <v>237</v>
      </c>
      <c r="M1284" s="14" t="s">
        <v>238</v>
      </c>
      <c r="P1284" s="14" t="s">
        <v>31</v>
      </c>
      <c r="Q1284" s="14" t="s">
        <v>25</v>
      </c>
      <c r="R1284" s="14" t="s">
        <v>1930</v>
      </c>
    </row>
    <row r="1285" spans="1:18" s="14" customFormat="1" x14ac:dyDescent="0.25">
      <c r="A1285" s="14" t="str">
        <f>"34001"</f>
        <v>34001</v>
      </c>
      <c r="B1285" s="14" t="str">
        <f>"01450"</f>
        <v>01450</v>
      </c>
      <c r="C1285" s="14" t="str">
        <f>"1300"</f>
        <v>1300</v>
      </c>
      <c r="D1285" s="14" t="str">
        <f>"34001"</f>
        <v>34001</v>
      </c>
      <c r="E1285" s="14" t="s">
        <v>981</v>
      </c>
      <c r="F1285" s="14" t="s">
        <v>126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69</v>
      </c>
      <c r="L1285" s="14" t="s">
        <v>70</v>
      </c>
      <c r="M1285" s="14" t="s">
        <v>71</v>
      </c>
      <c r="P1285" s="14" t="s">
        <v>31</v>
      </c>
      <c r="Q1285" s="14" t="s">
        <v>25</v>
      </c>
      <c r="R1285" s="14" t="s">
        <v>72</v>
      </c>
    </row>
    <row r="1286" spans="1:18" s="14" customFormat="1" x14ac:dyDescent="0.25">
      <c r="A1286" s="14" t="str">
        <f>"34205"</f>
        <v>34205</v>
      </c>
      <c r="B1286" s="14" t="str">
        <f>"01450"</f>
        <v>01450</v>
      </c>
      <c r="C1286" s="14" t="str">
        <f>"1300"</f>
        <v>1300</v>
      </c>
      <c r="D1286" s="14" t="str">
        <f>"34205"</f>
        <v>34205</v>
      </c>
      <c r="E1286" s="14" t="s">
        <v>982</v>
      </c>
      <c r="F1286" s="14" t="s">
        <v>126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69</v>
      </c>
      <c r="L1286" s="14" t="s">
        <v>70</v>
      </c>
      <c r="M1286" s="14" t="s">
        <v>71</v>
      </c>
      <c r="P1286" s="14" t="s">
        <v>31</v>
      </c>
      <c r="Q1286" s="14" t="s">
        <v>25</v>
      </c>
      <c r="R1286" s="14" t="s">
        <v>72</v>
      </c>
    </row>
    <row r="1287" spans="1:18" s="14" customFormat="1" x14ac:dyDescent="0.25">
      <c r="A1287" s="14" t="str">
        <f>"35015"</f>
        <v>35015</v>
      </c>
      <c r="B1287" s="14" t="str">
        <f>"02120"</f>
        <v>02120</v>
      </c>
      <c r="C1287" s="14" t="str">
        <f>"1930"</f>
        <v>1930</v>
      </c>
      <c r="D1287" s="14" t="str">
        <f>"35015"</f>
        <v>35015</v>
      </c>
      <c r="E1287" s="14" t="s">
        <v>984</v>
      </c>
      <c r="F1287" s="14" t="s">
        <v>209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29</v>
      </c>
      <c r="L1287" s="14" t="s">
        <v>210</v>
      </c>
      <c r="P1287" s="14" t="s">
        <v>31</v>
      </c>
      <c r="Q1287" s="14" t="s">
        <v>25</v>
      </c>
      <c r="R1287" s="14" t="s">
        <v>210</v>
      </c>
    </row>
    <row r="1288" spans="1:18" s="14" customFormat="1" x14ac:dyDescent="0.25">
      <c r="A1288" s="14" t="str">
        <f>"35020"</f>
        <v>35020</v>
      </c>
      <c r="B1288" s="14" t="str">
        <f>"02120"</f>
        <v>02120</v>
      </c>
      <c r="C1288" s="14" t="str">
        <f>"1930"</f>
        <v>1930</v>
      </c>
      <c r="D1288" s="14" t="str">
        <f>"35020"</f>
        <v>35020</v>
      </c>
      <c r="E1288" s="14" t="s">
        <v>985</v>
      </c>
      <c r="F1288" s="14" t="s">
        <v>209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29</v>
      </c>
      <c r="L1288" s="14" t="s">
        <v>210</v>
      </c>
      <c r="P1288" s="14" t="s">
        <v>31</v>
      </c>
      <c r="Q1288" s="14" t="s">
        <v>25</v>
      </c>
      <c r="R1288" s="14" t="s">
        <v>210</v>
      </c>
    </row>
    <row r="1289" spans="1:18" s="14" customFormat="1" x14ac:dyDescent="0.25">
      <c r="A1289" s="14" t="str">
        <f>"35025"</f>
        <v>35025</v>
      </c>
      <c r="B1289" s="14" t="str">
        <f>"01100"</f>
        <v>01100</v>
      </c>
      <c r="C1289" s="14" t="str">
        <f>"1930"</f>
        <v>1930</v>
      </c>
      <c r="D1289" s="14" t="str">
        <f>"35025"</f>
        <v>35025</v>
      </c>
      <c r="E1289" s="14" t="s">
        <v>987</v>
      </c>
      <c r="F1289" s="14" t="s">
        <v>725</v>
      </c>
      <c r="G1289" s="14" t="str">
        <f>""</f>
        <v/>
      </c>
      <c r="H1289" s="14" t="str">
        <f>" 10"</f>
        <v xml:space="preserve"> 10</v>
      </c>
      <c r="I1289" s="14">
        <v>0.01</v>
      </c>
      <c r="J1289" s="14">
        <v>500</v>
      </c>
      <c r="K1289" s="14" t="s">
        <v>727</v>
      </c>
      <c r="L1289" s="14" t="s">
        <v>55</v>
      </c>
      <c r="P1289" s="14" t="s">
        <v>31</v>
      </c>
      <c r="Q1289" s="14" t="s">
        <v>25</v>
      </c>
      <c r="R1289" s="14" t="s">
        <v>727</v>
      </c>
    </row>
    <row r="1290" spans="1:18" s="14" customFormat="1" x14ac:dyDescent="0.25">
      <c r="A1290" s="14" t="str">
        <f>"35025"</f>
        <v>35025</v>
      </c>
      <c r="B1290" s="14" t="str">
        <f>"01100"</f>
        <v>01100</v>
      </c>
      <c r="C1290" s="14" t="str">
        <f>"1930"</f>
        <v>1930</v>
      </c>
      <c r="D1290" s="14" t="str">
        <f>"35025"</f>
        <v>35025</v>
      </c>
      <c r="E1290" s="14" t="s">
        <v>987</v>
      </c>
      <c r="F1290" s="14" t="s">
        <v>725</v>
      </c>
      <c r="G1290" s="14" t="str">
        <f>""</f>
        <v/>
      </c>
      <c r="H1290" s="14" t="str">
        <f>" 20"</f>
        <v xml:space="preserve"> 20</v>
      </c>
      <c r="I1290" s="14">
        <v>500.01</v>
      </c>
      <c r="J1290" s="14">
        <v>9999999.9900000002</v>
      </c>
      <c r="K1290" s="14" t="s">
        <v>55</v>
      </c>
      <c r="L1290" s="14" t="s">
        <v>53</v>
      </c>
      <c r="M1290" s="14" t="s">
        <v>726</v>
      </c>
      <c r="P1290" s="14" t="s">
        <v>31</v>
      </c>
      <c r="Q1290" s="14" t="s">
        <v>25</v>
      </c>
      <c r="R1290" s="14" t="s">
        <v>727</v>
      </c>
    </row>
    <row r="1291" spans="1:18" s="14" customFormat="1" x14ac:dyDescent="0.25">
      <c r="A1291" s="14" t="str">
        <f>"35115"</f>
        <v>35115</v>
      </c>
      <c r="B1291" s="14" t="str">
        <f>"03000"</f>
        <v>03000</v>
      </c>
      <c r="C1291" s="14" t="str">
        <f>"1930"</f>
        <v>1930</v>
      </c>
      <c r="D1291" s="14" t="str">
        <f>"35115"</f>
        <v>35115</v>
      </c>
      <c r="E1291" s="14" t="s">
        <v>989</v>
      </c>
      <c r="F1291" s="14" t="s">
        <v>217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34</v>
      </c>
      <c r="P1291" s="14" t="s">
        <v>31</v>
      </c>
      <c r="Q1291" s="14" t="s">
        <v>25</v>
      </c>
      <c r="R1291" s="14" t="s">
        <v>35</v>
      </c>
    </row>
    <row r="1292" spans="1:18" s="14" customFormat="1" x14ac:dyDescent="0.25">
      <c r="A1292" s="14" t="str">
        <f>"35234"</f>
        <v>35234</v>
      </c>
      <c r="B1292" s="14" t="str">
        <f>"01900"</f>
        <v>01900</v>
      </c>
      <c r="C1292" s="14" t="str">
        <f>"1930"</f>
        <v>1930</v>
      </c>
      <c r="D1292" s="14" t="str">
        <f>"35234"</f>
        <v>35234</v>
      </c>
      <c r="E1292" s="14" t="s">
        <v>991</v>
      </c>
      <c r="F1292" s="14" t="s">
        <v>992</v>
      </c>
      <c r="G1292" s="14" t="str">
        <f>"GN0035234"</f>
        <v>GN0035234</v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112</v>
      </c>
      <c r="L1292" s="14" t="s">
        <v>113</v>
      </c>
      <c r="M1292" s="14" t="s">
        <v>114</v>
      </c>
      <c r="N1292" s="14" t="s">
        <v>993</v>
      </c>
      <c r="O1292" s="14" t="s">
        <v>112</v>
      </c>
      <c r="P1292" s="14" t="s">
        <v>31</v>
      </c>
      <c r="Q1292" s="14" t="s">
        <v>25</v>
      </c>
      <c r="R1292" s="14" t="s">
        <v>115</v>
      </c>
    </row>
    <row r="1293" spans="1:18" s="14" customFormat="1" x14ac:dyDescent="0.25">
      <c r="A1293" s="14" t="str">
        <f>"84002"</f>
        <v>84002</v>
      </c>
      <c r="B1293" s="14" t="str">
        <f>"07020"</f>
        <v>07020</v>
      </c>
      <c r="C1293" s="14" t="str">
        <f>"1700"</f>
        <v>1700</v>
      </c>
      <c r="D1293" s="14" t="str">
        <f>"84002"</f>
        <v>84002</v>
      </c>
      <c r="E1293" s="14" t="s">
        <v>1531</v>
      </c>
      <c r="F1293" s="14" t="s">
        <v>1532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392</v>
      </c>
      <c r="L1293" s="14" t="s">
        <v>526</v>
      </c>
      <c r="P1293" s="14" t="s">
        <v>31</v>
      </c>
      <c r="Q1293" s="14" t="s">
        <v>31</v>
      </c>
      <c r="R1293" s="14" t="s">
        <v>392</v>
      </c>
    </row>
    <row r="1294" spans="1:18" s="14" customFormat="1" x14ac:dyDescent="0.25">
      <c r="A1294" s="14" t="str">
        <f>"84004"</f>
        <v>84004</v>
      </c>
      <c r="B1294" s="14" t="str">
        <f>"07020"</f>
        <v>07020</v>
      </c>
      <c r="C1294" s="14" t="str">
        <f>"1700"</f>
        <v>1700</v>
      </c>
      <c r="D1294" s="14" t="str">
        <f>"84004"</f>
        <v>84004</v>
      </c>
      <c r="E1294" s="14" t="s">
        <v>1533</v>
      </c>
      <c r="F1294" s="14" t="s">
        <v>1532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386</v>
      </c>
      <c r="L1294" s="14" t="s">
        <v>1534</v>
      </c>
      <c r="M1294" s="14" t="s">
        <v>387</v>
      </c>
      <c r="P1294" s="14" t="s">
        <v>31</v>
      </c>
      <c r="Q1294" s="14" t="s">
        <v>31</v>
      </c>
      <c r="R1294" s="14" t="s">
        <v>388</v>
      </c>
    </row>
    <row r="1295" spans="1:18" s="14" customFormat="1" x14ac:dyDescent="0.25">
      <c r="A1295" s="14" t="str">
        <f>"84005"</f>
        <v>84005</v>
      </c>
      <c r="B1295" s="14" t="str">
        <f>"07020"</f>
        <v>07020</v>
      </c>
      <c r="C1295" s="14" t="str">
        <f>"1700"</f>
        <v>1700</v>
      </c>
      <c r="D1295" s="14" t="str">
        <f>"84005"</f>
        <v>84005</v>
      </c>
      <c r="E1295" s="14" t="s">
        <v>1535</v>
      </c>
      <c r="F1295" s="14" t="s">
        <v>1532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1536</v>
      </c>
      <c r="L1295" s="14" t="s">
        <v>789</v>
      </c>
      <c r="M1295" s="14" t="s">
        <v>181</v>
      </c>
      <c r="P1295" s="14" t="s">
        <v>31</v>
      </c>
      <c r="Q1295" s="14" t="s">
        <v>31</v>
      </c>
      <c r="R1295" s="14" t="s">
        <v>392</v>
      </c>
    </row>
    <row r="1296" spans="1:18" s="14" customFormat="1" x14ac:dyDescent="0.25">
      <c r="A1296" s="14" t="str">
        <f>"84006"</f>
        <v>84006</v>
      </c>
      <c r="B1296" s="14" t="str">
        <f>"07020"</f>
        <v>07020</v>
      </c>
      <c r="C1296" s="14" t="str">
        <f>"1700"</f>
        <v>1700</v>
      </c>
      <c r="D1296" s="14" t="str">
        <f>"84006"</f>
        <v>84006</v>
      </c>
      <c r="E1296" s="14" t="s">
        <v>1537</v>
      </c>
      <c r="F1296" s="14" t="s">
        <v>1532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392</v>
      </c>
      <c r="L1296" s="14" t="s">
        <v>526</v>
      </c>
      <c r="P1296" s="14" t="s">
        <v>31</v>
      </c>
      <c r="Q1296" s="14" t="s">
        <v>31</v>
      </c>
      <c r="R1296" s="14" t="s">
        <v>392</v>
      </c>
    </row>
    <row r="1297" spans="1:18" s="14" customFormat="1" x14ac:dyDescent="0.25">
      <c r="A1297" s="14" t="str">
        <f>"84007"</f>
        <v>84007</v>
      </c>
      <c r="B1297" s="14" t="str">
        <f>"07020"</f>
        <v>07020</v>
      </c>
      <c r="C1297" s="14" t="str">
        <f>"1700"</f>
        <v>1700</v>
      </c>
      <c r="D1297" s="14" t="str">
        <f>"84007"</f>
        <v>84007</v>
      </c>
      <c r="E1297" s="14" t="s">
        <v>1538</v>
      </c>
      <c r="F1297" s="14" t="s">
        <v>1532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48</v>
      </c>
      <c r="L1297" s="14" t="s">
        <v>97</v>
      </c>
      <c r="M1297" s="14" t="s">
        <v>98</v>
      </c>
      <c r="P1297" s="14" t="s">
        <v>31</v>
      </c>
      <c r="Q1297" s="14" t="s">
        <v>31</v>
      </c>
      <c r="R1297" s="14" t="s">
        <v>49</v>
      </c>
    </row>
    <row r="1298" spans="1:18" s="14" customFormat="1" x14ac:dyDescent="0.25">
      <c r="A1298" s="14" t="str">
        <f>"84008"</f>
        <v>84008</v>
      </c>
      <c r="B1298" s="14" t="str">
        <f>"07020"</f>
        <v>07020</v>
      </c>
      <c r="C1298" s="14" t="str">
        <f>"1700"</f>
        <v>1700</v>
      </c>
      <c r="D1298" s="14" t="str">
        <f>"84008"</f>
        <v>84008</v>
      </c>
      <c r="E1298" s="14" t="s">
        <v>1539</v>
      </c>
      <c r="F1298" s="14" t="s">
        <v>1532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70</v>
      </c>
      <c r="L1298" s="14" t="s">
        <v>1540</v>
      </c>
      <c r="M1298" s="14" t="s">
        <v>72</v>
      </c>
      <c r="P1298" s="14" t="s">
        <v>31</v>
      </c>
      <c r="Q1298" s="14" t="s">
        <v>31</v>
      </c>
      <c r="R1298" s="14" t="s">
        <v>70</v>
      </c>
    </row>
    <row r="1299" spans="1:18" s="14" customFormat="1" x14ac:dyDescent="0.25">
      <c r="A1299" s="14" t="str">
        <f>"84009"</f>
        <v>84009</v>
      </c>
      <c r="B1299" s="14" t="str">
        <f>"07020"</f>
        <v>07020</v>
      </c>
      <c r="C1299" s="14" t="str">
        <f>"1700"</f>
        <v>1700</v>
      </c>
      <c r="D1299" s="14" t="str">
        <f>"84009"</f>
        <v>84009</v>
      </c>
      <c r="E1299" s="14" t="s">
        <v>1541</v>
      </c>
      <c r="F1299" s="14" t="s">
        <v>1532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154</v>
      </c>
      <c r="L1299" s="14" t="s">
        <v>147</v>
      </c>
      <c r="M1299" s="14" t="s">
        <v>166</v>
      </c>
      <c r="P1299" s="14" t="s">
        <v>31</v>
      </c>
      <c r="Q1299" s="14" t="s">
        <v>31</v>
      </c>
      <c r="R1299" s="14" t="s">
        <v>146</v>
      </c>
    </row>
    <row r="1300" spans="1:18" s="14" customFormat="1" x14ac:dyDescent="0.25">
      <c r="A1300" s="14" t="str">
        <f>"84010"</f>
        <v>84010</v>
      </c>
      <c r="B1300" s="14" t="str">
        <f>"07020"</f>
        <v>07020</v>
      </c>
      <c r="C1300" s="14" t="str">
        <f>"1700"</f>
        <v>1700</v>
      </c>
      <c r="D1300" s="14" t="str">
        <f>"84010"</f>
        <v>84010</v>
      </c>
      <c r="E1300" s="14" t="s">
        <v>1542</v>
      </c>
      <c r="F1300" s="14" t="s">
        <v>1532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186</v>
      </c>
      <c r="P1300" s="14" t="s">
        <v>31</v>
      </c>
      <c r="Q1300" s="14" t="s">
        <v>31</v>
      </c>
      <c r="R1300" s="14" t="s">
        <v>115</v>
      </c>
    </row>
    <row r="1301" spans="1:18" s="14" customFormat="1" x14ac:dyDescent="0.25">
      <c r="A1301" s="14" t="str">
        <f>"84012"</f>
        <v>84012</v>
      </c>
      <c r="B1301" s="14" t="str">
        <f>"07020"</f>
        <v>07020</v>
      </c>
      <c r="C1301" s="14" t="str">
        <f>"1700"</f>
        <v>1700</v>
      </c>
      <c r="D1301" s="14" t="str">
        <f>"84012"</f>
        <v>84012</v>
      </c>
      <c r="E1301" s="14" t="s">
        <v>1543</v>
      </c>
      <c r="F1301" s="14" t="s">
        <v>1532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1544</v>
      </c>
      <c r="P1301" s="14" t="s">
        <v>31</v>
      </c>
      <c r="Q1301" s="14" t="s">
        <v>31</v>
      </c>
      <c r="R1301" s="14" t="s">
        <v>1545</v>
      </c>
    </row>
    <row r="1302" spans="1:18" s="14" customFormat="1" x14ac:dyDescent="0.25">
      <c r="A1302" s="14" t="str">
        <f>"84013"</f>
        <v>84013</v>
      </c>
      <c r="B1302" s="14" t="str">
        <f>"07020"</f>
        <v>07020</v>
      </c>
      <c r="C1302" s="14" t="str">
        <f>"1700"</f>
        <v>1700</v>
      </c>
      <c r="D1302" s="14" t="str">
        <f>"84013"</f>
        <v>84013</v>
      </c>
      <c r="E1302" s="14" t="s">
        <v>1546</v>
      </c>
      <c r="F1302" s="14" t="s">
        <v>1532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1547</v>
      </c>
      <c r="L1302" s="14" t="s">
        <v>1548</v>
      </c>
      <c r="M1302" s="14" t="s">
        <v>72</v>
      </c>
      <c r="P1302" s="14" t="s">
        <v>31</v>
      </c>
      <c r="Q1302" s="14" t="s">
        <v>31</v>
      </c>
      <c r="R1302" s="14" t="s">
        <v>1549</v>
      </c>
    </row>
    <row r="1303" spans="1:18" s="14" customFormat="1" x14ac:dyDescent="0.25">
      <c r="A1303" s="14" t="str">
        <f>"84014"</f>
        <v>84014</v>
      </c>
      <c r="B1303" s="14" t="str">
        <f>"07020"</f>
        <v>07020</v>
      </c>
      <c r="C1303" s="14" t="str">
        <f>"1700"</f>
        <v>1700</v>
      </c>
      <c r="D1303" s="14" t="str">
        <f>"84014"</f>
        <v>84014</v>
      </c>
      <c r="E1303" s="14" t="s">
        <v>1550</v>
      </c>
      <c r="F1303" s="14" t="s">
        <v>1532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173</v>
      </c>
      <c r="P1303" s="14" t="s">
        <v>31</v>
      </c>
      <c r="Q1303" s="14" t="s">
        <v>31</v>
      </c>
      <c r="R1303" s="14" t="s">
        <v>1551</v>
      </c>
    </row>
    <row r="1304" spans="1:18" s="14" customFormat="1" x14ac:dyDescent="0.25">
      <c r="A1304" s="14" t="str">
        <f>"84016"</f>
        <v>84016</v>
      </c>
      <c r="B1304" s="14" t="str">
        <f>"07020"</f>
        <v>07020</v>
      </c>
      <c r="C1304" s="14" t="str">
        <f>"1700"</f>
        <v>1700</v>
      </c>
      <c r="D1304" s="14" t="str">
        <f>"84016"</f>
        <v>84016</v>
      </c>
      <c r="E1304" s="14" t="s">
        <v>1552</v>
      </c>
      <c r="F1304" s="14" t="s">
        <v>1532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1553</v>
      </c>
      <c r="L1304" s="14" t="s">
        <v>755</v>
      </c>
      <c r="M1304" s="14" t="s">
        <v>72</v>
      </c>
      <c r="P1304" s="14" t="s">
        <v>31</v>
      </c>
      <c r="Q1304" s="14" t="s">
        <v>31</v>
      </c>
      <c r="R1304" s="14" t="s">
        <v>1553</v>
      </c>
    </row>
    <row r="1305" spans="1:18" s="14" customFormat="1" x14ac:dyDescent="0.25">
      <c r="A1305" s="14" t="str">
        <f>"84017"</f>
        <v>84017</v>
      </c>
      <c r="B1305" s="14" t="str">
        <f>"07020"</f>
        <v>07020</v>
      </c>
      <c r="C1305" s="14" t="str">
        <f>"1700"</f>
        <v>1700</v>
      </c>
      <c r="D1305" s="14" t="str">
        <f>"84017"</f>
        <v>84017</v>
      </c>
      <c r="E1305" s="14" t="s">
        <v>1554</v>
      </c>
      <c r="F1305" s="14" t="s">
        <v>1532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109</v>
      </c>
      <c r="L1305" s="14" t="s">
        <v>1555</v>
      </c>
      <c r="M1305" s="14" t="s">
        <v>72</v>
      </c>
      <c r="P1305" s="14" t="s">
        <v>31</v>
      </c>
      <c r="Q1305" s="14" t="s">
        <v>31</v>
      </c>
      <c r="R1305" s="14" t="s">
        <v>109</v>
      </c>
    </row>
    <row r="1306" spans="1:18" s="14" customFormat="1" x14ac:dyDescent="0.25">
      <c r="A1306" s="14" t="str">
        <f>"84018"</f>
        <v>84018</v>
      </c>
      <c r="B1306" s="14" t="str">
        <f>"07020"</f>
        <v>07020</v>
      </c>
      <c r="C1306" s="14" t="str">
        <f>"1700"</f>
        <v>1700</v>
      </c>
      <c r="D1306" s="14" t="str">
        <f>"84018"</f>
        <v>84018</v>
      </c>
      <c r="E1306" s="14" t="s">
        <v>1556</v>
      </c>
      <c r="F1306" s="14" t="s">
        <v>1532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147</v>
      </c>
      <c r="L1306" s="14" t="s">
        <v>148</v>
      </c>
      <c r="P1306" s="14" t="s">
        <v>31</v>
      </c>
      <c r="Q1306" s="14" t="s">
        <v>31</v>
      </c>
      <c r="R1306" s="14" t="s">
        <v>146</v>
      </c>
    </row>
    <row r="1307" spans="1:18" s="14" customFormat="1" x14ac:dyDescent="0.25">
      <c r="A1307" s="14" t="str">
        <f>"84020"</f>
        <v>84020</v>
      </c>
      <c r="B1307" s="14" t="str">
        <f>"07020"</f>
        <v>07020</v>
      </c>
      <c r="C1307" s="14" t="str">
        <f>"1700"</f>
        <v>1700</v>
      </c>
      <c r="D1307" s="14" t="str">
        <f>"84020"</f>
        <v>84020</v>
      </c>
      <c r="E1307" s="14" t="s">
        <v>1557</v>
      </c>
      <c r="F1307" s="14" t="s">
        <v>1532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1558</v>
      </c>
      <c r="L1307" s="14" t="s">
        <v>113</v>
      </c>
      <c r="P1307" s="14" t="s">
        <v>31</v>
      </c>
      <c r="Q1307" s="14" t="s">
        <v>31</v>
      </c>
      <c r="R1307" s="14" t="s">
        <v>1558</v>
      </c>
    </row>
    <row r="1308" spans="1:18" s="14" customFormat="1" x14ac:dyDescent="0.25">
      <c r="A1308" s="14" t="str">
        <f>"84021"</f>
        <v>84021</v>
      </c>
      <c r="B1308" s="14" t="str">
        <f>"07020"</f>
        <v>07020</v>
      </c>
      <c r="C1308" s="14" t="str">
        <f>"1700"</f>
        <v>1700</v>
      </c>
      <c r="D1308" s="14" t="str">
        <f>"84021"</f>
        <v>84021</v>
      </c>
      <c r="E1308" s="14" t="s">
        <v>1559</v>
      </c>
      <c r="F1308" s="14" t="s">
        <v>1532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1560</v>
      </c>
      <c r="L1308" s="14" t="s">
        <v>181</v>
      </c>
      <c r="P1308" s="14" t="s">
        <v>31</v>
      </c>
      <c r="Q1308" s="14" t="s">
        <v>31</v>
      </c>
      <c r="R1308" s="14" t="s">
        <v>1560</v>
      </c>
    </row>
    <row r="1309" spans="1:18" s="14" customFormat="1" x14ac:dyDescent="0.25">
      <c r="A1309" s="14" t="str">
        <f>"84023"</f>
        <v>84023</v>
      </c>
      <c r="B1309" s="14" t="str">
        <f>"07020"</f>
        <v>07020</v>
      </c>
      <c r="C1309" s="14" t="str">
        <f>"1700"</f>
        <v>1700</v>
      </c>
      <c r="D1309" s="14" t="str">
        <f>"84023"</f>
        <v>84023</v>
      </c>
      <c r="E1309" s="14" t="s">
        <v>1561</v>
      </c>
      <c r="F1309" s="14" t="s">
        <v>1532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48</v>
      </c>
      <c r="L1309" s="14" t="s">
        <v>97</v>
      </c>
      <c r="M1309" s="14" t="s">
        <v>1562</v>
      </c>
      <c r="P1309" s="14" t="s">
        <v>31</v>
      </c>
      <c r="Q1309" s="14" t="s">
        <v>31</v>
      </c>
      <c r="R1309" s="14" t="s">
        <v>49</v>
      </c>
    </row>
    <row r="1310" spans="1:18" s="14" customFormat="1" x14ac:dyDescent="0.25">
      <c r="A1310" s="14" t="str">
        <f>"84024"</f>
        <v>84024</v>
      </c>
      <c r="B1310" s="14" t="str">
        <f>"07020"</f>
        <v>07020</v>
      </c>
      <c r="C1310" s="14" t="str">
        <f>"1700"</f>
        <v>1700</v>
      </c>
      <c r="D1310" s="14" t="str">
        <f>"84024"</f>
        <v>84024</v>
      </c>
      <c r="E1310" s="14" t="s">
        <v>1563</v>
      </c>
      <c r="F1310" s="14" t="s">
        <v>1532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392</v>
      </c>
      <c r="L1310" s="14" t="s">
        <v>526</v>
      </c>
      <c r="P1310" s="14" t="s">
        <v>31</v>
      </c>
      <c r="Q1310" s="14" t="s">
        <v>31</v>
      </c>
      <c r="R1310" s="14" t="s">
        <v>392</v>
      </c>
    </row>
    <row r="1311" spans="1:18" s="14" customFormat="1" x14ac:dyDescent="0.25">
      <c r="A1311" s="14" t="str">
        <f>"84025"</f>
        <v>84025</v>
      </c>
      <c r="B1311" s="14" t="str">
        <f>"07020"</f>
        <v>07020</v>
      </c>
      <c r="C1311" s="14" t="str">
        <f>"1700"</f>
        <v>1700</v>
      </c>
      <c r="D1311" s="14" t="str">
        <f>"84025"</f>
        <v>84025</v>
      </c>
      <c r="E1311" s="14" t="s">
        <v>1564</v>
      </c>
      <c r="F1311" s="14" t="s">
        <v>1532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1565</v>
      </c>
      <c r="L1311" s="14" t="s">
        <v>1566</v>
      </c>
      <c r="P1311" s="14" t="s">
        <v>31</v>
      </c>
      <c r="Q1311" s="14" t="s">
        <v>31</v>
      </c>
      <c r="R1311" s="14" t="s">
        <v>1565</v>
      </c>
    </row>
    <row r="1312" spans="1:18" s="14" customFormat="1" x14ac:dyDescent="0.25">
      <c r="A1312" s="14" t="str">
        <f>"84026"</f>
        <v>84026</v>
      </c>
      <c r="B1312" s="14" t="str">
        <f>"07020"</f>
        <v>07020</v>
      </c>
      <c r="C1312" s="14" t="str">
        <f>"1700"</f>
        <v>1700</v>
      </c>
      <c r="D1312" s="14" t="str">
        <f>"84026"</f>
        <v>84026</v>
      </c>
      <c r="E1312" s="14" t="s">
        <v>1567</v>
      </c>
      <c r="F1312" s="14" t="s">
        <v>1532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1568</v>
      </c>
      <c r="P1312" s="14" t="s">
        <v>31</v>
      </c>
      <c r="Q1312" s="14" t="s">
        <v>31</v>
      </c>
      <c r="R1312" s="14" t="s">
        <v>115</v>
      </c>
    </row>
    <row r="1313" spans="1:18" s="14" customFormat="1" x14ac:dyDescent="0.25">
      <c r="A1313" s="14" t="str">
        <f>"84028"</f>
        <v>84028</v>
      </c>
      <c r="B1313" s="14" t="str">
        <f>"07020"</f>
        <v>07020</v>
      </c>
      <c r="C1313" s="14" t="str">
        <f>"1700"</f>
        <v>1700</v>
      </c>
      <c r="D1313" s="14" t="str">
        <f>"84028"</f>
        <v>84028</v>
      </c>
      <c r="E1313" s="14" t="s">
        <v>1569</v>
      </c>
      <c r="F1313" s="14" t="s">
        <v>1532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1570</v>
      </c>
      <c r="L1313" s="14" t="s">
        <v>392</v>
      </c>
      <c r="P1313" s="14" t="s">
        <v>31</v>
      </c>
      <c r="Q1313" s="14" t="s">
        <v>25</v>
      </c>
      <c r="R1313" s="14" t="s">
        <v>392</v>
      </c>
    </row>
    <row r="1314" spans="1:18" s="14" customFormat="1" x14ac:dyDescent="0.25">
      <c r="A1314" s="14" t="str">
        <f>"84030"</f>
        <v>84030</v>
      </c>
      <c r="B1314" s="14" t="str">
        <f>"07020"</f>
        <v>07020</v>
      </c>
      <c r="C1314" s="14" t="str">
        <f>"1700"</f>
        <v>1700</v>
      </c>
      <c r="D1314" s="14" t="str">
        <f>"84030"</f>
        <v>84030</v>
      </c>
      <c r="E1314" s="14" t="s">
        <v>1571</v>
      </c>
      <c r="F1314" s="14" t="s">
        <v>1532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392</v>
      </c>
      <c r="L1314" s="14" t="s">
        <v>526</v>
      </c>
      <c r="P1314" s="14" t="s">
        <v>31</v>
      </c>
      <c r="Q1314" s="14" t="s">
        <v>31</v>
      </c>
      <c r="R1314" s="14" t="s">
        <v>392</v>
      </c>
    </row>
    <row r="1315" spans="1:18" s="14" customFormat="1" x14ac:dyDescent="0.25">
      <c r="A1315" s="14" t="str">
        <f>"84031"</f>
        <v>84031</v>
      </c>
      <c r="B1315" s="14" t="str">
        <f>"07020"</f>
        <v>07020</v>
      </c>
      <c r="C1315" s="14" t="str">
        <f>"1700"</f>
        <v>1700</v>
      </c>
      <c r="D1315" s="14" t="str">
        <f>"84031"</f>
        <v>84031</v>
      </c>
      <c r="E1315" s="14" t="s">
        <v>1572</v>
      </c>
      <c r="F1315" s="14" t="s">
        <v>1532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392</v>
      </c>
      <c r="L1315" s="14" t="s">
        <v>526</v>
      </c>
      <c r="P1315" s="14" t="s">
        <v>31</v>
      </c>
      <c r="Q1315" s="14" t="s">
        <v>31</v>
      </c>
      <c r="R1315" s="14" t="s">
        <v>392</v>
      </c>
    </row>
    <row r="1316" spans="1:18" s="14" customFormat="1" x14ac:dyDescent="0.25">
      <c r="A1316" s="14" t="str">
        <f>"84032"</f>
        <v>84032</v>
      </c>
      <c r="B1316" s="14" t="str">
        <f>"07020"</f>
        <v>07020</v>
      </c>
      <c r="C1316" s="14" t="str">
        <f>"1700"</f>
        <v>1700</v>
      </c>
      <c r="D1316" s="14" t="str">
        <f>"84032"</f>
        <v>84032</v>
      </c>
      <c r="E1316" s="14" t="s">
        <v>1573</v>
      </c>
      <c r="F1316" s="14" t="s">
        <v>1532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1574</v>
      </c>
      <c r="P1316" s="14" t="s">
        <v>31</v>
      </c>
      <c r="Q1316" s="14" t="s">
        <v>31</v>
      </c>
      <c r="R1316" s="14" t="s">
        <v>1575</v>
      </c>
    </row>
    <row r="1317" spans="1:18" s="14" customFormat="1" x14ac:dyDescent="0.25">
      <c r="A1317" s="14" t="str">
        <f>"84033"</f>
        <v>84033</v>
      </c>
      <c r="B1317" s="14" t="str">
        <f>"07020"</f>
        <v>07020</v>
      </c>
      <c r="C1317" s="14" t="str">
        <f>"1700"</f>
        <v>1700</v>
      </c>
      <c r="D1317" s="14" t="str">
        <f>"84033"</f>
        <v>84033</v>
      </c>
      <c r="E1317" s="14" t="s">
        <v>1576</v>
      </c>
      <c r="F1317" s="14" t="s">
        <v>1532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381</v>
      </c>
      <c r="L1317" s="14" t="s">
        <v>382</v>
      </c>
      <c r="M1317" s="14" t="s">
        <v>1570</v>
      </c>
      <c r="P1317" s="14" t="s">
        <v>31</v>
      </c>
      <c r="Q1317" s="14" t="s">
        <v>31</v>
      </c>
      <c r="R1317" s="14" t="s">
        <v>383</v>
      </c>
    </row>
    <row r="1318" spans="1:18" s="14" customFormat="1" x14ac:dyDescent="0.25">
      <c r="A1318" s="14" t="str">
        <f>"84034"</f>
        <v>84034</v>
      </c>
      <c r="B1318" s="14" t="str">
        <f>"07020"</f>
        <v>07020</v>
      </c>
      <c r="C1318" s="14" t="str">
        <f>"1700"</f>
        <v>1700</v>
      </c>
      <c r="D1318" s="14" t="str">
        <f>"84034"</f>
        <v>84034</v>
      </c>
      <c r="E1318" s="14" t="s">
        <v>1577</v>
      </c>
      <c r="F1318" s="14" t="s">
        <v>1532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166</v>
      </c>
      <c r="L1318" s="14" t="s">
        <v>147</v>
      </c>
      <c r="P1318" s="14" t="s">
        <v>31</v>
      </c>
      <c r="Q1318" s="14" t="s">
        <v>31</v>
      </c>
      <c r="R1318" s="14" t="s">
        <v>166</v>
      </c>
    </row>
    <row r="1319" spans="1:18" s="14" customFormat="1" x14ac:dyDescent="0.25">
      <c r="A1319" s="14" t="str">
        <f>"84036"</f>
        <v>84036</v>
      </c>
      <c r="B1319" s="14" t="str">
        <f>"07020"</f>
        <v>07020</v>
      </c>
      <c r="C1319" s="14" t="str">
        <f>"1700"</f>
        <v>1700</v>
      </c>
      <c r="D1319" s="14" t="str">
        <f>"84036"</f>
        <v>84036</v>
      </c>
      <c r="E1319" s="14" t="s">
        <v>1578</v>
      </c>
      <c r="F1319" s="14" t="s">
        <v>1532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1579</v>
      </c>
      <c r="L1319" s="14" t="s">
        <v>824</v>
      </c>
      <c r="M1319" s="14" t="s">
        <v>72</v>
      </c>
      <c r="P1319" s="14" t="s">
        <v>31</v>
      </c>
      <c r="Q1319" s="14" t="s">
        <v>31</v>
      </c>
      <c r="R1319" s="14" t="s">
        <v>1579</v>
      </c>
    </row>
    <row r="1320" spans="1:18" s="14" customFormat="1" x14ac:dyDescent="0.25">
      <c r="A1320" s="14" t="str">
        <f>"84037"</f>
        <v>84037</v>
      </c>
      <c r="B1320" s="14" t="str">
        <f>"07020"</f>
        <v>07020</v>
      </c>
      <c r="C1320" s="14" t="str">
        <f>"1700"</f>
        <v>1700</v>
      </c>
      <c r="D1320" s="14" t="str">
        <f>"84037"</f>
        <v>84037</v>
      </c>
      <c r="E1320" s="14" t="s">
        <v>1580</v>
      </c>
      <c r="F1320" s="14" t="s">
        <v>1532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392</v>
      </c>
      <c r="L1320" s="14" t="s">
        <v>526</v>
      </c>
      <c r="P1320" s="14" t="s">
        <v>31</v>
      </c>
      <c r="Q1320" s="14" t="s">
        <v>31</v>
      </c>
      <c r="R1320" s="14" t="s">
        <v>392</v>
      </c>
    </row>
    <row r="1321" spans="1:18" s="14" customFormat="1" x14ac:dyDescent="0.25">
      <c r="A1321" s="14" t="str">
        <f>"84040"</f>
        <v>84040</v>
      </c>
      <c r="B1321" s="14" t="str">
        <f>"07020"</f>
        <v>07020</v>
      </c>
      <c r="C1321" s="14" t="str">
        <f>"1700"</f>
        <v>1700</v>
      </c>
      <c r="D1321" s="14" t="str">
        <f>"84040"</f>
        <v>84040</v>
      </c>
      <c r="E1321" s="14" t="s">
        <v>1581</v>
      </c>
      <c r="F1321" s="14" t="s">
        <v>1532</v>
      </c>
      <c r="G1321" s="14" t="str">
        <f>""</f>
        <v/>
      </c>
      <c r="H1321" s="14" t="str">
        <f>" 10"</f>
        <v xml:space="preserve"> 10</v>
      </c>
      <c r="I1321" s="14">
        <v>0.01</v>
      </c>
      <c r="J1321" s="14">
        <v>500</v>
      </c>
      <c r="K1321" s="14" t="s">
        <v>146</v>
      </c>
      <c r="L1321" s="14" t="s">
        <v>147</v>
      </c>
      <c r="P1321" s="14" t="s">
        <v>31</v>
      </c>
      <c r="Q1321" s="14" t="s">
        <v>31</v>
      </c>
      <c r="R1321" s="14" t="s">
        <v>146</v>
      </c>
    </row>
    <row r="1322" spans="1:18" s="14" customFormat="1" x14ac:dyDescent="0.25">
      <c r="A1322" s="14" t="str">
        <f>"84040"</f>
        <v>84040</v>
      </c>
      <c r="B1322" s="14" t="str">
        <f>"07020"</f>
        <v>07020</v>
      </c>
      <c r="C1322" s="14" t="str">
        <f>"1700"</f>
        <v>1700</v>
      </c>
      <c r="D1322" s="14" t="str">
        <f>"84040"</f>
        <v>84040</v>
      </c>
      <c r="E1322" s="14" t="s">
        <v>1581</v>
      </c>
      <c r="F1322" s="14" t="s">
        <v>1532</v>
      </c>
      <c r="G1322" s="14" t="str">
        <f>""</f>
        <v/>
      </c>
      <c r="H1322" s="14" t="str">
        <f>" 20"</f>
        <v xml:space="preserve"> 20</v>
      </c>
      <c r="I1322" s="14">
        <v>500.01</v>
      </c>
      <c r="J1322" s="14">
        <v>9999999.9900000002</v>
      </c>
      <c r="K1322" s="14" t="s">
        <v>147</v>
      </c>
      <c r="L1322" s="14" t="s">
        <v>148</v>
      </c>
      <c r="P1322" s="14" t="s">
        <v>31</v>
      </c>
      <c r="Q1322" s="14" t="s">
        <v>31</v>
      </c>
      <c r="R1322" s="14" t="s">
        <v>146</v>
      </c>
    </row>
    <row r="1323" spans="1:18" s="14" customFormat="1" x14ac:dyDescent="0.25">
      <c r="A1323" s="14" t="str">
        <f>"84041"</f>
        <v>84041</v>
      </c>
      <c r="B1323" s="14" t="str">
        <f>"07020"</f>
        <v>07020</v>
      </c>
      <c r="C1323" s="14" t="str">
        <f>"1700"</f>
        <v>1700</v>
      </c>
      <c r="D1323" s="14" t="str">
        <f>"84041"</f>
        <v>84041</v>
      </c>
      <c r="E1323" s="14" t="s">
        <v>1582</v>
      </c>
      <c r="F1323" s="14" t="s">
        <v>1532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1583</v>
      </c>
      <c r="M1323" s="14" t="s">
        <v>72</v>
      </c>
      <c r="P1323" s="14" t="s">
        <v>31</v>
      </c>
      <c r="Q1323" s="14" t="s">
        <v>31</v>
      </c>
      <c r="R1323" s="14" t="s">
        <v>72</v>
      </c>
    </row>
    <row r="1324" spans="1:18" s="14" customFormat="1" x14ac:dyDescent="0.25">
      <c r="A1324" s="14" t="str">
        <f>"84042"</f>
        <v>84042</v>
      </c>
      <c r="B1324" s="14" t="str">
        <f>"07020"</f>
        <v>07020</v>
      </c>
      <c r="C1324" s="14" t="str">
        <f>"1700"</f>
        <v>1700</v>
      </c>
      <c r="D1324" s="14" t="str">
        <f>"84042"</f>
        <v>84042</v>
      </c>
      <c r="E1324" s="14" t="s">
        <v>1584</v>
      </c>
      <c r="F1324" s="14" t="s">
        <v>1532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993</v>
      </c>
      <c r="P1324" s="14" t="s">
        <v>31</v>
      </c>
      <c r="Q1324" s="14" t="s">
        <v>31</v>
      </c>
      <c r="R1324" s="14" t="s">
        <v>993</v>
      </c>
    </row>
    <row r="1325" spans="1:18" s="14" customFormat="1" x14ac:dyDescent="0.25">
      <c r="A1325" s="14" t="str">
        <f>"84044"</f>
        <v>84044</v>
      </c>
      <c r="B1325" s="14" t="str">
        <f>"07020"</f>
        <v>07020</v>
      </c>
      <c r="C1325" s="14" t="str">
        <f>"1700"</f>
        <v>1700</v>
      </c>
      <c r="D1325" s="14" t="str">
        <f>"84044"</f>
        <v>84044</v>
      </c>
      <c r="E1325" s="14" t="s">
        <v>1585</v>
      </c>
      <c r="F1325" s="14" t="s">
        <v>1532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1586</v>
      </c>
      <c r="P1325" s="14" t="s">
        <v>31</v>
      </c>
      <c r="Q1325" s="14" t="s">
        <v>31</v>
      </c>
      <c r="R1325" s="14" t="s">
        <v>1586</v>
      </c>
    </row>
    <row r="1326" spans="1:18" s="14" customFormat="1" x14ac:dyDescent="0.25">
      <c r="A1326" s="14" t="str">
        <f>"84045"</f>
        <v>84045</v>
      </c>
      <c r="B1326" s="14" t="str">
        <f>"07020"</f>
        <v>07020</v>
      </c>
      <c r="C1326" s="14" t="str">
        <f>"1700"</f>
        <v>1700</v>
      </c>
      <c r="D1326" s="14" t="str">
        <f>"84045"</f>
        <v>84045</v>
      </c>
      <c r="E1326" s="14" t="s">
        <v>1587</v>
      </c>
      <c r="F1326" s="14" t="s">
        <v>1532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109</v>
      </c>
      <c r="L1326" s="14" t="s">
        <v>72</v>
      </c>
      <c r="P1326" s="14" t="s">
        <v>31</v>
      </c>
      <c r="Q1326" s="14" t="s">
        <v>31</v>
      </c>
      <c r="R1326" s="14" t="s">
        <v>72</v>
      </c>
    </row>
    <row r="1327" spans="1:18" s="14" customFormat="1" x14ac:dyDescent="0.25">
      <c r="A1327" s="14" t="str">
        <f>"84047"</f>
        <v>84047</v>
      </c>
      <c r="B1327" s="14" t="str">
        <f>"07020"</f>
        <v>07020</v>
      </c>
      <c r="C1327" s="14" t="str">
        <f>"1700"</f>
        <v>1700</v>
      </c>
      <c r="D1327" s="14" t="str">
        <f>"84047"</f>
        <v>84047</v>
      </c>
      <c r="E1327" s="14" t="s">
        <v>1588</v>
      </c>
      <c r="F1327" s="14" t="s">
        <v>1532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404</v>
      </c>
      <c r="L1327" s="14" t="s">
        <v>405</v>
      </c>
      <c r="P1327" s="14" t="s">
        <v>31</v>
      </c>
      <c r="Q1327" s="14" t="s">
        <v>31</v>
      </c>
      <c r="R1327" s="14" t="s">
        <v>403</v>
      </c>
    </row>
    <row r="1328" spans="1:18" s="14" customFormat="1" x14ac:dyDescent="0.25">
      <c r="A1328" s="14" t="str">
        <f>"84048"</f>
        <v>84048</v>
      </c>
      <c r="B1328" s="14" t="str">
        <f>"07020"</f>
        <v>07020</v>
      </c>
      <c r="C1328" s="14" t="str">
        <f>"1700"</f>
        <v>1700</v>
      </c>
      <c r="D1328" s="14" t="str">
        <f>"84048"</f>
        <v>84048</v>
      </c>
      <c r="E1328" s="14" t="s">
        <v>1589</v>
      </c>
      <c r="F1328" s="14" t="s">
        <v>1532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69</v>
      </c>
      <c r="L1328" s="14" t="s">
        <v>71</v>
      </c>
      <c r="M1328" s="14" t="s">
        <v>70</v>
      </c>
      <c r="N1328" s="14" t="s">
        <v>72</v>
      </c>
      <c r="P1328" s="14" t="s">
        <v>31</v>
      </c>
      <c r="Q1328" s="14" t="s">
        <v>31</v>
      </c>
      <c r="R1328" s="14" t="s">
        <v>69</v>
      </c>
    </row>
    <row r="1329" spans="1:18" s="14" customFormat="1" x14ac:dyDescent="0.25">
      <c r="A1329" s="14" t="str">
        <f>"84050"</f>
        <v>84050</v>
      </c>
      <c r="B1329" s="14" t="str">
        <f>"07020"</f>
        <v>07020</v>
      </c>
      <c r="C1329" s="14" t="str">
        <f>"1700"</f>
        <v>1700</v>
      </c>
      <c r="D1329" s="14" t="str">
        <f>"84050"</f>
        <v>84050</v>
      </c>
      <c r="E1329" s="14" t="s">
        <v>1590</v>
      </c>
      <c r="F1329" s="14" t="s">
        <v>1532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392</v>
      </c>
      <c r="L1329" s="14" t="s">
        <v>526</v>
      </c>
      <c r="P1329" s="14" t="s">
        <v>31</v>
      </c>
      <c r="Q1329" s="14" t="s">
        <v>31</v>
      </c>
      <c r="R1329" s="14" t="s">
        <v>392</v>
      </c>
    </row>
    <row r="1330" spans="1:18" s="14" customFormat="1" x14ac:dyDescent="0.25">
      <c r="A1330" s="14" t="str">
        <f>"84051"</f>
        <v>84051</v>
      </c>
      <c r="B1330" s="14" t="str">
        <f>"07020"</f>
        <v>07020</v>
      </c>
      <c r="C1330" s="14" t="str">
        <f>"1700"</f>
        <v>1700</v>
      </c>
      <c r="D1330" s="14" t="str">
        <f>"84051"</f>
        <v>84051</v>
      </c>
      <c r="E1330" s="14" t="s">
        <v>1591</v>
      </c>
      <c r="F1330" s="14" t="s">
        <v>1532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392</v>
      </c>
      <c r="L1330" s="14" t="s">
        <v>526</v>
      </c>
      <c r="P1330" s="14" t="s">
        <v>31</v>
      </c>
      <c r="Q1330" s="14" t="s">
        <v>31</v>
      </c>
      <c r="R1330" s="14" t="s">
        <v>392</v>
      </c>
    </row>
    <row r="1331" spans="1:18" s="14" customFormat="1" x14ac:dyDescent="0.25">
      <c r="A1331" s="14" t="str">
        <f>"84052"</f>
        <v>84052</v>
      </c>
      <c r="B1331" s="14" t="str">
        <f>"07020"</f>
        <v>07020</v>
      </c>
      <c r="C1331" s="14" t="str">
        <f>"1700"</f>
        <v>1700</v>
      </c>
      <c r="D1331" s="14" t="str">
        <f>"84052"</f>
        <v>84052</v>
      </c>
      <c r="E1331" s="14" t="s">
        <v>1592</v>
      </c>
      <c r="F1331" s="14" t="s">
        <v>1532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48</v>
      </c>
      <c r="L1331" s="14" t="s">
        <v>97</v>
      </c>
      <c r="M1331" s="14" t="s">
        <v>98</v>
      </c>
      <c r="P1331" s="14" t="s">
        <v>31</v>
      </c>
      <c r="Q1331" s="14" t="s">
        <v>31</v>
      </c>
      <c r="R1331" s="14" t="s">
        <v>49</v>
      </c>
    </row>
    <row r="1332" spans="1:18" s="14" customFormat="1" x14ac:dyDescent="0.25">
      <c r="A1332" s="14" t="str">
        <f>"84054"</f>
        <v>84054</v>
      </c>
      <c r="B1332" s="14" t="str">
        <f>"07020"</f>
        <v>07020</v>
      </c>
      <c r="C1332" s="14" t="str">
        <f>"1700"</f>
        <v>1700</v>
      </c>
      <c r="D1332" s="14" t="str">
        <f>"84054"</f>
        <v>84054</v>
      </c>
      <c r="E1332" s="14" t="s">
        <v>1593</v>
      </c>
      <c r="F1332" s="14" t="s">
        <v>1532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755</v>
      </c>
      <c r="L1332" s="14" t="s">
        <v>751</v>
      </c>
      <c r="M1332" s="14" t="s">
        <v>72</v>
      </c>
      <c r="P1332" s="14" t="s">
        <v>31</v>
      </c>
      <c r="Q1332" s="14" t="s">
        <v>31</v>
      </c>
      <c r="R1332" s="14" t="s">
        <v>755</v>
      </c>
    </row>
    <row r="1333" spans="1:18" s="14" customFormat="1" x14ac:dyDescent="0.25">
      <c r="A1333" s="14" t="str">
        <f>"84055"</f>
        <v>84055</v>
      </c>
      <c r="B1333" s="14" t="str">
        <f>"07020"</f>
        <v>07020</v>
      </c>
      <c r="C1333" s="14" t="str">
        <f>"1700"</f>
        <v>1700</v>
      </c>
      <c r="D1333" s="14" t="str">
        <f>"84055"</f>
        <v>84055</v>
      </c>
      <c r="E1333" s="14" t="s">
        <v>1594</v>
      </c>
      <c r="F1333" s="14" t="s">
        <v>1532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392</v>
      </c>
      <c r="P1333" s="14" t="s">
        <v>31</v>
      </c>
      <c r="Q1333" s="14" t="s">
        <v>31</v>
      </c>
      <c r="R1333" s="14" t="s">
        <v>392</v>
      </c>
    </row>
    <row r="1334" spans="1:18" s="14" customFormat="1" x14ac:dyDescent="0.25">
      <c r="A1334" s="14" t="str">
        <f>"84056"</f>
        <v>84056</v>
      </c>
      <c r="B1334" s="14" t="str">
        <f>"07020"</f>
        <v>07020</v>
      </c>
      <c r="C1334" s="14" t="str">
        <f>"1700"</f>
        <v>1700</v>
      </c>
      <c r="D1334" s="14" t="str">
        <f>"84056"</f>
        <v>84056</v>
      </c>
      <c r="E1334" s="14" t="s">
        <v>1595</v>
      </c>
      <c r="F1334" s="14" t="s">
        <v>1532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70</v>
      </c>
      <c r="L1334" s="14" t="s">
        <v>72</v>
      </c>
      <c r="P1334" s="14" t="s">
        <v>31</v>
      </c>
      <c r="Q1334" s="14" t="s">
        <v>31</v>
      </c>
      <c r="R1334" s="14" t="s">
        <v>70</v>
      </c>
    </row>
    <row r="1335" spans="1:18" s="14" customFormat="1" x14ac:dyDescent="0.25">
      <c r="A1335" s="14" t="str">
        <f>"84058"</f>
        <v>84058</v>
      </c>
      <c r="B1335" s="14" t="str">
        <f>"07020"</f>
        <v>07020</v>
      </c>
      <c r="C1335" s="14" t="str">
        <f>"1700"</f>
        <v>1700</v>
      </c>
      <c r="D1335" s="14" t="str">
        <f>"84058"</f>
        <v>84058</v>
      </c>
      <c r="E1335" s="14" t="s">
        <v>1596</v>
      </c>
      <c r="F1335" s="14" t="s">
        <v>1532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1597</v>
      </c>
      <c r="L1335" s="14" t="s">
        <v>1598</v>
      </c>
      <c r="M1335" s="14" t="s">
        <v>72</v>
      </c>
      <c r="P1335" s="14" t="s">
        <v>31</v>
      </c>
      <c r="Q1335" s="14" t="s">
        <v>31</v>
      </c>
      <c r="R1335" s="14" t="s">
        <v>72</v>
      </c>
    </row>
    <row r="1336" spans="1:18" s="14" customFormat="1" x14ac:dyDescent="0.25">
      <c r="A1336" s="14" t="str">
        <f>"84059"</f>
        <v>84059</v>
      </c>
      <c r="B1336" s="14" t="str">
        <f>"07020"</f>
        <v>07020</v>
      </c>
      <c r="C1336" s="14" t="str">
        <f>"1700"</f>
        <v>1700</v>
      </c>
      <c r="D1336" s="14" t="str">
        <f>"84059"</f>
        <v>84059</v>
      </c>
      <c r="E1336" s="14" t="s">
        <v>1599</v>
      </c>
      <c r="F1336" s="14" t="s">
        <v>1532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1600</v>
      </c>
      <c r="L1336" s="14" t="s">
        <v>392</v>
      </c>
      <c r="P1336" s="14" t="s">
        <v>31</v>
      </c>
      <c r="Q1336" s="14" t="s">
        <v>31</v>
      </c>
      <c r="R1336" s="14" t="s">
        <v>1600</v>
      </c>
    </row>
    <row r="1337" spans="1:18" s="14" customFormat="1" x14ac:dyDescent="0.25">
      <c r="A1337" s="14" t="str">
        <f>"84060"</f>
        <v>84060</v>
      </c>
      <c r="B1337" s="14" t="str">
        <f>"07020"</f>
        <v>07020</v>
      </c>
      <c r="C1337" s="14" t="str">
        <f>"1700"</f>
        <v>1700</v>
      </c>
      <c r="D1337" s="14" t="str">
        <f>"84060"</f>
        <v>84060</v>
      </c>
      <c r="E1337" s="14" t="s">
        <v>1601</v>
      </c>
      <c r="F1337" s="14" t="s">
        <v>1532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1602</v>
      </c>
      <c r="L1337" s="14" t="s">
        <v>181</v>
      </c>
      <c r="P1337" s="14" t="s">
        <v>31</v>
      </c>
      <c r="Q1337" s="14" t="s">
        <v>31</v>
      </c>
      <c r="R1337" s="14" t="s">
        <v>1602</v>
      </c>
    </row>
    <row r="1338" spans="1:18" s="14" customFormat="1" x14ac:dyDescent="0.25">
      <c r="A1338" s="14" t="str">
        <f>"84061"</f>
        <v>84061</v>
      </c>
      <c r="B1338" s="14" t="str">
        <f>"07020"</f>
        <v>07020</v>
      </c>
      <c r="C1338" s="14" t="str">
        <f>"1700"</f>
        <v>1700</v>
      </c>
      <c r="D1338" s="14" t="str">
        <f>"84061"</f>
        <v>84061</v>
      </c>
      <c r="E1338" s="14" t="s">
        <v>1603</v>
      </c>
      <c r="F1338" s="14" t="s">
        <v>1532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141</v>
      </c>
      <c r="L1338" s="14" t="s">
        <v>71</v>
      </c>
      <c r="M1338" s="14" t="s">
        <v>72</v>
      </c>
      <c r="P1338" s="14" t="s">
        <v>31</v>
      </c>
      <c r="Q1338" s="14" t="s">
        <v>31</v>
      </c>
      <c r="R1338" s="14" t="s">
        <v>141</v>
      </c>
    </row>
    <row r="1339" spans="1:18" s="14" customFormat="1" x14ac:dyDescent="0.25">
      <c r="A1339" s="14" t="str">
        <f>"84063"</f>
        <v>84063</v>
      </c>
      <c r="B1339" s="14" t="str">
        <f>"07020"</f>
        <v>07020</v>
      </c>
      <c r="C1339" s="14" t="str">
        <f>"1700"</f>
        <v>1700</v>
      </c>
      <c r="D1339" s="14" t="str">
        <f>"84063"</f>
        <v>84063</v>
      </c>
      <c r="E1339" s="14" t="s">
        <v>1604</v>
      </c>
      <c r="F1339" s="14" t="s">
        <v>1532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392</v>
      </c>
      <c r="L1339" s="14" t="s">
        <v>526</v>
      </c>
      <c r="P1339" s="14" t="s">
        <v>31</v>
      </c>
      <c r="Q1339" s="14" t="s">
        <v>31</v>
      </c>
      <c r="R1339" s="14" t="s">
        <v>392</v>
      </c>
    </row>
    <row r="1340" spans="1:18" s="14" customFormat="1" x14ac:dyDescent="0.25">
      <c r="A1340" s="14" t="str">
        <f>"84064"</f>
        <v>84064</v>
      </c>
      <c r="B1340" s="14" t="str">
        <f>"07020"</f>
        <v>07020</v>
      </c>
      <c r="C1340" s="14" t="str">
        <f>"1700"</f>
        <v>1700</v>
      </c>
      <c r="D1340" s="14" t="str">
        <f>"84064"</f>
        <v>84064</v>
      </c>
      <c r="E1340" s="14" t="s">
        <v>1605</v>
      </c>
      <c r="F1340" s="14" t="s">
        <v>1532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379</v>
      </c>
      <c r="L1340" s="14" t="s">
        <v>394</v>
      </c>
      <c r="M1340" s="14" t="s">
        <v>395</v>
      </c>
      <c r="P1340" s="14" t="s">
        <v>31</v>
      </c>
      <c r="Q1340" s="14" t="s">
        <v>31</v>
      </c>
      <c r="R1340" s="14" t="s">
        <v>394</v>
      </c>
    </row>
    <row r="1341" spans="1:18" s="14" customFormat="1" x14ac:dyDescent="0.25">
      <c r="A1341" s="14" t="str">
        <f>"84065"</f>
        <v>84065</v>
      </c>
      <c r="B1341" s="14" t="str">
        <f>"07020"</f>
        <v>07020</v>
      </c>
      <c r="C1341" s="14" t="str">
        <f>"1700"</f>
        <v>1700</v>
      </c>
      <c r="D1341" s="14" t="str">
        <f>"84065"</f>
        <v>84065</v>
      </c>
      <c r="E1341" s="14" t="s">
        <v>1606</v>
      </c>
      <c r="F1341" s="14" t="s">
        <v>1532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1544</v>
      </c>
      <c r="L1341" s="14" t="s">
        <v>1607</v>
      </c>
      <c r="P1341" s="14" t="s">
        <v>31</v>
      </c>
      <c r="Q1341" s="14" t="s">
        <v>31</v>
      </c>
      <c r="R1341" s="14" t="s">
        <v>1544</v>
      </c>
    </row>
    <row r="1342" spans="1:18" s="14" customFormat="1" x14ac:dyDescent="0.25">
      <c r="A1342" s="14" t="str">
        <f>"84067"</f>
        <v>84067</v>
      </c>
      <c r="B1342" s="14" t="str">
        <f>"07020"</f>
        <v>07020</v>
      </c>
      <c r="C1342" s="14" t="str">
        <f>"1700"</f>
        <v>1700</v>
      </c>
      <c r="D1342" s="14" t="str">
        <f>"84067"</f>
        <v>84067</v>
      </c>
      <c r="E1342" s="14" t="s">
        <v>1608</v>
      </c>
      <c r="F1342" s="14" t="s">
        <v>1532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192</v>
      </c>
      <c r="L1342" s="14" t="s">
        <v>194</v>
      </c>
      <c r="P1342" s="14" t="s">
        <v>31</v>
      </c>
      <c r="Q1342" s="14" t="s">
        <v>31</v>
      </c>
      <c r="R1342" s="14" t="s">
        <v>192</v>
      </c>
    </row>
    <row r="1343" spans="1:18" s="14" customFormat="1" x14ac:dyDescent="0.25">
      <c r="A1343" s="14" t="str">
        <f>"84068"</f>
        <v>84068</v>
      </c>
      <c r="B1343" s="14" t="str">
        <f>"07020"</f>
        <v>07020</v>
      </c>
      <c r="C1343" s="14" t="str">
        <f>"1700"</f>
        <v>1700</v>
      </c>
      <c r="D1343" s="14" t="str">
        <f>"84068"</f>
        <v>84068</v>
      </c>
      <c r="E1343" s="14" t="s">
        <v>1609</v>
      </c>
      <c r="F1343" s="14" t="s">
        <v>1532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1607</v>
      </c>
      <c r="L1343" s="14" t="s">
        <v>141</v>
      </c>
      <c r="M1343" s="14" t="s">
        <v>72</v>
      </c>
      <c r="P1343" s="14" t="s">
        <v>31</v>
      </c>
      <c r="Q1343" s="14" t="s">
        <v>31</v>
      </c>
      <c r="R1343" s="14" t="s">
        <v>1607</v>
      </c>
    </row>
    <row r="1344" spans="1:18" s="14" customFormat="1" x14ac:dyDescent="0.25">
      <c r="A1344" s="14" t="str">
        <f>"84069"</f>
        <v>84069</v>
      </c>
      <c r="B1344" s="14" t="str">
        <f>"07020"</f>
        <v>07020</v>
      </c>
      <c r="C1344" s="14" t="str">
        <f>"1700"</f>
        <v>1700</v>
      </c>
      <c r="D1344" s="14" t="str">
        <f>"84069"</f>
        <v>84069</v>
      </c>
      <c r="E1344" s="14" t="s">
        <v>1610</v>
      </c>
      <c r="F1344" s="14" t="s">
        <v>1532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381</v>
      </c>
      <c r="L1344" s="14" t="s">
        <v>382</v>
      </c>
      <c r="M1344" s="14" t="s">
        <v>1570</v>
      </c>
      <c r="P1344" s="14" t="s">
        <v>31</v>
      </c>
      <c r="Q1344" s="14" t="s">
        <v>31</v>
      </c>
      <c r="R1344" s="14" t="s">
        <v>383</v>
      </c>
    </row>
    <row r="1345" spans="1:18" s="14" customFormat="1" x14ac:dyDescent="0.25">
      <c r="A1345" s="14" t="str">
        <f>"84070"</f>
        <v>84070</v>
      </c>
      <c r="B1345" s="14" t="str">
        <f>"07020"</f>
        <v>07020</v>
      </c>
      <c r="C1345" s="14" t="str">
        <f>"1700"</f>
        <v>1700</v>
      </c>
      <c r="D1345" s="14" t="str">
        <f>"84070"</f>
        <v>84070</v>
      </c>
      <c r="E1345" s="14" t="s">
        <v>1611</v>
      </c>
      <c r="F1345" s="14" t="s">
        <v>1532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1534</v>
      </c>
      <c r="L1345" s="14" t="s">
        <v>387</v>
      </c>
      <c r="M1345" s="14" t="s">
        <v>386</v>
      </c>
      <c r="P1345" s="14" t="s">
        <v>31</v>
      </c>
      <c r="Q1345" s="14" t="s">
        <v>31</v>
      </c>
      <c r="R1345" s="14" t="s">
        <v>1534</v>
      </c>
    </row>
    <row r="1346" spans="1:18" s="14" customFormat="1" x14ac:dyDescent="0.25">
      <c r="A1346" s="14" t="str">
        <f>"84071"</f>
        <v>84071</v>
      </c>
      <c r="B1346" s="14" t="str">
        <f>"07020"</f>
        <v>07020</v>
      </c>
      <c r="C1346" s="14" t="str">
        <f>"1700"</f>
        <v>1700</v>
      </c>
      <c r="D1346" s="14" t="str">
        <f>"84071"</f>
        <v>84071</v>
      </c>
      <c r="E1346" s="14" t="s">
        <v>1612</v>
      </c>
      <c r="F1346" s="14" t="s">
        <v>1532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890</v>
      </c>
      <c r="L1346" s="14" t="s">
        <v>109</v>
      </c>
      <c r="M1346" s="14" t="s">
        <v>72</v>
      </c>
      <c r="P1346" s="14" t="s">
        <v>31</v>
      </c>
      <c r="Q1346" s="14" t="s">
        <v>31</v>
      </c>
      <c r="R1346" s="14" t="s">
        <v>890</v>
      </c>
    </row>
    <row r="1347" spans="1:18" s="14" customFormat="1" x14ac:dyDescent="0.25">
      <c r="A1347" s="14" t="str">
        <f>"84072"</f>
        <v>84072</v>
      </c>
      <c r="B1347" s="14" t="str">
        <f>"07020"</f>
        <v>07020</v>
      </c>
      <c r="C1347" s="14" t="str">
        <f>"1700"</f>
        <v>1700</v>
      </c>
      <c r="D1347" s="14" t="str">
        <f>"84072"</f>
        <v>84072</v>
      </c>
      <c r="E1347" s="14" t="s">
        <v>1613</v>
      </c>
      <c r="F1347" s="14" t="s">
        <v>1532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1614</v>
      </c>
      <c r="L1347" s="14" t="s">
        <v>69</v>
      </c>
      <c r="M1347" s="14" t="s">
        <v>70</v>
      </c>
      <c r="N1347" s="14" t="s">
        <v>71</v>
      </c>
      <c r="P1347" s="14" t="s">
        <v>31</v>
      </c>
      <c r="Q1347" s="14" t="s">
        <v>31</v>
      </c>
      <c r="R1347" s="14" t="s">
        <v>72</v>
      </c>
    </row>
    <row r="1348" spans="1:18" s="14" customFormat="1" x14ac:dyDescent="0.25">
      <c r="A1348" s="14" t="str">
        <f>"84074"</f>
        <v>84074</v>
      </c>
      <c r="B1348" s="14" t="str">
        <f>"07020"</f>
        <v>07020</v>
      </c>
      <c r="C1348" s="14" t="str">
        <f>"1700"</f>
        <v>1700</v>
      </c>
      <c r="D1348" s="14" t="str">
        <f>"84074"</f>
        <v>84074</v>
      </c>
      <c r="E1348" s="14" t="s">
        <v>1615</v>
      </c>
      <c r="F1348" s="14" t="s">
        <v>1532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392</v>
      </c>
      <c r="L1348" s="14" t="s">
        <v>526</v>
      </c>
      <c r="P1348" s="14" t="s">
        <v>31</v>
      </c>
      <c r="Q1348" s="14" t="s">
        <v>31</v>
      </c>
      <c r="R1348" s="14" t="s">
        <v>392</v>
      </c>
    </row>
    <row r="1349" spans="1:18" s="14" customFormat="1" x14ac:dyDescent="0.25">
      <c r="A1349" s="14" t="str">
        <f>"84079"</f>
        <v>84079</v>
      </c>
      <c r="B1349" s="14" t="str">
        <f>"07020"</f>
        <v>07020</v>
      </c>
      <c r="C1349" s="14" t="str">
        <f>"1700"</f>
        <v>1700</v>
      </c>
      <c r="D1349" s="14" t="str">
        <f>"84079"</f>
        <v>84079</v>
      </c>
      <c r="E1349" s="14" t="s">
        <v>1616</v>
      </c>
      <c r="F1349" s="14" t="s">
        <v>1532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1540</v>
      </c>
      <c r="L1349" s="14" t="s">
        <v>1617</v>
      </c>
      <c r="M1349" s="14" t="s">
        <v>72</v>
      </c>
      <c r="P1349" s="14" t="s">
        <v>31</v>
      </c>
      <c r="Q1349" s="14" t="s">
        <v>31</v>
      </c>
      <c r="R1349" s="14" t="s">
        <v>1540</v>
      </c>
    </row>
    <row r="1350" spans="1:18" s="14" customFormat="1" x14ac:dyDescent="0.25">
      <c r="A1350" s="14" t="str">
        <f>"84080"</f>
        <v>84080</v>
      </c>
      <c r="B1350" s="14" t="str">
        <f>"07020"</f>
        <v>07020</v>
      </c>
      <c r="C1350" s="14" t="str">
        <f>"1700"</f>
        <v>1700</v>
      </c>
      <c r="D1350" s="14" t="str">
        <f>"84080"</f>
        <v>84080</v>
      </c>
      <c r="E1350" s="14" t="s">
        <v>1618</v>
      </c>
      <c r="F1350" s="14" t="s">
        <v>1532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1619</v>
      </c>
      <c r="L1350" s="14" t="s">
        <v>862</v>
      </c>
      <c r="M1350" s="14" t="s">
        <v>72</v>
      </c>
      <c r="P1350" s="14" t="s">
        <v>31</v>
      </c>
      <c r="Q1350" s="14" t="s">
        <v>31</v>
      </c>
      <c r="R1350" s="14" t="s">
        <v>1619</v>
      </c>
    </row>
    <row r="1351" spans="1:18" s="14" customFormat="1" x14ac:dyDescent="0.25">
      <c r="A1351" s="14" t="str">
        <f>"84081"</f>
        <v>84081</v>
      </c>
      <c r="B1351" s="14" t="str">
        <f>"07020"</f>
        <v>07020</v>
      </c>
      <c r="C1351" s="14" t="str">
        <f>"1700"</f>
        <v>1700</v>
      </c>
      <c r="D1351" s="14" t="str">
        <f>"84081"</f>
        <v>84081</v>
      </c>
      <c r="E1351" s="14" t="s">
        <v>1620</v>
      </c>
      <c r="F1351" s="14" t="s">
        <v>1532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401</v>
      </c>
      <c r="L1351" s="14" t="s">
        <v>392</v>
      </c>
      <c r="P1351" s="14" t="s">
        <v>31</v>
      </c>
      <c r="Q1351" s="14" t="s">
        <v>31</v>
      </c>
      <c r="R1351" s="14" t="s">
        <v>401</v>
      </c>
    </row>
    <row r="1352" spans="1:18" s="14" customFormat="1" x14ac:dyDescent="0.25">
      <c r="A1352" s="14" t="str">
        <f>"84084"</f>
        <v>84084</v>
      </c>
      <c r="B1352" s="14" t="str">
        <f>"07020"</f>
        <v>07020</v>
      </c>
      <c r="C1352" s="14" t="str">
        <f>"1700"</f>
        <v>1700</v>
      </c>
      <c r="D1352" s="14" t="str">
        <f>"84084"</f>
        <v>84084</v>
      </c>
      <c r="E1352" s="14" t="s">
        <v>1621</v>
      </c>
      <c r="F1352" s="14" t="s">
        <v>1532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381</v>
      </c>
      <c r="L1352" s="14" t="s">
        <v>382</v>
      </c>
      <c r="M1352" s="14" t="s">
        <v>1570</v>
      </c>
      <c r="P1352" s="14" t="s">
        <v>31</v>
      </c>
      <c r="Q1352" s="14" t="s">
        <v>31</v>
      </c>
      <c r="R1352" s="14" t="s">
        <v>383</v>
      </c>
    </row>
    <row r="1353" spans="1:18" s="14" customFormat="1" x14ac:dyDescent="0.25">
      <c r="A1353" s="14" t="str">
        <f>"84086"</f>
        <v>84086</v>
      </c>
      <c r="B1353" s="14" t="str">
        <f>"07020"</f>
        <v>07020</v>
      </c>
      <c r="C1353" s="14" t="str">
        <f>"1700"</f>
        <v>1700</v>
      </c>
      <c r="D1353" s="14" t="str">
        <f>"84086"</f>
        <v>84086</v>
      </c>
      <c r="E1353" s="14" t="s">
        <v>1622</v>
      </c>
      <c r="F1353" s="14" t="s">
        <v>1532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184</v>
      </c>
      <c r="L1353" s="14" t="s">
        <v>37</v>
      </c>
      <c r="P1353" s="14" t="s">
        <v>31</v>
      </c>
      <c r="Q1353" s="14" t="s">
        <v>31</v>
      </c>
      <c r="R1353" s="14" t="s">
        <v>115</v>
      </c>
    </row>
    <row r="1354" spans="1:18" s="14" customFormat="1" x14ac:dyDescent="0.25">
      <c r="A1354" s="14" t="str">
        <f>"84088"</f>
        <v>84088</v>
      </c>
      <c r="B1354" s="14" t="str">
        <f>"07020"</f>
        <v>07020</v>
      </c>
      <c r="C1354" s="14" t="str">
        <f>"1700"</f>
        <v>1700</v>
      </c>
      <c r="D1354" s="14" t="str">
        <f>"84088"</f>
        <v>84088</v>
      </c>
      <c r="E1354" s="14" t="s">
        <v>1623</v>
      </c>
      <c r="F1354" s="14" t="s">
        <v>1532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60</v>
      </c>
      <c r="L1354" s="14" t="s">
        <v>53</v>
      </c>
      <c r="P1354" s="14" t="s">
        <v>31</v>
      </c>
      <c r="Q1354" s="14" t="s">
        <v>31</v>
      </c>
      <c r="R1354" s="14" t="s">
        <v>60</v>
      </c>
    </row>
    <row r="1355" spans="1:18" s="14" customFormat="1" x14ac:dyDescent="0.25">
      <c r="A1355" s="14" t="str">
        <f>"84090"</f>
        <v>84090</v>
      </c>
      <c r="B1355" s="14" t="str">
        <f>"07020"</f>
        <v>07020</v>
      </c>
      <c r="C1355" s="14" t="str">
        <f>"1700"</f>
        <v>1700</v>
      </c>
      <c r="D1355" s="14" t="str">
        <f>"84090"</f>
        <v>84090</v>
      </c>
      <c r="E1355" s="14" t="s">
        <v>1624</v>
      </c>
      <c r="F1355" s="14" t="s">
        <v>1532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386</v>
      </c>
      <c r="L1355" s="14" t="s">
        <v>392</v>
      </c>
      <c r="M1355" s="14" t="s">
        <v>1625</v>
      </c>
      <c r="P1355" s="14" t="s">
        <v>31</v>
      </c>
      <c r="Q1355" s="14" t="s">
        <v>31</v>
      </c>
      <c r="R1355" s="14" t="s">
        <v>388</v>
      </c>
    </row>
    <row r="1356" spans="1:18" s="14" customFormat="1" x14ac:dyDescent="0.25">
      <c r="A1356" s="14" t="str">
        <f>"84091"</f>
        <v>84091</v>
      </c>
      <c r="B1356" s="14" t="str">
        <f>"07020"</f>
        <v>07020</v>
      </c>
      <c r="C1356" s="14" t="str">
        <f>"1700"</f>
        <v>1700</v>
      </c>
      <c r="D1356" s="14" t="str">
        <f>"84091"</f>
        <v>84091</v>
      </c>
      <c r="E1356" s="14" t="s">
        <v>1626</v>
      </c>
      <c r="F1356" s="14" t="s">
        <v>1532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188</v>
      </c>
      <c r="L1356" s="14" t="s">
        <v>1627</v>
      </c>
      <c r="M1356" s="14" t="s">
        <v>853</v>
      </c>
      <c r="N1356" s="14" t="s">
        <v>1628</v>
      </c>
      <c r="P1356" s="14" t="s">
        <v>31</v>
      </c>
      <c r="Q1356" s="14" t="s">
        <v>31</v>
      </c>
      <c r="R1356" s="14" t="s">
        <v>115</v>
      </c>
    </row>
    <row r="1357" spans="1:18" s="14" customFormat="1" x14ac:dyDescent="0.25">
      <c r="A1357" s="14" t="str">
        <f>"84092"</f>
        <v>84092</v>
      </c>
      <c r="B1357" s="14" t="str">
        <f>"07020"</f>
        <v>07020</v>
      </c>
      <c r="C1357" s="14" t="str">
        <f>"1700"</f>
        <v>1700</v>
      </c>
      <c r="D1357" s="14" t="str">
        <f>"84092"</f>
        <v>84092</v>
      </c>
      <c r="E1357" s="14" t="s">
        <v>1629</v>
      </c>
      <c r="F1357" s="14" t="s">
        <v>1532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601</v>
      </c>
      <c r="L1357" s="14" t="s">
        <v>1630</v>
      </c>
      <c r="P1357" s="14" t="s">
        <v>31</v>
      </c>
      <c r="Q1357" s="14" t="s">
        <v>31</v>
      </c>
      <c r="R1357" s="14" t="s">
        <v>601</v>
      </c>
    </row>
    <row r="1358" spans="1:18" s="14" customFormat="1" x14ac:dyDescent="0.25">
      <c r="A1358" s="14" t="str">
        <f>"84093"</f>
        <v>84093</v>
      </c>
      <c r="B1358" s="14" t="str">
        <f>"07020"</f>
        <v>07020</v>
      </c>
      <c r="C1358" s="14" t="str">
        <f>"1700"</f>
        <v>1700</v>
      </c>
      <c r="D1358" s="14" t="str">
        <f>"84093"</f>
        <v>84093</v>
      </c>
      <c r="E1358" s="14" t="s">
        <v>1631</v>
      </c>
      <c r="F1358" s="14" t="s">
        <v>1532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48</v>
      </c>
      <c r="L1358" s="14" t="s">
        <v>97</v>
      </c>
      <c r="M1358" s="14" t="s">
        <v>98</v>
      </c>
      <c r="P1358" s="14" t="s">
        <v>31</v>
      </c>
      <c r="Q1358" s="14" t="s">
        <v>31</v>
      </c>
      <c r="R1358" s="14" t="s">
        <v>49</v>
      </c>
    </row>
    <row r="1359" spans="1:18" s="14" customFormat="1" x14ac:dyDescent="0.25">
      <c r="A1359" s="14" t="str">
        <f>"84094"</f>
        <v>84094</v>
      </c>
      <c r="B1359" s="14" t="str">
        <f>"07020"</f>
        <v>07020</v>
      </c>
      <c r="C1359" s="14" t="str">
        <f>"1700"</f>
        <v>1700</v>
      </c>
      <c r="D1359" s="14" t="str">
        <f>"84094"</f>
        <v>84094</v>
      </c>
      <c r="E1359" s="14" t="s">
        <v>1632</v>
      </c>
      <c r="F1359" s="14" t="s">
        <v>1532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1633</v>
      </c>
      <c r="P1359" s="14" t="s">
        <v>31</v>
      </c>
      <c r="Q1359" s="14" t="s">
        <v>31</v>
      </c>
      <c r="R1359" s="14" t="s">
        <v>1633</v>
      </c>
    </row>
    <row r="1360" spans="1:18" s="14" customFormat="1" x14ac:dyDescent="0.25">
      <c r="A1360" s="14" t="str">
        <f>"84095"</f>
        <v>84095</v>
      </c>
      <c r="B1360" s="14" t="str">
        <f>"07020"</f>
        <v>07020</v>
      </c>
      <c r="C1360" s="14" t="str">
        <f>"1700"</f>
        <v>1700</v>
      </c>
      <c r="D1360" s="14" t="str">
        <f>"84095"</f>
        <v>84095</v>
      </c>
      <c r="E1360" s="14" t="s">
        <v>1634</v>
      </c>
      <c r="F1360" s="14" t="s">
        <v>1532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801</v>
      </c>
      <c r="L1360" s="14" t="s">
        <v>779</v>
      </c>
      <c r="M1360" s="14" t="s">
        <v>72</v>
      </c>
      <c r="P1360" s="14" t="s">
        <v>31</v>
      </c>
      <c r="Q1360" s="14" t="s">
        <v>31</v>
      </c>
      <c r="R1360" s="14" t="s">
        <v>801</v>
      </c>
    </row>
    <row r="1361" spans="1:18" s="14" customFormat="1" x14ac:dyDescent="0.25">
      <c r="A1361" s="14" t="str">
        <f>"84096"</f>
        <v>84096</v>
      </c>
      <c r="B1361" s="14" t="str">
        <f>"07020"</f>
        <v>07020</v>
      </c>
      <c r="C1361" s="14" t="str">
        <f>"1700"</f>
        <v>1700</v>
      </c>
      <c r="D1361" s="14" t="str">
        <f>"84096"</f>
        <v>84096</v>
      </c>
      <c r="E1361" s="14" t="s">
        <v>1635</v>
      </c>
      <c r="F1361" s="14" t="s">
        <v>1532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1562</v>
      </c>
      <c r="P1361" s="14" t="s">
        <v>31</v>
      </c>
      <c r="Q1361" s="14" t="s">
        <v>31</v>
      </c>
      <c r="R1361" s="14" t="s">
        <v>1636</v>
      </c>
    </row>
    <row r="1362" spans="1:18" s="14" customFormat="1" x14ac:dyDescent="0.25">
      <c r="A1362" s="14" t="str">
        <f>"84098"</f>
        <v>84098</v>
      </c>
      <c r="B1362" s="14" t="str">
        <f>"07020"</f>
        <v>07020</v>
      </c>
      <c r="C1362" s="14" t="str">
        <f>"1700"</f>
        <v>1700</v>
      </c>
      <c r="D1362" s="14" t="str">
        <f>"84098"</f>
        <v>84098</v>
      </c>
      <c r="E1362" s="14" t="s">
        <v>1637</v>
      </c>
      <c r="F1362" s="14" t="s">
        <v>1532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1638</v>
      </c>
      <c r="L1362" s="14" t="s">
        <v>1639</v>
      </c>
      <c r="P1362" s="14" t="s">
        <v>31</v>
      </c>
      <c r="Q1362" s="14" t="s">
        <v>31</v>
      </c>
      <c r="R1362" s="14" t="s">
        <v>111</v>
      </c>
    </row>
    <row r="1363" spans="1:18" s="14" customFormat="1" x14ac:dyDescent="0.25">
      <c r="A1363" s="14" t="str">
        <f>"84099"</f>
        <v>84099</v>
      </c>
      <c r="B1363" s="14" t="str">
        <f>"07020"</f>
        <v>07020</v>
      </c>
      <c r="C1363" s="14" t="str">
        <f>"1700"</f>
        <v>1700</v>
      </c>
      <c r="D1363" s="14" t="str">
        <f>"84099"</f>
        <v>84099</v>
      </c>
      <c r="E1363" s="14" t="s">
        <v>1640</v>
      </c>
      <c r="F1363" s="14" t="s">
        <v>1532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1641</v>
      </c>
      <c r="L1363" s="14" t="s">
        <v>392</v>
      </c>
      <c r="M1363" s="14" t="s">
        <v>72</v>
      </c>
      <c r="P1363" s="14" t="s">
        <v>31</v>
      </c>
      <c r="Q1363" s="14" t="s">
        <v>31</v>
      </c>
      <c r="R1363" s="14" t="s">
        <v>1641</v>
      </c>
    </row>
    <row r="1364" spans="1:18" s="14" customFormat="1" x14ac:dyDescent="0.25">
      <c r="A1364" s="14" t="str">
        <f>"84101"</f>
        <v>84101</v>
      </c>
      <c r="B1364" s="14" t="str">
        <f>"07020"</f>
        <v>07020</v>
      </c>
      <c r="C1364" s="14" t="str">
        <f>"1700"</f>
        <v>1700</v>
      </c>
      <c r="D1364" s="14" t="str">
        <f>"84101"</f>
        <v>84101</v>
      </c>
      <c r="E1364" s="14" t="s">
        <v>1642</v>
      </c>
      <c r="F1364" s="14" t="s">
        <v>1532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48</v>
      </c>
      <c r="L1364" s="14" t="s">
        <v>97</v>
      </c>
      <c r="M1364" s="14" t="s">
        <v>102</v>
      </c>
      <c r="P1364" s="14" t="s">
        <v>31</v>
      </c>
      <c r="Q1364" s="14" t="s">
        <v>31</v>
      </c>
      <c r="R1364" s="14" t="s">
        <v>49</v>
      </c>
    </row>
    <row r="1365" spans="1:18" s="14" customFormat="1" x14ac:dyDescent="0.25">
      <c r="A1365" s="14" t="str">
        <f>"84102"</f>
        <v>84102</v>
      </c>
      <c r="B1365" s="14" t="str">
        <f>"07020"</f>
        <v>07020</v>
      </c>
      <c r="C1365" s="14" t="str">
        <f>"1700"</f>
        <v>1700</v>
      </c>
      <c r="D1365" s="14" t="str">
        <f>"84102"</f>
        <v>84102</v>
      </c>
      <c r="E1365" s="14" t="s">
        <v>1643</v>
      </c>
      <c r="F1365" s="14" t="s">
        <v>1532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156</v>
      </c>
      <c r="P1365" s="14" t="s">
        <v>31</v>
      </c>
      <c r="Q1365" s="14" t="s">
        <v>31</v>
      </c>
      <c r="R1365" s="14" t="s">
        <v>156</v>
      </c>
    </row>
    <row r="1366" spans="1:18" s="14" customFormat="1" x14ac:dyDescent="0.25">
      <c r="A1366" s="14" t="str">
        <f>"84103"</f>
        <v>84103</v>
      </c>
      <c r="B1366" s="14" t="str">
        <f>"07020"</f>
        <v>07020</v>
      </c>
      <c r="C1366" s="14" t="str">
        <f>"1700"</f>
        <v>1700</v>
      </c>
      <c r="D1366" s="14" t="str">
        <f>"84103"</f>
        <v>84103</v>
      </c>
      <c r="E1366" s="14" t="s">
        <v>1644</v>
      </c>
      <c r="F1366" s="14" t="s">
        <v>1532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70</v>
      </c>
      <c r="L1366" s="14" t="s">
        <v>1645</v>
      </c>
      <c r="M1366" s="14" t="s">
        <v>72</v>
      </c>
      <c r="P1366" s="14" t="s">
        <v>31</v>
      </c>
      <c r="Q1366" s="14" t="s">
        <v>31</v>
      </c>
      <c r="R1366" s="14" t="s">
        <v>1645</v>
      </c>
    </row>
    <row r="1367" spans="1:18" s="14" customFormat="1" x14ac:dyDescent="0.25">
      <c r="A1367" s="14" t="str">
        <f>"84107"</f>
        <v>84107</v>
      </c>
      <c r="B1367" s="14" t="str">
        <f>"07020"</f>
        <v>07020</v>
      </c>
      <c r="C1367" s="14" t="str">
        <f>"1700"</f>
        <v>1700</v>
      </c>
      <c r="D1367" s="14" t="str">
        <f>"84107"</f>
        <v>84107</v>
      </c>
      <c r="E1367" s="14" t="s">
        <v>1646</v>
      </c>
      <c r="F1367" s="14" t="s">
        <v>1532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37</v>
      </c>
      <c r="L1367" s="14" t="s">
        <v>1619</v>
      </c>
      <c r="P1367" s="14" t="s">
        <v>31</v>
      </c>
      <c r="Q1367" s="14" t="s">
        <v>31</v>
      </c>
      <c r="R1367" s="14" t="s">
        <v>38</v>
      </c>
    </row>
    <row r="1368" spans="1:18" s="14" customFormat="1" x14ac:dyDescent="0.25">
      <c r="A1368" s="14" t="str">
        <f>"84108"</f>
        <v>84108</v>
      </c>
      <c r="B1368" s="14" t="str">
        <f>"07020"</f>
        <v>07020</v>
      </c>
      <c r="C1368" s="14" t="str">
        <f>"1700"</f>
        <v>1700</v>
      </c>
      <c r="D1368" s="14" t="str">
        <f>"84108"</f>
        <v>84108</v>
      </c>
      <c r="E1368" s="14" t="s">
        <v>1647</v>
      </c>
      <c r="F1368" s="14" t="s">
        <v>1532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601</v>
      </c>
      <c r="L1368" s="14" t="s">
        <v>72</v>
      </c>
      <c r="P1368" s="14" t="s">
        <v>31</v>
      </c>
      <c r="Q1368" s="14" t="s">
        <v>31</v>
      </c>
      <c r="R1368" s="14" t="s">
        <v>72</v>
      </c>
    </row>
    <row r="1369" spans="1:18" s="14" customFormat="1" x14ac:dyDescent="0.25">
      <c r="A1369" s="14" t="str">
        <f>"84110"</f>
        <v>84110</v>
      </c>
      <c r="B1369" s="14" t="str">
        <f>"07020"</f>
        <v>07020</v>
      </c>
      <c r="C1369" s="14" t="str">
        <f>"1700"</f>
        <v>1700</v>
      </c>
      <c r="D1369" s="14" t="str">
        <f>"84110"</f>
        <v>84110</v>
      </c>
      <c r="E1369" s="14" t="s">
        <v>1648</v>
      </c>
      <c r="F1369" s="14" t="s">
        <v>1532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1649</v>
      </c>
      <c r="L1369" s="14" t="s">
        <v>1650</v>
      </c>
      <c r="P1369" s="14" t="s">
        <v>31</v>
      </c>
      <c r="Q1369" s="14" t="s">
        <v>31</v>
      </c>
      <c r="R1369" s="14" t="s">
        <v>1649</v>
      </c>
    </row>
    <row r="1370" spans="1:18" s="14" customFormat="1" x14ac:dyDescent="0.25">
      <c r="A1370" s="14" t="str">
        <f>"84113"</f>
        <v>84113</v>
      </c>
      <c r="B1370" s="14" t="str">
        <f>"07020"</f>
        <v>07020</v>
      </c>
      <c r="C1370" s="14" t="str">
        <f>"1700"</f>
        <v>1700</v>
      </c>
      <c r="D1370" s="14" t="str">
        <f>"84113"</f>
        <v>84113</v>
      </c>
      <c r="E1370" s="14" t="s">
        <v>1651</v>
      </c>
      <c r="F1370" s="14" t="s">
        <v>1532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69</v>
      </c>
      <c r="L1370" s="14" t="s">
        <v>1652</v>
      </c>
      <c r="M1370" s="14" t="s">
        <v>70</v>
      </c>
      <c r="N1370" s="14" t="s">
        <v>71</v>
      </c>
      <c r="P1370" s="14" t="s">
        <v>31</v>
      </c>
      <c r="Q1370" s="14" t="s">
        <v>31</v>
      </c>
      <c r="R1370" s="14" t="s">
        <v>72</v>
      </c>
    </row>
    <row r="1371" spans="1:18" s="14" customFormat="1" x14ac:dyDescent="0.25">
      <c r="A1371" s="14" t="str">
        <f>"84114"</f>
        <v>84114</v>
      </c>
      <c r="B1371" s="14" t="str">
        <f>"07020"</f>
        <v>07020</v>
      </c>
      <c r="C1371" s="14" t="str">
        <f>"1700"</f>
        <v>1700</v>
      </c>
      <c r="D1371" s="14" t="str">
        <f>"84114"</f>
        <v>84114</v>
      </c>
      <c r="E1371" s="14" t="s">
        <v>1653</v>
      </c>
      <c r="F1371" s="14" t="s">
        <v>1532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392</v>
      </c>
      <c r="L1371" s="14" t="s">
        <v>526</v>
      </c>
      <c r="P1371" s="14" t="s">
        <v>31</v>
      </c>
      <c r="Q1371" s="14" t="s">
        <v>31</v>
      </c>
      <c r="R1371" s="14" t="s">
        <v>392</v>
      </c>
    </row>
    <row r="1372" spans="1:18" s="14" customFormat="1" x14ac:dyDescent="0.25">
      <c r="A1372" s="14" t="str">
        <f>"84117"</f>
        <v>84117</v>
      </c>
      <c r="B1372" s="14" t="str">
        <f>"07020"</f>
        <v>07020</v>
      </c>
      <c r="C1372" s="14" t="str">
        <f>"1700"</f>
        <v>1700</v>
      </c>
      <c r="D1372" s="14" t="str">
        <f>"84117"</f>
        <v>84117</v>
      </c>
      <c r="E1372" s="14" t="s">
        <v>1654</v>
      </c>
      <c r="F1372" s="14" t="s">
        <v>1532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162</v>
      </c>
      <c r="L1372" s="14" t="s">
        <v>164</v>
      </c>
      <c r="M1372" s="14" t="s">
        <v>147</v>
      </c>
      <c r="P1372" s="14" t="s">
        <v>31</v>
      </c>
      <c r="Q1372" s="14" t="s">
        <v>31</v>
      </c>
      <c r="R1372" s="14" t="s">
        <v>162</v>
      </c>
    </row>
    <row r="1373" spans="1:18" s="14" customFormat="1" x14ac:dyDescent="0.25">
      <c r="A1373" s="14" t="str">
        <f>"84118"</f>
        <v>84118</v>
      </c>
      <c r="B1373" s="14" t="str">
        <f>"07020"</f>
        <v>07020</v>
      </c>
      <c r="C1373" s="14" t="str">
        <f>"1700"</f>
        <v>1700</v>
      </c>
      <c r="D1373" s="14" t="str">
        <f>"84118"</f>
        <v>84118</v>
      </c>
      <c r="E1373" s="14" t="s">
        <v>1655</v>
      </c>
      <c r="F1373" s="14" t="s">
        <v>1532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388</v>
      </c>
      <c r="L1373" s="14" t="s">
        <v>387</v>
      </c>
      <c r="M1373" s="14" t="s">
        <v>1656</v>
      </c>
      <c r="N1373" s="14" t="s">
        <v>386</v>
      </c>
      <c r="P1373" s="14" t="s">
        <v>31</v>
      </c>
      <c r="Q1373" s="14" t="s">
        <v>31</v>
      </c>
      <c r="R1373" s="14" t="s">
        <v>388</v>
      </c>
    </row>
    <row r="1374" spans="1:18" s="14" customFormat="1" x14ac:dyDescent="0.25">
      <c r="A1374" s="14" t="str">
        <f>"84119"</f>
        <v>84119</v>
      </c>
      <c r="B1374" s="14" t="str">
        <f>"07020"</f>
        <v>07020</v>
      </c>
      <c r="C1374" s="14" t="str">
        <f>"1700"</f>
        <v>1700</v>
      </c>
      <c r="D1374" s="14" t="str">
        <f>"84119"</f>
        <v>84119</v>
      </c>
      <c r="E1374" s="14" t="s">
        <v>1657</v>
      </c>
      <c r="F1374" s="14" t="s">
        <v>1532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762</v>
      </c>
      <c r="P1374" s="14" t="s">
        <v>31</v>
      </c>
      <c r="Q1374" s="14" t="s">
        <v>31</v>
      </c>
      <c r="R1374" s="14" t="s">
        <v>762</v>
      </c>
    </row>
    <row r="1375" spans="1:18" s="14" customFormat="1" x14ac:dyDescent="0.25">
      <c r="A1375" s="14" t="str">
        <f>"84122"</f>
        <v>84122</v>
      </c>
      <c r="B1375" s="14" t="str">
        <f>"07020"</f>
        <v>07020</v>
      </c>
      <c r="C1375" s="14" t="str">
        <f>"1700"</f>
        <v>1700</v>
      </c>
      <c r="D1375" s="14" t="str">
        <f>"84122"</f>
        <v>84122</v>
      </c>
      <c r="E1375" s="14" t="s">
        <v>1658</v>
      </c>
      <c r="F1375" s="14" t="s">
        <v>1532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1540</v>
      </c>
      <c r="L1375" s="14" t="s">
        <v>70</v>
      </c>
      <c r="M1375" s="14" t="s">
        <v>72</v>
      </c>
      <c r="P1375" s="14" t="s">
        <v>31</v>
      </c>
      <c r="Q1375" s="14" t="s">
        <v>31</v>
      </c>
      <c r="R1375" s="14" t="s">
        <v>1540</v>
      </c>
    </row>
    <row r="1376" spans="1:18" s="14" customFormat="1" x14ac:dyDescent="0.25">
      <c r="A1376" s="14" t="str">
        <f>"84124"</f>
        <v>84124</v>
      </c>
      <c r="B1376" s="14" t="str">
        <f>"07020"</f>
        <v>07020</v>
      </c>
      <c r="C1376" s="14" t="str">
        <f>"1700"</f>
        <v>1700</v>
      </c>
      <c r="D1376" s="14" t="str">
        <f>"84124"</f>
        <v>84124</v>
      </c>
      <c r="E1376" s="14" t="s">
        <v>159</v>
      </c>
      <c r="F1376" s="14" t="s">
        <v>1532</v>
      </c>
      <c r="G1376" s="14" t="str">
        <f>""</f>
        <v/>
      </c>
      <c r="H1376" s="14" t="str">
        <f>" 10"</f>
        <v xml:space="preserve"> 10</v>
      </c>
      <c r="I1376" s="14">
        <v>0.01</v>
      </c>
      <c r="J1376" s="14">
        <v>500</v>
      </c>
      <c r="K1376" s="14" t="s">
        <v>1659</v>
      </c>
      <c r="L1376" s="14" t="s">
        <v>147</v>
      </c>
      <c r="P1376" s="14" t="s">
        <v>31</v>
      </c>
      <c r="Q1376" s="14" t="s">
        <v>31</v>
      </c>
      <c r="R1376" s="14" t="s">
        <v>1659</v>
      </c>
    </row>
    <row r="1377" spans="1:18" s="14" customFormat="1" x14ac:dyDescent="0.25">
      <c r="A1377" s="14" t="str">
        <f>"84124"</f>
        <v>84124</v>
      </c>
      <c r="B1377" s="14" t="str">
        <f>"07020"</f>
        <v>07020</v>
      </c>
      <c r="C1377" s="14" t="str">
        <f>"1700"</f>
        <v>1700</v>
      </c>
      <c r="D1377" s="14" t="str">
        <f>"84124"</f>
        <v>84124</v>
      </c>
      <c r="E1377" s="14" t="s">
        <v>159</v>
      </c>
      <c r="F1377" s="14" t="s">
        <v>1532</v>
      </c>
      <c r="G1377" s="14" t="str">
        <f>""</f>
        <v/>
      </c>
      <c r="H1377" s="14" t="str">
        <f>" 20"</f>
        <v xml:space="preserve"> 20</v>
      </c>
      <c r="I1377" s="14">
        <v>500.01</v>
      </c>
      <c r="J1377" s="14">
        <v>9999999.9900000002</v>
      </c>
      <c r="K1377" s="14" t="s">
        <v>160</v>
      </c>
      <c r="L1377" s="14" t="s">
        <v>147</v>
      </c>
      <c r="P1377" s="14" t="s">
        <v>31</v>
      </c>
      <c r="Q1377" s="14" t="s">
        <v>31</v>
      </c>
      <c r="R1377" s="14" t="s">
        <v>146</v>
      </c>
    </row>
    <row r="1378" spans="1:18" s="14" customFormat="1" x14ac:dyDescent="0.25">
      <c r="A1378" s="14" t="str">
        <f>"84131"</f>
        <v>84131</v>
      </c>
      <c r="B1378" s="14" t="str">
        <f>"07020"</f>
        <v>07020</v>
      </c>
      <c r="C1378" s="14" t="str">
        <f>"1700"</f>
        <v>1700</v>
      </c>
      <c r="D1378" s="14" t="str">
        <f>"84131"</f>
        <v>84131</v>
      </c>
      <c r="E1378" s="14" t="s">
        <v>1660</v>
      </c>
      <c r="F1378" s="14" t="s">
        <v>1532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1661</v>
      </c>
      <c r="L1378" s="14" t="s">
        <v>181</v>
      </c>
      <c r="M1378" s="14" t="s">
        <v>37</v>
      </c>
      <c r="P1378" s="14" t="s">
        <v>31</v>
      </c>
      <c r="Q1378" s="14" t="s">
        <v>31</v>
      </c>
      <c r="R1378" s="14" t="s">
        <v>1661</v>
      </c>
    </row>
    <row r="1379" spans="1:18" s="14" customFormat="1" x14ac:dyDescent="0.25">
      <c r="A1379" s="14" t="str">
        <f>"84134"</f>
        <v>84134</v>
      </c>
      <c r="B1379" s="14" t="str">
        <f>"07020"</f>
        <v>07020</v>
      </c>
      <c r="C1379" s="14" t="str">
        <f>"1700"</f>
        <v>1700</v>
      </c>
      <c r="D1379" s="14" t="str">
        <f>"84134"</f>
        <v>84134</v>
      </c>
      <c r="E1379" s="14" t="s">
        <v>1662</v>
      </c>
      <c r="F1379" s="14" t="s">
        <v>1532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1663</v>
      </c>
      <c r="L1379" s="14" t="s">
        <v>392</v>
      </c>
      <c r="P1379" s="14" t="s">
        <v>31</v>
      </c>
      <c r="Q1379" s="14" t="s">
        <v>31</v>
      </c>
      <c r="R1379" s="14" t="s">
        <v>1663</v>
      </c>
    </row>
    <row r="1380" spans="1:18" s="14" customFormat="1" x14ac:dyDescent="0.25">
      <c r="A1380" s="14" t="str">
        <f>"84136"</f>
        <v>84136</v>
      </c>
      <c r="B1380" s="14" t="str">
        <f>"07020"</f>
        <v>07020</v>
      </c>
      <c r="C1380" s="14" t="str">
        <f>"1700"</f>
        <v>1700</v>
      </c>
      <c r="D1380" s="14" t="str">
        <f>"84136"</f>
        <v>84136</v>
      </c>
      <c r="E1380" s="14" t="s">
        <v>1664</v>
      </c>
      <c r="F1380" s="14" t="s">
        <v>1532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1665</v>
      </c>
      <c r="L1380" s="14" t="s">
        <v>401</v>
      </c>
      <c r="P1380" s="14" t="s">
        <v>31</v>
      </c>
      <c r="Q1380" s="14" t="s">
        <v>31</v>
      </c>
      <c r="R1380" s="14" t="s">
        <v>1665</v>
      </c>
    </row>
    <row r="1381" spans="1:18" s="14" customFormat="1" x14ac:dyDescent="0.25">
      <c r="A1381" s="14" t="str">
        <f>"84139"</f>
        <v>84139</v>
      </c>
      <c r="B1381" s="14" t="str">
        <f>"07020"</f>
        <v>07020</v>
      </c>
      <c r="C1381" s="14" t="str">
        <f>"1700"</f>
        <v>1700</v>
      </c>
      <c r="D1381" s="14" t="str">
        <f>"84139"</f>
        <v>84139</v>
      </c>
      <c r="E1381" s="14" t="s">
        <v>1666</v>
      </c>
      <c r="F1381" s="14" t="s">
        <v>1532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1667</v>
      </c>
      <c r="L1381" s="14" t="s">
        <v>72</v>
      </c>
      <c r="P1381" s="14" t="s">
        <v>31</v>
      </c>
      <c r="Q1381" s="14" t="s">
        <v>31</v>
      </c>
      <c r="R1381" s="14" t="s">
        <v>1667</v>
      </c>
    </row>
    <row r="1382" spans="1:18" s="14" customFormat="1" x14ac:dyDescent="0.25">
      <c r="A1382" s="14" t="str">
        <f>"84141"</f>
        <v>84141</v>
      </c>
      <c r="B1382" s="14" t="str">
        <f>"07020"</f>
        <v>07020</v>
      </c>
      <c r="C1382" s="14" t="str">
        <f>"1700"</f>
        <v>1700</v>
      </c>
      <c r="D1382" s="14" t="str">
        <f>"84141"</f>
        <v>84141</v>
      </c>
      <c r="E1382" s="14" t="s">
        <v>1668</v>
      </c>
      <c r="F1382" s="14" t="s">
        <v>1532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60</v>
      </c>
      <c r="L1382" s="14" t="s">
        <v>53</v>
      </c>
      <c r="M1382" s="14" t="s">
        <v>54</v>
      </c>
      <c r="P1382" s="14" t="s">
        <v>31</v>
      </c>
      <c r="Q1382" s="14" t="s">
        <v>31</v>
      </c>
      <c r="R1382" s="14" t="s">
        <v>60</v>
      </c>
    </row>
    <row r="1383" spans="1:18" s="14" customFormat="1" x14ac:dyDescent="0.25">
      <c r="A1383" s="14" t="str">
        <f>"84142"</f>
        <v>84142</v>
      </c>
      <c r="B1383" s="14" t="str">
        <f>"07020"</f>
        <v>07020</v>
      </c>
      <c r="C1383" s="14" t="str">
        <f>"1700"</f>
        <v>1700</v>
      </c>
      <c r="D1383" s="14" t="str">
        <f>"84142"</f>
        <v>84142</v>
      </c>
      <c r="E1383" s="14" t="s">
        <v>1669</v>
      </c>
      <c r="F1383" s="14" t="s">
        <v>1532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392</v>
      </c>
      <c r="L1383" s="14" t="s">
        <v>526</v>
      </c>
      <c r="P1383" s="14" t="s">
        <v>31</v>
      </c>
      <c r="Q1383" s="14" t="s">
        <v>31</v>
      </c>
      <c r="R1383" s="14" t="s">
        <v>392</v>
      </c>
    </row>
    <row r="1384" spans="1:18" s="14" customFormat="1" x14ac:dyDescent="0.25">
      <c r="A1384" s="14" t="str">
        <f>"84145"</f>
        <v>84145</v>
      </c>
      <c r="B1384" s="14" t="str">
        <f>"07020"</f>
        <v>07020</v>
      </c>
      <c r="C1384" s="14" t="str">
        <f>"1700"</f>
        <v>1700</v>
      </c>
      <c r="D1384" s="14" t="str">
        <f>"84145"</f>
        <v>84145</v>
      </c>
      <c r="E1384" s="14" t="s">
        <v>1670</v>
      </c>
      <c r="F1384" s="14" t="s">
        <v>1532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1649</v>
      </c>
      <c r="L1384" s="14" t="s">
        <v>1650</v>
      </c>
      <c r="P1384" s="14" t="s">
        <v>31</v>
      </c>
      <c r="Q1384" s="14" t="s">
        <v>31</v>
      </c>
      <c r="R1384" s="14" t="s">
        <v>1649</v>
      </c>
    </row>
    <row r="1385" spans="1:18" s="14" customFormat="1" x14ac:dyDescent="0.25">
      <c r="A1385" s="14" t="str">
        <f>"84146"</f>
        <v>84146</v>
      </c>
      <c r="B1385" s="14" t="str">
        <f>"07020"</f>
        <v>07020</v>
      </c>
      <c r="C1385" s="14" t="str">
        <f>"1700"</f>
        <v>1700</v>
      </c>
      <c r="D1385" s="14" t="str">
        <f>"84146"</f>
        <v>84146</v>
      </c>
      <c r="E1385" s="14" t="s">
        <v>1671</v>
      </c>
      <c r="F1385" s="14" t="s">
        <v>1532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1636</v>
      </c>
      <c r="L1385" s="14" t="s">
        <v>390</v>
      </c>
      <c r="P1385" s="14" t="s">
        <v>31</v>
      </c>
      <c r="Q1385" s="14" t="s">
        <v>31</v>
      </c>
      <c r="R1385" s="14" t="s">
        <v>1636</v>
      </c>
    </row>
    <row r="1386" spans="1:18" s="14" customFormat="1" x14ac:dyDescent="0.25">
      <c r="A1386" s="14" t="str">
        <f>"84148"</f>
        <v>84148</v>
      </c>
      <c r="B1386" s="14" t="str">
        <f>"07020"</f>
        <v>07020</v>
      </c>
      <c r="C1386" s="14" t="str">
        <f>"1700"</f>
        <v>1700</v>
      </c>
      <c r="D1386" s="14" t="str">
        <f>"84148"</f>
        <v>84148</v>
      </c>
      <c r="E1386" s="14" t="s">
        <v>1672</v>
      </c>
      <c r="F1386" s="14" t="s">
        <v>1532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1619</v>
      </c>
      <c r="L1386" s="14" t="s">
        <v>862</v>
      </c>
      <c r="M1386" s="14" t="s">
        <v>72</v>
      </c>
      <c r="P1386" s="14" t="s">
        <v>31</v>
      </c>
      <c r="Q1386" s="14" t="s">
        <v>31</v>
      </c>
      <c r="R1386" s="14" t="s">
        <v>1619</v>
      </c>
    </row>
    <row r="1387" spans="1:18" s="14" customFormat="1" x14ac:dyDescent="0.25">
      <c r="A1387" s="14" t="str">
        <f>"84151"</f>
        <v>84151</v>
      </c>
      <c r="B1387" s="14" t="str">
        <f>"07020"</f>
        <v>07020</v>
      </c>
      <c r="C1387" s="14" t="str">
        <f>"1700"</f>
        <v>1700</v>
      </c>
      <c r="D1387" s="14" t="str">
        <f>"84151"</f>
        <v>84151</v>
      </c>
      <c r="E1387" s="14" t="s">
        <v>1673</v>
      </c>
      <c r="F1387" s="14" t="s">
        <v>1532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71</v>
      </c>
      <c r="L1387" s="14" t="s">
        <v>141</v>
      </c>
      <c r="M1387" s="14" t="s">
        <v>72</v>
      </c>
      <c r="P1387" s="14" t="s">
        <v>31</v>
      </c>
      <c r="Q1387" s="14" t="s">
        <v>31</v>
      </c>
      <c r="R1387" s="14" t="s">
        <v>71</v>
      </c>
    </row>
    <row r="1388" spans="1:18" s="14" customFormat="1" x14ac:dyDescent="0.25">
      <c r="A1388" s="14" t="str">
        <f>"84156"</f>
        <v>84156</v>
      </c>
      <c r="B1388" s="14" t="str">
        <f>"07020"</f>
        <v>07020</v>
      </c>
      <c r="C1388" s="14" t="str">
        <f>"1700"</f>
        <v>1700</v>
      </c>
      <c r="D1388" s="14" t="str">
        <f>"84156"</f>
        <v>84156</v>
      </c>
      <c r="E1388" s="14" t="s">
        <v>1674</v>
      </c>
      <c r="F1388" s="14" t="s">
        <v>1532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661</v>
      </c>
      <c r="L1388" s="14" t="s">
        <v>147</v>
      </c>
      <c r="P1388" s="14" t="s">
        <v>31</v>
      </c>
      <c r="Q1388" s="14" t="s">
        <v>31</v>
      </c>
      <c r="R1388" s="14" t="s">
        <v>661</v>
      </c>
    </row>
    <row r="1389" spans="1:18" s="14" customFormat="1" x14ac:dyDescent="0.25">
      <c r="A1389" s="14" t="str">
        <f>"84157"</f>
        <v>84157</v>
      </c>
      <c r="B1389" s="14" t="str">
        <f>"07020"</f>
        <v>07020</v>
      </c>
      <c r="C1389" s="14" t="str">
        <f>"1700"</f>
        <v>1700</v>
      </c>
      <c r="D1389" s="14" t="str">
        <f>"84157"</f>
        <v>84157</v>
      </c>
      <c r="E1389" s="14" t="s">
        <v>1675</v>
      </c>
      <c r="F1389" s="14" t="s">
        <v>1532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392</v>
      </c>
      <c r="L1389" s="14" t="s">
        <v>526</v>
      </c>
      <c r="P1389" s="14" t="s">
        <v>31</v>
      </c>
      <c r="Q1389" s="14" t="s">
        <v>31</v>
      </c>
      <c r="R1389" s="14" t="s">
        <v>392</v>
      </c>
    </row>
    <row r="1390" spans="1:18" s="14" customFormat="1" x14ac:dyDescent="0.25">
      <c r="A1390" s="14" t="str">
        <f>"84158"</f>
        <v>84158</v>
      </c>
      <c r="B1390" s="14" t="str">
        <f>"07020"</f>
        <v>07020</v>
      </c>
      <c r="C1390" s="14" t="str">
        <f>"1700"</f>
        <v>1700</v>
      </c>
      <c r="D1390" s="14" t="str">
        <f>"84158"</f>
        <v>84158</v>
      </c>
      <c r="E1390" s="14" t="s">
        <v>1676</v>
      </c>
      <c r="F1390" s="14" t="s">
        <v>1532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1597</v>
      </c>
      <c r="L1390" s="14" t="s">
        <v>1677</v>
      </c>
      <c r="M1390" s="14" t="s">
        <v>72</v>
      </c>
      <c r="P1390" s="14" t="s">
        <v>31</v>
      </c>
      <c r="Q1390" s="14" t="s">
        <v>31</v>
      </c>
      <c r="R1390" s="14" t="s">
        <v>1597</v>
      </c>
    </row>
    <row r="1391" spans="1:18" s="14" customFormat="1" x14ac:dyDescent="0.25">
      <c r="A1391" s="14" t="str">
        <f>"84160"</f>
        <v>84160</v>
      </c>
      <c r="B1391" s="14" t="str">
        <f>"07020"</f>
        <v>07020</v>
      </c>
      <c r="C1391" s="14" t="str">
        <f>"1700"</f>
        <v>1700</v>
      </c>
      <c r="D1391" s="14" t="str">
        <f>"84160"</f>
        <v>84160</v>
      </c>
      <c r="E1391" s="14" t="s">
        <v>1678</v>
      </c>
      <c r="F1391" s="14" t="s">
        <v>1532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1679</v>
      </c>
      <c r="L1391" s="14" t="s">
        <v>146</v>
      </c>
      <c r="M1391" s="14" t="s">
        <v>1680</v>
      </c>
      <c r="P1391" s="14" t="s">
        <v>31</v>
      </c>
      <c r="Q1391" s="14" t="s">
        <v>31</v>
      </c>
      <c r="R1391" s="14" t="s">
        <v>1679</v>
      </c>
    </row>
    <row r="1392" spans="1:18" s="14" customFormat="1" x14ac:dyDescent="0.25">
      <c r="A1392" s="14" t="str">
        <f>"84162"</f>
        <v>84162</v>
      </c>
      <c r="B1392" s="14" t="str">
        <f>"07020"</f>
        <v>07020</v>
      </c>
      <c r="C1392" s="14" t="str">
        <f>"1700"</f>
        <v>1700</v>
      </c>
      <c r="D1392" s="14" t="str">
        <f>"84162"</f>
        <v>84162</v>
      </c>
      <c r="E1392" s="14" t="s">
        <v>1681</v>
      </c>
      <c r="F1392" s="14" t="s">
        <v>1532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1679</v>
      </c>
      <c r="L1392" s="14" t="s">
        <v>146</v>
      </c>
      <c r="P1392" s="14" t="s">
        <v>31</v>
      </c>
      <c r="Q1392" s="14" t="s">
        <v>31</v>
      </c>
      <c r="R1392" s="14" t="s">
        <v>1679</v>
      </c>
    </row>
    <row r="1393" spans="1:18" s="14" customFormat="1" x14ac:dyDescent="0.25">
      <c r="A1393" s="14" t="str">
        <f>"84164"</f>
        <v>84164</v>
      </c>
      <c r="B1393" s="14" t="str">
        <f>"07020"</f>
        <v>07020</v>
      </c>
      <c r="C1393" s="14" t="str">
        <f>"1700"</f>
        <v>1700</v>
      </c>
      <c r="D1393" s="14" t="str">
        <f>"84164"</f>
        <v>84164</v>
      </c>
      <c r="E1393" s="14" t="s">
        <v>1682</v>
      </c>
      <c r="F1393" s="14" t="s">
        <v>1532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386</v>
      </c>
      <c r="L1393" s="14" t="s">
        <v>1534</v>
      </c>
      <c r="M1393" s="14" t="s">
        <v>387</v>
      </c>
      <c r="P1393" s="14" t="s">
        <v>31</v>
      </c>
      <c r="Q1393" s="14" t="s">
        <v>31</v>
      </c>
      <c r="R1393" s="14" t="s">
        <v>388</v>
      </c>
    </row>
    <row r="1394" spans="1:18" s="14" customFormat="1" x14ac:dyDescent="0.25">
      <c r="A1394" s="14" t="str">
        <f>"84166"</f>
        <v>84166</v>
      </c>
      <c r="B1394" s="14" t="str">
        <f>"07020"</f>
        <v>07020</v>
      </c>
      <c r="C1394" s="14" t="str">
        <f>"1700"</f>
        <v>1700</v>
      </c>
      <c r="D1394" s="14" t="str">
        <f>"84166"</f>
        <v>84166</v>
      </c>
      <c r="E1394" s="14" t="s">
        <v>1683</v>
      </c>
      <c r="F1394" s="14" t="s">
        <v>1532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381</v>
      </c>
      <c r="L1394" s="14" t="s">
        <v>382</v>
      </c>
      <c r="M1394" s="14" t="s">
        <v>1570</v>
      </c>
      <c r="P1394" s="14" t="s">
        <v>31</v>
      </c>
      <c r="Q1394" s="14" t="s">
        <v>31</v>
      </c>
      <c r="R1394" s="14" t="s">
        <v>383</v>
      </c>
    </row>
    <row r="1395" spans="1:18" s="14" customFormat="1" x14ac:dyDescent="0.25">
      <c r="A1395" s="14" t="str">
        <f>"84169"</f>
        <v>84169</v>
      </c>
      <c r="B1395" s="14" t="str">
        <f>"07020"</f>
        <v>07020</v>
      </c>
      <c r="C1395" s="14" t="str">
        <f>"1700"</f>
        <v>1700</v>
      </c>
      <c r="D1395" s="14" t="str">
        <f>"84169"</f>
        <v>84169</v>
      </c>
      <c r="E1395" s="14" t="s">
        <v>1684</v>
      </c>
      <c r="F1395" s="14" t="s">
        <v>1532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146</v>
      </c>
      <c r="P1395" s="14" t="s">
        <v>31</v>
      </c>
      <c r="Q1395" s="14" t="s">
        <v>31</v>
      </c>
      <c r="R1395" s="14" t="s">
        <v>146</v>
      </c>
    </row>
    <row r="1396" spans="1:18" s="14" customFormat="1" x14ac:dyDescent="0.25">
      <c r="A1396" s="14" t="str">
        <f>"84173"</f>
        <v>84173</v>
      </c>
      <c r="B1396" s="14" t="str">
        <f>"07020"</f>
        <v>07020</v>
      </c>
      <c r="C1396" s="14" t="str">
        <f>"1700"</f>
        <v>1700</v>
      </c>
      <c r="D1396" s="14" t="str">
        <f>"84173"</f>
        <v>84173</v>
      </c>
      <c r="E1396" s="14" t="s">
        <v>1685</v>
      </c>
      <c r="F1396" s="14" t="s">
        <v>1532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1570</v>
      </c>
      <c r="L1396" s="14" t="s">
        <v>1686</v>
      </c>
      <c r="M1396" s="14" t="s">
        <v>1544</v>
      </c>
      <c r="P1396" s="14" t="s">
        <v>31</v>
      </c>
      <c r="Q1396" s="14" t="s">
        <v>31</v>
      </c>
      <c r="R1396" s="14" t="s">
        <v>1570</v>
      </c>
    </row>
    <row r="1397" spans="1:18" s="14" customFormat="1" x14ac:dyDescent="0.25">
      <c r="A1397" s="14" t="str">
        <f>"84176"</f>
        <v>84176</v>
      </c>
      <c r="B1397" s="14" t="str">
        <f>"07020"</f>
        <v>07020</v>
      </c>
      <c r="C1397" s="14" t="str">
        <f>"1700"</f>
        <v>1700</v>
      </c>
      <c r="D1397" s="14" t="str">
        <f>"84176"</f>
        <v>84176</v>
      </c>
      <c r="E1397" s="14" t="s">
        <v>1687</v>
      </c>
      <c r="F1397" s="14" t="s">
        <v>1532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418</v>
      </c>
      <c r="P1397" s="14" t="s">
        <v>31</v>
      </c>
      <c r="Q1397" s="14" t="s">
        <v>31</v>
      </c>
      <c r="R1397" s="14" t="s">
        <v>414</v>
      </c>
    </row>
    <row r="1398" spans="1:18" s="14" customFormat="1" x14ac:dyDescent="0.25">
      <c r="A1398" s="14" t="str">
        <f>"84178"</f>
        <v>84178</v>
      </c>
      <c r="B1398" s="14" t="str">
        <f>"07020"</f>
        <v>07020</v>
      </c>
      <c r="C1398" s="14" t="str">
        <f>"1700"</f>
        <v>1700</v>
      </c>
      <c r="D1398" s="14" t="str">
        <f>"84178"</f>
        <v>84178</v>
      </c>
      <c r="E1398" s="14" t="s">
        <v>1688</v>
      </c>
      <c r="F1398" s="14" t="s">
        <v>1532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1689</v>
      </c>
      <c r="L1398" s="14" t="s">
        <v>146</v>
      </c>
      <c r="P1398" s="14" t="s">
        <v>31</v>
      </c>
      <c r="Q1398" s="14" t="s">
        <v>31</v>
      </c>
      <c r="R1398" s="14" t="s">
        <v>1689</v>
      </c>
    </row>
    <row r="1399" spans="1:18" s="14" customFormat="1" x14ac:dyDescent="0.25">
      <c r="A1399" s="14" t="str">
        <f>"84179"</f>
        <v>84179</v>
      </c>
      <c r="B1399" s="14" t="str">
        <f>"07020"</f>
        <v>07020</v>
      </c>
      <c r="C1399" s="14" t="str">
        <f>"1700"</f>
        <v>1700</v>
      </c>
      <c r="D1399" s="14" t="str">
        <f>"84179"</f>
        <v>84179</v>
      </c>
      <c r="E1399" s="14" t="s">
        <v>1690</v>
      </c>
      <c r="F1399" s="14" t="s">
        <v>1532</v>
      </c>
      <c r="G1399" s="14" t="str">
        <f>""</f>
        <v/>
      </c>
      <c r="H1399" s="14" t="str">
        <f>" 10"</f>
        <v xml:space="preserve"> 10</v>
      </c>
      <c r="I1399" s="14">
        <v>0.01</v>
      </c>
      <c r="J1399" s="14">
        <v>500</v>
      </c>
      <c r="K1399" s="14" t="s">
        <v>147</v>
      </c>
      <c r="L1399" s="14" t="s">
        <v>146</v>
      </c>
      <c r="P1399" s="14" t="s">
        <v>31</v>
      </c>
      <c r="Q1399" s="14" t="s">
        <v>31</v>
      </c>
      <c r="R1399" s="14" t="s">
        <v>146</v>
      </c>
    </row>
    <row r="1400" spans="1:18" s="14" customFormat="1" x14ac:dyDescent="0.25">
      <c r="A1400" s="14" t="str">
        <f>"84179"</f>
        <v>84179</v>
      </c>
      <c r="B1400" s="14" t="str">
        <f>"07020"</f>
        <v>07020</v>
      </c>
      <c r="C1400" s="14" t="str">
        <f>"1700"</f>
        <v>1700</v>
      </c>
      <c r="D1400" s="14" t="str">
        <f>"84179"</f>
        <v>84179</v>
      </c>
      <c r="E1400" s="14" t="s">
        <v>1690</v>
      </c>
      <c r="F1400" s="14" t="s">
        <v>1532</v>
      </c>
      <c r="G1400" s="14" t="str">
        <f>""</f>
        <v/>
      </c>
      <c r="H1400" s="14" t="str">
        <f>" 20"</f>
        <v xml:space="preserve"> 20</v>
      </c>
      <c r="I1400" s="14">
        <v>500.01</v>
      </c>
      <c r="J1400" s="14">
        <v>9999999.9900000002</v>
      </c>
      <c r="K1400" s="14" t="s">
        <v>147</v>
      </c>
      <c r="P1400" s="14" t="s">
        <v>31</v>
      </c>
      <c r="Q1400" s="14" t="s">
        <v>31</v>
      </c>
      <c r="R1400" s="14" t="s">
        <v>146</v>
      </c>
    </row>
    <row r="1401" spans="1:18" s="14" customFormat="1" x14ac:dyDescent="0.25">
      <c r="A1401" s="14" t="str">
        <f>"84181"</f>
        <v>84181</v>
      </c>
      <c r="B1401" s="14" t="str">
        <f>"07020"</f>
        <v>07020</v>
      </c>
      <c r="C1401" s="14" t="str">
        <f>"1700"</f>
        <v>1700</v>
      </c>
      <c r="D1401" s="14" t="str">
        <f>"84181"</f>
        <v>84181</v>
      </c>
      <c r="E1401" s="14" t="s">
        <v>1691</v>
      </c>
      <c r="F1401" s="14" t="s">
        <v>1532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392</v>
      </c>
      <c r="L1401" s="14" t="s">
        <v>71</v>
      </c>
      <c r="P1401" s="14" t="s">
        <v>31</v>
      </c>
      <c r="Q1401" s="14" t="s">
        <v>31</v>
      </c>
      <c r="R1401" s="14" t="s">
        <v>72</v>
      </c>
    </row>
    <row r="1402" spans="1:18" s="14" customFormat="1" x14ac:dyDescent="0.25">
      <c r="A1402" s="14" t="str">
        <f>"84185"</f>
        <v>84185</v>
      </c>
      <c r="B1402" s="14" t="str">
        <f>"07020"</f>
        <v>07020</v>
      </c>
      <c r="C1402" s="14" t="str">
        <f>"1700"</f>
        <v>1700</v>
      </c>
      <c r="D1402" s="14" t="str">
        <f>"84185"</f>
        <v>84185</v>
      </c>
      <c r="E1402" s="14" t="s">
        <v>1692</v>
      </c>
      <c r="F1402" s="14" t="s">
        <v>1532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50</v>
      </c>
      <c r="P1402" s="14" t="s">
        <v>31</v>
      </c>
      <c r="Q1402" s="14" t="s">
        <v>31</v>
      </c>
      <c r="R1402" s="14" t="s">
        <v>74</v>
      </c>
    </row>
    <row r="1403" spans="1:18" s="14" customFormat="1" x14ac:dyDescent="0.25">
      <c r="A1403" s="14" t="str">
        <f>"84186"</f>
        <v>84186</v>
      </c>
      <c r="B1403" s="14" t="str">
        <f>"07020"</f>
        <v>07020</v>
      </c>
      <c r="C1403" s="14" t="str">
        <f>"1700"</f>
        <v>1700</v>
      </c>
      <c r="D1403" s="14" t="str">
        <f>"84186"</f>
        <v>84186</v>
      </c>
      <c r="E1403" s="14" t="s">
        <v>1693</v>
      </c>
      <c r="F1403" s="14" t="s">
        <v>1532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370</v>
      </c>
      <c r="L1403" s="14" t="s">
        <v>404</v>
      </c>
      <c r="P1403" s="14" t="s">
        <v>31</v>
      </c>
      <c r="Q1403" s="14" t="s">
        <v>31</v>
      </c>
      <c r="R1403" s="14" t="s">
        <v>370</v>
      </c>
    </row>
    <row r="1404" spans="1:18" s="14" customFormat="1" x14ac:dyDescent="0.25">
      <c r="A1404" s="14" t="str">
        <f>"84188"</f>
        <v>84188</v>
      </c>
      <c r="B1404" s="14" t="str">
        <f>"07020"</f>
        <v>07020</v>
      </c>
      <c r="C1404" s="14" t="str">
        <f>"1700"</f>
        <v>1700</v>
      </c>
      <c r="D1404" s="14" t="str">
        <f>"84188"</f>
        <v>84188</v>
      </c>
      <c r="E1404" s="14" t="s">
        <v>1694</v>
      </c>
      <c r="F1404" s="14" t="s">
        <v>1532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1695</v>
      </c>
      <c r="P1404" s="14" t="s">
        <v>31</v>
      </c>
      <c r="Q1404" s="14" t="s">
        <v>31</v>
      </c>
      <c r="R1404" s="14" t="s">
        <v>1695</v>
      </c>
    </row>
    <row r="1405" spans="1:18" s="14" customFormat="1" x14ac:dyDescent="0.25">
      <c r="A1405" s="14" t="str">
        <f>"84191"</f>
        <v>84191</v>
      </c>
      <c r="B1405" s="14" t="str">
        <f>"07020"</f>
        <v>07020</v>
      </c>
      <c r="C1405" s="14" t="str">
        <f>"1700"</f>
        <v>1700</v>
      </c>
      <c r="D1405" s="14" t="str">
        <f>"84191"</f>
        <v>84191</v>
      </c>
      <c r="E1405" s="14" t="s">
        <v>1696</v>
      </c>
      <c r="F1405" s="14" t="s">
        <v>1532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1697</v>
      </c>
      <c r="L1405" s="14" t="s">
        <v>1698</v>
      </c>
      <c r="P1405" s="14" t="s">
        <v>31</v>
      </c>
      <c r="Q1405" s="14" t="s">
        <v>31</v>
      </c>
      <c r="R1405" s="14" t="s">
        <v>392</v>
      </c>
    </row>
    <row r="1406" spans="1:18" s="14" customFormat="1" x14ac:dyDescent="0.25">
      <c r="A1406" s="14" t="str">
        <f>"84194"</f>
        <v>84194</v>
      </c>
      <c r="B1406" s="14" t="str">
        <f>"07020"</f>
        <v>07020</v>
      </c>
      <c r="C1406" s="14" t="str">
        <f>"1700"</f>
        <v>1700</v>
      </c>
      <c r="D1406" s="14" t="str">
        <f>"84194"</f>
        <v>84194</v>
      </c>
      <c r="E1406" s="14" t="s">
        <v>1699</v>
      </c>
      <c r="F1406" s="14" t="s">
        <v>1532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114</v>
      </c>
      <c r="P1406" s="14" t="s">
        <v>31</v>
      </c>
      <c r="Q1406" s="14" t="s">
        <v>31</v>
      </c>
      <c r="R1406" s="14" t="s">
        <v>115</v>
      </c>
    </row>
    <row r="1407" spans="1:18" s="14" customFormat="1" x14ac:dyDescent="0.25">
      <c r="A1407" s="14" t="str">
        <f>"84195"</f>
        <v>84195</v>
      </c>
      <c r="B1407" s="14" t="str">
        <f>"07020"</f>
        <v>07020</v>
      </c>
      <c r="C1407" s="14" t="str">
        <f>"1700"</f>
        <v>1700</v>
      </c>
      <c r="D1407" s="14" t="str">
        <f>"84195"</f>
        <v>84195</v>
      </c>
      <c r="E1407" s="14" t="s">
        <v>1700</v>
      </c>
      <c r="F1407" s="14" t="s">
        <v>1532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799</v>
      </c>
      <c r="L1407" s="14" t="s">
        <v>797</v>
      </c>
      <c r="M1407" s="14" t="s">
        <v>72</v>
      </c>
      <c r="P1407" s="14" t="s">
        <v>31</v>
      </c>
      <c r="Q1407" s="14" t="s">
        <v>31</v>
      </c>
      <c r="R1407" s="14" t="s">
        <v>799</v>
      </c>
    </row>
    <row r="1408" spans="1:18" s="14" customFormat="1" x14ac:dyDescent="0.25">
      <c r="A1408" s="14" t="str">
        <f>"84196"</f>
        <v>84196</v>
      </c>
      <c r="B1408" s="14" t="str">
        <f>"07020"</f>
        <v>07020</v>
      </c>
      <c r="C1408" s="14" t="str">
        <f>"1700"</f>
        <v>1700</v>
      </c>
      <c r="D1408" s="14" t="str">
        <f>"84196"</f>
        <v>84196</v>
      </c>
      <c r="E1408" s="14" t="s">
        <v>1701</v>
      </c>
      <c r="F1408" s="14" t="s">
        <v>1532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1702</v>
      </c>
      <c r="L1408" s="14" t="s">
        <v>757</v>
      </c>
      <c r="P1408" s="14" t="s">
        <v>31</v>
      </c>
      <c r="Q1408" s="14" t="s">
        <v>31</v>
      </c>
      <c r="R1408" s="14" t="s">
        <v>1702</v>
      </c>
    </row>
    <row r="1409" spans="1:18" s="14" customFormat="1" x14ac:dyDescent="0.25">
      <c r="A1409" s="14" t="str">
        <f>"84198"</f>
        <v>84198</v>
      </c>
      <c r="B1409" s="14" t="str">
        <f>"07020"</f>
        <v>07020</v>
      </c>
      <c r="C1409" s="14" t="str">
        <f>"1700"</f>
        <v>1700</v>
      </c>
      <c r="D1409" s="14" t="str">
        <f>"84198"</f>
        <v>84198</v>
      </c>
      <c r="E1409" s="14" t="s">
        <v>1703</v>
      </c>
      <c r="F1409" s="14" t="s">
        <v>1532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392</v>
      </c>
      <c r="P1409" s="14" t="s">
        <v>31</v>
      </c>
      <c r="Q1409" s="14" t="s">
        <v>31</v>
      </c>
      <c r="R1409" s="14" t="s">
        <v>392</v>
      </c>
    </row>
    <row r="1410" spans="1:18" s="14" customFormat="1" x14ac:dyDescent="0.25">
      <c r="A1410" s="14" t="str">
        <f>"84199"</f>
        <v>84199</v>
      </c>
      <c r="B1410" s="14" t="str">
        <f>"07020"</f>
        <v>07020</v>
      </c>
      <c r="C1410" s="14" t="str">
        <f>"1700"</f>
        <v>1700</v>
      </c>
      <c r="D1410" s="14" t="str">
        <f>"84199"</f>
        <v>84199</v>
      </c>
      <c r="E1410" s="14" t="s">
        <v>1704</v>
      </c>
      <c r="F1410" s="14" t="s">
        <v>1532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72</v>
      </c>
      <c r="L1410" s="14" t="s">
        <v>797</v>
      </c>
      <c r="P1410" s="14" t="s">
        <v>31</v>
      </c>
      <c r="Q1410" s="14" t="s">
        <v>31</v>
      </c>
      <c r="R1410" s="14" t="s">
        <v>72</v>
      </c>
    </row>
    <row r="1411" spans="1:18" s="14" customFormat="1" x14ac:dyDescent="0.25">
      <c r="A1411" s="14" t="str">
        <f>"84200"</f>
        <v>84200</v>
      </c>
      <c r="B1411" s="14" t="str">
        <f>"07020"</f>
        <v>07020</v>
      </c>
      <c r="C1411" s="14" t="str">
        <f>"1700"</f>
        <v>1700</v>
      </c>
      <c r="D1411" s="14" t="str">
        <f>"84200"</f>
        <v>84200</v>
      </c>
      <c r="E1411" s="14" t="s">
        <v>1705</v>
      </c>
      <c r="F1411" s="14" t="s">
        <v>1532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1706</v>
      </c>
      <c r="P1411" s="14" t="s">
        <v>31</v>
      </c>
      <c r="Q1411" s="14" t="s">
        <v>31</v>
      </c>
      <c r="R1411" s="14" t="s">
        <v>383</v>
      </c>
    </row>
    <row r="1412" spans="1:18" s="14" customFormat="1" x14ac:dyDescent="0.25">
      <c r="A1412" s="14" t="str">
        <f>"84202"</f>
        <v>84202</v>
      </c>
      <c r="B1412" s="14" t="str">
        <f>"07020"</f>
        <v>07020</v>
      </c>
      <c r="C1412" s="14" t="str">
        <f>"1700"</f>
        <v>1700</v>
      </c>
      <c r="D1412" s="14" t="str">
        <f>"84202"</f>
        <v>84202</v>
      </c>
      <c r="E1412" s="14" t="s">
        <v>1707</v>
      </c>
      <c r="F1412" s="14" t="s">
        <v>1532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1708</v>
      </c>
      <c r="P1412" s="14" t="s">
        <v>31</v>
      </c>
      <c r="Q1412" s="14" t="s">
        <v>31</v>
      </c>
      <c r="R1412" s="14" t="s">
        <v>1708</v>
      </c>
    </row>
    <row r="1413" spans="1:18" s="14" customFormat="1" x14ac:dyDescent="0.25">
      <c r="A1413" s="14" t="str">
        <f>"84203"</f>
        <v>84203</v>
      </c>
      <c r="B1413" s="14" t="str">
        <f>"07020"</f>
        <v>07020</v>
      </c>
      <c r="C1413" s="14" t="str">
        <f>"1700"</f>
        <v>1700</v>
      </c>
      <c r="D1413" s="14" t="str">
        <f>"84203"</f>
        <v>84203</v>
      </c>
      <c r="E1413" s="14" t="s">
        <v>1709</v>
      </c>
      <c r="F1413" s="14" t="s">
        <v>1532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381</v>
      </c>
      <c r="L1413" s="14" t="s">
        <v>382</v>
      </c>
      <c r="M1413" s="14" t="s">
        <v>1570</v>
      </c>
      <c r="P1413" s="14" t="s">
        <v>31</v>
      </c>
      <c r="Q1413" s="14" t="s">
        <v>31</v>
      </c>
      <c r="R1413" s="14" t="s">
        <v>383</v>
      </c>
    </row>
    <row r="1414" spans="1:18" s="14" customFormat="1" x14ac:dyDescent="0.25">
      <c r="A1414" s="14" t="str">
        <f>"84204"</f>
        <v>84204</v>
      </c>
      <c r="B1414" s="14" t="str">
        <f>"07020"</f>
        <v>07020</v>
      </c>
      <c r="C1414" s="14" t="str">
        <f>"1700"</f>
        <v>1700</v>
      </c>
      <c r="D1414" s="14" t="str">
        <f>"84204"</f>
        <v>84204</v>
      </c>
      <c r="E1414" s="14" t="s">
        <v>1710</v>
      </c>
      <c r="F1414" s="14" t="s">
        <v>1532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404</v>
      </c>
      <c r="L1414" s="14" t="s">
        <v>405</v>
      </c>
      <c r="P1414" s="14" t="s">
        <v>31</v>
      </c>
      <c r="Q1414" s="14" t="s">
        <v>31</v>
      </c>
      <c r="R1414" s="14" t="s">
        <v>403</v>
      </c>
    </row>
    <row r="1415" spans="1:18" s="14" customFormat="1" x14ac:dyDescent="0.25">
      <c r="A1415" s="14" t="str">
        <f>"84207"</f>
        <v>84207</v>
      </c>
      <c r="B1415" s="14" t="str">
        <f>"07020"</f>
        <v>07020</v>
      </c>
      <c r="C1415" s="14" t="str">
        <f>"1700"</f>
        <v>1700</v>
      </c>
      <c r="D1415" s="14" t="str">
        <f>"84207"</f>
        <v>84207</v>
      </c>
      <c r="E1415" s="14" t="s">
        <v>1711</v>
      </c>
      <c r="F1415" s="14" t="s">
        <v>1532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1636</v>
      </c>
      <c r="P1415" s="14" t="s">
        <v>31</v>
      </c>
      <c r="Q1415" s="14" t="s">
        <v>31</v>
      </c>
      <c r="R1415" s="14" t="s">
        <v>1712</v>
      </c>
    </row>
    <row r="1416" spans="1:18" s="14" customFormat="1" x14ac:dyDescent="0.25">
      <c r="A1416" s="14" t="str">
        <f>"84208"</f>
        <v>84208</v>
      </c>
      <c r="B1416" s="14" t="str">
        <f>"07020"</f>
        <v>07020</v>
      </c>
      <c r="C1416" s="14" t="str">
        <f>"1700"</f>
        <v>1700</v>
      </c>
      <c r="D1416" s="14" t="str">
        <f>"84208"</f>
        <v>84208</v>
      </c>
      <c r="E1416" s="14" t="s">
        <v>1713</v>
      </c>
      <c r="F1416" s="14" t="s">
        <v>1532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1565</v>
      </c>
      <c r="L1416" s="14" t="s">
        <v>392</v>
      </c>
      <c r="P1416" s="14" t="s">
        <v>31</v>
      </c>
      <c r="Q1416" s="14" t="s">
        <v>31</v>
      </c>
      <c r="R1416" s="14" t="s">
        <v>392</v>
      </c>
    </row>
    <row r="1417" spans="1:18" s="14" customFormat="1" x14ac:dyDescent="0.25">
      <c r="A1417" s="14" t="str">
        <f>"84209"</f>
        <v>84209</v>
      </c>
      <c r="B1417" s="14" t="str">
        <f>"07020"</f>
        <v>07020</v>
      </c>
      <c r="C1417" s="14" t="str">
        <f>"1700"</f>
        <v>1700</v>
      </c>
      <c r="D1417" s="14" t="str">
        <f>"84209"</f>
        <v>84209</v>
      </c>
      <c r="E1417" s="14" t="s">
        <v>1714</v>
      </c>
      <c r="F1417" s="14" t="s">
        <v>1532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388</v>
      </c>
      <c r="L1417" s="14" t="s">
        <v>387</v>
      </c>
      <c r="M1417" s="14" t="s">
        <v>392</v>
      </c>
      <c r="N1417" s="14" t="s">
        <v>386</v>
      </c>
      <c r="P1417" s="14" t="s">
        <v>31</v>
      </c>
      <c r="Q1417" s="14" t="s">
        <v>25</v>
      </c>
      <c r="R1417" s="14" t="s">
        <v>388</v>
      </c>
    </row>
    <row r="1418" spans="1:18" s="14" customFormat="1" x14ac:dyDescent="0.25">
      <c r="A1418" s="14" t="str">
        <f>"84210"</f>
        <v>84210</v>
      </c>
      <c r="B1418" s="14" t="str">
        <f>"07020"</f>
        <v>07020</v>
      </c>
      <c r="C1418" s="14" t="str">
        <f>"1700"</f>
        <v>1700</v>
      </c>
      <c r="D1418" s="14" t="str">
        <f>"84210"</f>
        <v>84210</v>
      </c>
      <c r="E1418" s="14" t="s">
        <v>1715</v>
      </c>
      <c r="F1418" s="14" t="s">
        <v>1532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1716</v>
      </c>
      <c r="P1418" s="14" t="s">
        <v>31</v>
      </c>
      <c r="Q1418" s="14" t="s">
        <v>31</v>
      </c>
      <c r="R1418" s="14" t="s">
        <v>1716</v>
      </c>
    </row>
    <row r="1419" spans="1:18" s="14" customFormat="1" x14ac:dyDescent="0.25">
      <c r="A1419" s="14" t="str">
        <f>"84211"</f>
        <v>84211</v>
      </c>
      <c r="B1419" s="14" t="str">
        <f>"07020"</f>
        <v>07020</v>
      </c>
      <c r="C1419" s="14" t="str">
        <f>"1700"</f>
        <v>1700</v>
      </c>
      <c r="D1419" s="14" t="str">
        <f>"84211"</f>
        <v>84211</v>
      </c>
      <c r="E1419" s="14" t="s">
        <v>1717</v>
      </c>
      <c r="F1419" s="14" t="s">
        <v>1532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392</v>
      </c>
      <c r="P1419" s="14" t="s">
        <v>31</v>
      </c>
      <c r="Q1419" s="14" t="s">
        <v>31</v>
      </c>
      <c r="R1419" s="14" t="s">
        <v>392</v>
      </c>
    </row>
    <row r="1420" spans="1:18" s="14" customFormat="1" x14ac:dyDescent="0.25">
      <c r="A1420" s="14" t="str">
        <f>"84212"</f>
        <v>84212</v>
      </c>
      <c r="B1420" s="14" t="str">
        <f>"07020"</f>
        <v>07020</v>
      </c>
      <c r="C1420" s="14" t="str">
        <f>"1700"</f>
        <v>1700</v>
      </c>
      <c r="D1420" s="14" t="str">
        <f>"84212"</f>
        <v>84212</v>
      </c>
      <c r="E1420" s="14" t="s">
        <v>1718</v>
      </c>
      <c r="F1420" s="14" t="s">
        <v>1532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1719</v>
      </c>
      <c r="L1420" s="14" t="s">
        <v>822</v>
      </c>
      <c r="M1420" s="14" t="s">
        <v>72</v>
      </c>
      <c r="P1420" s="14" t="s">
        <v>31</v>
      </c>
      <c r="Q1420" s="14" t="s">
        <v>31</v>
      </c>
      <c r="R1420" s="14" t="s">
        <v>70</v>
      </c>
    </row>
    <row r="1421" spans="1:18" s="14" customFormat="1" x14ac:dyDescent="0.25">
      <c r="A1421" s="14" t="str">
        <f>"84213"</f>
        <v>84213</v>
      </c>
      <c r="B1421" s="14" t="str">
        <f>"07020"</f>
        <v>07020</v>
      </c>
      <c r="C1421" s="14" t="str">
        <f>"1700"</f>
        <v>1700</v>
      </c>
      <c r="D1421" s="14" t="str">
        <f>"84213"</f>
        <v>84213</v>
      </c>
      <c r="E1421" s="14" t="s">
        <v>1720</v>
      </c>
      <c r="F1421" s="14" t="s">
        <v>1532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1721</v>
      </c>
      <c r="L1421" s="14" t="s">
        <v>1722</v>
      </c>
      <c r="P1421" s="14" t="s">
        <v>31</v>
      </c>
      <c r="Q1421" s="14" t="s">
        <v>31</v>
      </c>
      <c r="R1421" s="14" t="s">
        <v>1721</v>
      </c>
    </row>
    <row r="1422" spans="1:18" s="14" customFormat="1" x14ac:dyDescent="0.25">
      <c r="A1422" s="14" t="str">
        <f>"84215"</f>
        <v>84215</v>
      </c>
      <c r="B1422" s="14" t="str">
        <f>"07020"</f>
        <v>07020</v>
      </c>
      <c r="C1422" s="14" t="str">
        <f>"1700"</f>
        <v>1700</v>
      </c>
      <c r="D1422" s="14" t="str">
        <f>"84215"</f>
        <v>84215</v>
      </c>
      <c r="E1422" s="14" t="s">
        <v>1723</v>
      </c>
      <c r="F1422" s="14" t="s">
        <v>1532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392</v>
      </c>
      <c r="L1422" s="14" t="s">
        <v>47</v>
      </c>
      <c r="P1422" s="14" t="s">
        <v>31</v>
      </c>
      <c r="Q1422" s="14" t="s">
        <v>31</v>
      </c>
      <c r="R1422" s="14" t="s">
        <v>392</v>
      </c>
    </row>
    <row r="1423" spans="1:18" s="14" customFormat="1" x14ac:dyDescent="0.25">
      <c r="A1423" s="14" t="str">
        <f>"84216"</f>
        <v>84216</v>
      </c>
      <c r="B1423" s="14" t="str">
        <f>"07020"</f>
        <v>07020</v>
      </c>
      <c r="C1423" s="14" t="str">
        <f>"1700"</f>
        <v>1700</v>
      </c>
      <c r="D1423" s="14" t="str">
        <f>"84216"</f>
        <v>84216</v>
      </c>
      <c r="E1423" s="14" t="s">
        <v>1724</v>
      </c>
      <c r="F1423" s="14" t="s">
        <v>1532</v>
      </c>
      <c r="G1423" s="14" t="str">
        <f>""</f>
        <v/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601</v>
      </c>
      <c r="L1423" s="14" t="s">
        <v>72</v>
      </c>
      <c r="P1423" s="14" t="s">
        <v>31</v>
      </c>
      <c r="Q1423" s="14" t="s">
        <v>31</v>
      </c>
      <c r="R1423" s="14" t="s">
        <v>1549</v>
      </c>
    </row>
    <row r="1424" spans="1:18" s="14" customFormat="1" x14ac:dyDescent="0.25">
      <c r="A1424" s="14" t="str">
        <f>"84218"</f>
        <v>84218</v>
      </c>
      <c r="B1424" s="14" t="str">
        <f>"07020"</f>
        <v>07020</v>
      </c>
      <c r="C1424" s="14" t="str">
        <f>"1700"</f>
        <v>1700</v>
      </c>
      <c r="D1424" s="14" t="str">
        <f>"84218"</f>
        <v>84218</v>
      </c>
      <c r="E1424" s="14" t="s">
        <v>1725</v>
      </c>
      <c r="F1424" s="14" t="s">
        <v>1532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1726</v>
      </c>
      <c r="L1424" s="14" t="s">
        <v>1727</v>
      </c>
      <c r="P1424" s="14" t="s">
        <v>31</v>
      </c>
      <c r="Q1424" s="14" t="s">
        <v>31</v>
      </c>
      <c r="R1424" s="14" t="s">
        <v>1726</v>
      </c>
    </row>
    <row r="1425" spans="1:18" s="14" customFormat="1" x14ac:dyDescent="0.25">
      <c r="A1425" s="14" t="str">
        <f>"84222"</f>
        <v>84222</v>
      </c>
      <c r="B1425" s="14" t="str">
        <f>"07020"</f>
        <v>07020</v>
      </c>
      <c r="C1425" s="14" t="str">
        <f>"1700"</f>
        <v>1700</v>
      </c>
      <c r="D1425" s="14" t="str">
        <f>"84222"</f>
        <v>84222</v>
      </c>
      <c r="E1425" s="14" t="s">
        <v>1728</v>
      </c>
      <c r="F1425" s="14" t="s">
        <v>1532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381</v>
      </c>
      <c r="L1425" s="14" t="s">
        <v>382</v>
      </c>
      <c r="M1425" s="14" t="s">
        <v>1570</v>
      </c>
      <c r="P1425" s="14" t="s">
        <v>31</v>
      </c>
      <c r="Q1425" s="14" t="s">
        <v>31</v>
      </c>
      <c r="R1425" s="14" t="s">
        <v>383</v>
      </c>
    </row>
    <row r="1426" spans="1:18" s="14" customFormat="1" x14ac:dyDescent="0.25">
      <c r="A1426" s="14" t="str">
        <f>"84223"</f>
        <v>84223</v>
      </c>
      <c r="B1426" s="14" t="str">
        <f>"07020"</f>
        <v>07020</v>
      </c>
      <c r="C1426" s="14" t="str">
        <f>"1700"</f>
        <v>1700</v>
      </c>
      <c r="D1426" s="14" t="str">
        <f>"84223"</f>
        <v>84223</v>
      </c>
      <c r="E1426" s="14" t="s">
        <v>1729</v>
      </c>
      <c r="F1426" s="14" t="s">
        <v>1532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663</v>
      </c>
      <c r="P1426" s="14" t="s">
        <v>31</v>
      </c>
      <c r="Q1426" s="14" t="s">
        <v>31</v>
      </c>
      <c r="R1426" s="14" t="s">
        <v>1730</v>
      </c>
    </row>
    <row r="1427" spans="1:18" s="14" customFormat="1" x14ac:dyDescent="0.25">
      <c r="A1427" s="14" t="str">
        <f>"84224"</f>
        <v>84224</v>
      </c>
      <c r="B1427" s="14" t="str">
        <f>"07020"</f>
        <v>07020</v>
      </c>
      <c r="C1427" s="14" t="str">
        <f>"1700"</f>
        <v>1700</v>
      </c>
      <c r="D1427" s="14" t="str">
        <f>"84224"</f>
        <v>84224</v>
      </c>
      <c r="E1427" s="14" t="s">
        <v>1731</v>
      </c>
      <c r="F1427" s="14" t="s">
        <v>1532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1677</v>
      </c>
      <c r="L1427" s="14" t="s">
        <v>72</v>
      </c>
      <c r="P1427" s="14" t="s">
        <v>31</v>
      </c>
      <c r="Q1427" s="14" t="s">
        <v>31</v>
      </c>
      <c r="R1427" s="14" t="s">
        <v>1597</v>
      </c>
    </row>
    <row r="1428" spans="1:18" s="14" customFormat="1" x14ac:dyDescent="0.25">
      <c r="A1428" s="14" t="str">
        <f>"84225"</f>
        <v>84225</v>
      </c>
      <c r="B1428" s="14" t="str">
        <f>"07020"</f>
        <v>07020</v>
      </c>
      <c r="C1428" s="14" t="str">
        <f>"1700"</f>
        <v>1700</v>
      </c>
      <c r="D1428" s="14" t="str">
        <f>"84225"</f>
        <v>84225</v>
      </c>
      <c r="E1428" s="14" t="s">
        <v>1732</v>
      </c>
      <c r="F1428" s="14" t="s">
        <v>1532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48</v>
      </c>
      <c r="L1428" s="14" t="s">
        <v>97</v>
      </c>
      <c r="M1428" s="14" t="s">
        <v>98</v>
      </c>
      <c r="P1428" s="14" t="s">
        <v>31</v>
      </c>
      <c r="Q1428" s="14" t="s">
        <v>31</v>
      </c>
      <c r="R1428" s="14" t="s">
        <v>49</v>
      </c>
    </row>
    <row r="1429" spans="1:18" s="14" customFormat="1" x14ac:dyDescent="0.25">
      <c r="A1429" s="14" t="str">
        <f>"84226"</f>
        <v>84226</v>
      </c>
      <c r="B1429" s="14" t="str">
        <f>"07020"</f>
        <v>07020</v>
      </c>
      <c r="C1429" s="14" t="str">
        <f>"1700"</f>
        <v>1700</v>
      </c>
      <c r="D1429" s="14" t="str">
        <f>"84226"</f>
        <v>84226</v>
      </c>
      <c r="E1429" s="14" t="s">
        <v>1733</v>
      </c>
      <c r="F1429" s="14" t="s">
        <v>1532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1734</v>
      </c>
      <c r="L1429" s="14" t="s">
        <v>392</v>
      </c>
      <c r="M1429" s="14" t="s">
        <v>72</v>
      </c>
      <c r="P1429" s="14" t="s">
        <v>31</v>
      </c>
      <c r="Q1429" s="14" t="s">
        <v>31</v>
      </c>
      <c r="R1429" s="14" t="s">
        <v>1735</v>
      </c>
    </row>
    <row r="1430" spans="1:18" s="14" customFormat="1" x14ac:dyDescent="0.25">
      <c r="A1430" s="14" t="str">
        <f>"84227"</f>
        <v>84227</v>
      </c>
      <c r="B1430" s="14" t="str">
        <f>"07020"</f>
        <v>07020</v>
      </c>
      <c r="C1430" s="14" t="str">
        <f>"1700"</f>
        <v>1700</v>
      </c>
      <c r="D1430" s="14" t="str">
        <f>"84227"</f>
        <v>84227</v>
      </c>
      <c r="E1430" s="14" t="s">
        <v>1736</v>
      </c>
      <c r="F1430" s="14" t="s">
        <v>1532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1737</v>
      </c>
      <c r="P1430" s="14" t="s">
        <v>31</v>
      </c>
      <c r="Q1430" s="14" t="s">
        <v>31</v>
      </c>
      <c r="R1430" s="14" t="s">
        <v>98</v>
      </c>
    </row>
    <row r="1431" spans="1:18" s="14" customFormat="1" x14ac:dyDescent="0.25">
      <c r="A1431" s="14" t="str">
        <f>"84228"</f>
        <v>84228</v>
      </c>
      <c r="B1431" s="14" t="str">
        <f>"07020"</f>
        <v>07020</v>
      </c>
      <c r="C1431" s="14" t="str">
        <f>"1700"</f>
        <v>1700</v>
      </c>
      <c r="D1431" s="14" t="str">
        <f>"84228"</f>
        <v>84228</v>
      </c>
      <c r="E1431" s="14" t="s">
        <v>1738</v>
      </c>
      <c r="F1431" s="14" t="s">
        <v>1532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1739</v>
      </c>
      <c r="L1431" s="14" t="s">
        <v>1740</v>
      </c>
      <c r="P1431" s="14" t="s">
        <v>31</v>
      </c>
      <c r="Q1431" s="14" t="s">
        <v>31</v>
      </c>
      <c r="R1431" s="14" t="s">
        <v>1739</v>
      </c>
    </row>
    <row r="1432" spans="1:18" s="14" customFormat="1" x14ac:dyDescent="0.25">
      <c r="A1432" s="14" t="str">
        <f>"84229"</f>
        <v>84229</v>
      </c>
      <c r="B1432" s="14" t="str">
        <f>"07020"</f>
        <v>07020</v>
      </c>
      <c r="C1432" s="14" t="str">
        <f>"1700"</f>
        <v>1700</v>
      </c>
      <c r="D1432" s="14" t="str">
        <f>"84229"</f>
        <v>84229</v>
      </c>
      <c r="E1432" s="14" t="s">
        <v>1741</v>
      </c>
      <c r="F1432" s="14" t="s">
        <v>1532</v>
      </c>
      <c r="G1432" s="14" t="str">
        <f>""</f>
        <v/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403</v>
      </c>
      <c r="L1432" s="14" t="s">
        <v>404</v>
      </c>
      <c r="P1432" s="14" t="s">
        <v>31</v>
      </c>
      <c r="Q1432" s="14" t="s">
        <v>31</v>
      </c>
      <c r="R1432" s="14" t="s">
        <v>404</v>
      </c>
    </row>
    <row r="1433" spans="1:18" s="14" customFormat="1" x14ac:dyDescent="0.25">
      <c r="A1433" s="14" t="str">
        <f>"84230"</f>
        <v>84230</v>
      </c>
      <c r="B1433" s="14" t="str">
        <f>"07020"</f>
        <v>07020</v>
      </c>
      <c r="C1433" s="14" t="str">
        <f>"1700"</f>
        <v>1700</v>
      </c>
      <c r="D1433" s="14" t="str">
        <f>"84230"</f>
        <v>84230</v>
      </c>
      <c r="E1433" s="14" t="s">
        <v>1742</v>
      </c>
      <c r="F1433" s="14" t="s">
        <v>1532</v>
      </c>
      <c r="G1433" s="14" t="str">
        <f>""</f>
        <v/>
      </c>
      <c r="H1433" s="14" t="str">
        <f>" 10"</f>
        <v xml:space="preserve"> 10</v>
      </c>
      <c r="I1433" s="14">
        <v>0.01</v>
      </c>
      <c r="J1433" s="14">
        <v>500</v>
      </c>
      <c r="K1433" s="14" t="s">
        <v>146</v>
      </c>
      <c r="L1433" s="14" t="s">
        <v>147</v>
      </c>
      <c r="P1433" s="14" t="s">
        <v>31</v>
      </c>
      <c r="Q1433" s="14" t="s">
        <v>31</v>
      </c>
      <c r="R1433" s="14" t="s">
        <v>147</v>
      </c>
    </row>
    <row r="1434" spans="1:18" s="14" customFormat="1" x14ac:dyDescent="0.25">
      <c r="A1434" s="14" t="str">
        <f>"84230"</f>
        <v>84230</v>
      </c>
      <c r="B1434" s="14" t="str">
        <f>"07020"</f>
        <v>07020</v>
      </c>
      <c r="C1434" s="14" t="str">
        <f>"1700"</f>
        <v>1700</v>
      </c>
      <c r="D1434" s="14" t="str">
        <f>"84230"</f>
        <v>84230</v>
      </c>
      <c r="E1434" s="14" t="s">
        <v>1742</v>
      </c>
      <c r="F1434" s="14" t="s">
        <v>1532</v>
      </c>
      <c r="G1434" s="14" t="str">
        <f>""</f>
        <v/>
      </c>
      <c r="H1434" s="14" t="str">
        <f>" 20"</f>
        <v xml:space="preserve"> 20</v>
      </c>
      <c r="I1434" s="14">
        <v>500.01</v>
      </c>
      <c r="J1434" s="14">
        <v>9999999.9900000002</v>
      </c>
      <c r="K1434" s="14" t="s">
        <v>147</v>
      </c>
      <c r="L1434" s="14" t="s">
        <v>158</v>
      </c>
      <c r="P1434" s="14" t="s">
        <v>31</v>
      </c>
      <c r="Q1434" s="14" t="s">
        <v>31</v>
      </c>
      <c r="R1434" s="14" t="s">
        <v>147</v>
      </c>
    </row>
    <row r="1435" spans="1:18" s="14" customFormat="1" x14ac:dyDescent="0.25">
      <c r="A1435" s="14" t="str">
        <f>"84231"</f>
        <v>84231</v>
      </c>
      <c r="B1435" s="14" t="str">
        <f>"07020"</f>
        <v>07020</v>
      </c>
      <c r="C1435" s="14" t="str">
        <f>"1700"</f>
        <v>1700</v>
      </c>
      <c r="D1435" s="14" t="str">
        <f>"84231"</f>
        <v>84231</v>
      </c>
      <c r="E1435" s="14" t="s">
        <v>1743</v>
      </c>
      <c r="F1435" s="14" t="s">
        <v>1532</v>
      </c>
      <c r="G1435" s="14" t="str">
        <f>""</f>
        <v/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1619</v>
      </c>
      <c r="L1435" s="14" t="s">
        <v>72</v>
      </c>
      <c r="P1435" s="14" t="s">
        <v>31</v>
      </c>
      <c r="Q1435" s="14" t="s">
        <v>31</v>
      </c>
      <c r="R1435" s="14" t="s">
        <v>862</v>
      </c>
    </row>
    <row r="1436" spans="1:18" s="14" customFormat="1" x14ac:dyDescent="0.25">
      <c r="A1436" s="14" t="str">
        <f>"84232"</f>
        <v>84232</v>
      </c>
      <c r="B1436" s="14" t="str">
        <f>"07020"</f>
        <v>07020</v>
      </c>
      <c r="C1436" s="14" t="str">
        <f>"1700"</f>
        <v>1700</v>
      </c>
      <c r="D1436" s="14" t="str">
        <f>"84232"</f>
        <v>84232</v>
      </c>
      <c r="E1436" s="14" t="s">
        <v>1744</v>
      </c>
      <c r="F1436" s="14" t="s">
        <v>1532</v>
      </c>
      <c r="G1436" s="14" t="str">
        <f>""</f>
        <v/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1745</v>
      </c>
      <c r="P1436" s="14" t="s">
        <v>31</v>
      </c>
      <c r="Q1436" s="14" t="s">
        <v>31</v>
      </c>
      <c r="R1436" s="14" t="s">
        <v>1746</v>
      </c>
    </row>
    <row r="1437" spans="1:18" s="14" customFormat="1" x14ac:dyDescent="0.25">
      <c r="A1437" s="14" t="str">
        <f>"84233"</f>
        <v>84233</v>
      </c>
      <c r="B1437" s="14" t="str">
        <f>"07020"</f>
        <v>07020</v>
      </c>
      <c r="C1437" s="14" t="str">
        <f>"1700"</f>
        <v>1700</v>
      </c>
      <c r="D1437" s="14" t="str">
        <f>"84233"</f>
        <v>84233</v>
      </c>
      <c r="E1437" s="14" t="s">
        <v>1747</v>
      </c>
      <c r="F1437" s="14" t="s">
        <v>1532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1748</v>
      </c>
      <c r="L1437" s="14" t="s">
        <v>181</v>
      </c>
      <c r="P1437" s="14" t="s">
        <v>31</v>
      </c>
      <c r="Q1437" s="14" t="s">
        <v>31</v>
      </c>
      <c r="R1437" s="14" t="s">
        <v>1536</v>
      </c>
    </row>
    <row r="1438" spans="1:18" s="14" customFormat="1" x14ac:dyDescent="0.25">
      <c r="A1438" s="14" t="str">
        <f>"84234"</f>
        <v>84234</v>
      </c>
      <c r="B1438" s="14" t="str">
        <f>"07020"</f>
        <v>07020</v>
      </c>
      <c r="C1438" s="14" t="str">
        <f>"1700"</f>
        <v>1700</v>
      </c>
      <c r="D1438" s="14" t="str">
        <f>"84234"</f>
        <v>84234</v>
      </c>
      <c r="E1438" s="14" t="s">
        <v>1749</v>
      </c>
      <c r="F1438" s="14" t="s">
        <v>1532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1663</v>
      </c>
      <c r="P1438" s="14" t="s">
        <v>31</v>
      </c>
      <c r="Q1438" s="14" t="s">
        <v>31</v>
      </c>
      <c r="R1438" s="14" t="s">
        <v>392</v>
      </c>
    </row>
    <row r="1439" spans="1:18" s="14" customFormat="1" x14ac:dyDescent="0.25">
      <c r="A1439" s="14" t="str">
        <f>"84235"</f>
        <v>84235</v>
      </c>
      <c r="B1439" s="14" t="str">
        <f>"07020"</f>
        <v>07020</v>
      </c>
      <c r="C1439" s="14" t="str">
        <f>"1700"</f>
        <v>1700</v>
      </c>
      <c r="D1439" s="14" t="str">
        <f>"84235"</f>
        <v>84235</v>
      </c>
      <c r="E1439" s="14" t="s">
        <v>1750</v>
      </c>
      <c r="F1439" s="14" t="s">
        <v>1532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386</v>
      </c>
      <c r="L1439" s="14" t="s">
        <v>1534</v>
      </c>
      <c r="P1439" s="14" t="s">
        <v>31</v>
      </c>
      <c r="Q1439" s="14" t="s">
        <v>31</v>
      </c>
      <c r="R1439" s="14" t="s">
        <v>388</v>
      </c>
    </row>
    <row r="1440" spans="1:18" s="14" customFormat="1" x14ac:dyDescent="0.25">
      <c r="A1440" s="14" t="str">
        <f>"84236"</f>
        <v>84236</v>
      </c>
      <c r="B1440" s="14" t="str">
        <f>"07020"</f>
        <v>07020</v>
      </c>
      <c r="C1440" s="14" t="str">
        <f>"1700"</f>
        <v>1700</v>
      </c>
      <c r="D1440" s="14" t="str">
        <f>"84236"</f>
        <v>84236</v>
      </c>
      <c r="E1440" s="14" t="s">
        <v>1751</v>
      </c>
      <c r="F1440" s="14" t="s">
        <v>1532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766</v>
      </c>
      <c r="P1440" s="14" t="s">
        <v>31</v>
      </c>
      <c r="Q1440" s="14" t="s">
        <v>31</v>
      </c>
      <c r="R1440" s="14" t="s">
        <v>794</v>
      </c>
    </row>
    <row r="1441" spans="1:18" s="14" customFormat="1" x14ac:dyDescent="0.25">
      <c r="A1441" s="14" t="str">
        <f>"84237"</f>
        <v>84237</v>
      </c>
      <c r="B1441" s="14" t="str">
        <f>"07020"</f>
        <v>07020</v>
      </c>
      <c r="C1441" s="14" t="str">
        <f>"1700"</f>
        <v>1700</v>
      </c>
      <c r="D1441" s="14" t="str">
        <f>"84237"</f>
        <v>84237</v>
      </c>
      <c r="E1441" s="14" t="s">
        <v>1752</v>
      </c>
      <c r="F1441" s="14" t="s">
        <v>1532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392</v>
      </c>
      <c r="L1441" s="14" t="s">
        <v>1753</v>
      </c>
      <c r="M1441" s="14" t="s">
        <v>72</v>
      </c>
      <c r="P1441" s="14" t="s">
        <v>31</v>
      </c>
      <c r="Q1441" s="14" t="s">
        <v>31</v>
      </c>
      <c r="R1441" s="14" t="s">
        <v>392</v>
      </c>
    </row>
    <row r="1442" spans="1:18" s="14" customFormat="1" x14ac:dyDescent="0.25">
      <c r="A1442" s="14" t="str">
        <f>"84238"</f>
        <v>84238</v>
      </c>
      <c r="B1442" s="14" t="str">
        <f>"07020"</f>
        <v>07020</v>
      </c>
      <c r="C1442" s="14" t="str">
        <f>"1700"</f>
        <v>1700</v>
      </c>
      <c r="D1442" s="14" t="str">
        <f>"84238"</f>
        <v>84238</v>
      </c>
      <c r="E1442" s="14" t="s">
        <v>1754</v>
      </c>
      <c r="F1442" s="14" t="s">
        <v>1532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1619</v>
      </c>
      <c r="L1442" s="14" t="s">
        <v>392</v>
      </c>
      <c r="M1442" s="14" t="s">
        <v>72</v>
      </c>
      <c r="P1442" s="14" t="s">
        <v>31</v>
      </c>
      <c r="Q1442" s="14" t="s">
        <v>31</v>
      </c>
      <c r="R1442" s="14" t="s">
        <v>392</v>
      </c>
    </row>
    <row r="1443" spans="1:18" s="14" customFormat="1" x14ac:dyDescent="0.25">
      <c r="A1443" s="14" t="str">
        <f>"84239"</f>
        <v>84239</v>
      </c>
      <c r="B1443" s="14" t="str">
        <f>"07020"</f>
        <v>07020</v>
      </c>
      <c r="C1443" s="14" t="str">
        <f>"1700"</f>
        <v>1700</v>
      </c>
      <c r="D1443" s="14" t="str">
        <f>"84239"</f>
        <v>84239</v>
      </c>
      <c r="E1443" s="14" t="s">
        <v>1755</v>
      </c>
      <c r="F1443" s="14" t="s">
        <v>1532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181</v>
      </c>
      <c r="L1443" s="14" t="s">
        <v>753</v>
      </c>
      <c r="M1443" s="14" t="s">
        <v>873</v>
      </c>
      <c r="P1443" s="14" t="s">
        <v>31</v>
      </c>
      <c r="Q1443" s="14" t="s">
        <v>31</v>
      </c>
      <c r="R1443" s="14" t="s">
        <v>753</v>
      </c>
    </row>
    <row r="1444" spans="1:18" s="14" customFormat="1" x14ac:dyDescent="0.25">
      <c r="A1444" s="14" t="str">
        <f>"84240"</f>
        <v>84240</v>
      </c>
      <c r="B1444" s="14" t="str">
        <f>"07020"</f>
        <v>07020</v>
      </c>
      <c r="C1444" s="14" t="str">
        <f>"1700"</f>
        <v>1700</v>
      </c>
      <c r="D1444" s="14" t="str">
        <f>"84240"</f>
        <v>84240</v>
      </c>
      <c r="E1444" s="14" t="s">
        <v>1756</v>
      </c>
      <c r="F1444" s="14" t="s">
        <v>1532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1757</v>
      </c>
      <c r="L1444" s="14" t="s">
        <v>392</v>
      </c>
      <c r="P1444" s="14" t="s">
        <v>31</v>
      </c>
      <c r="Q1444" s="14" t="s">
        <v>31</v>
      </c>
      <c r="R1444" s="14" t="s">
        <v>1757</v>
      </c>
    </row>
    <row r="1445" spans="1:18" s="14" customFormat="1" x14ac:dyDescent="0.25">
      <c r="A1445" s="14" t="str">
        <f>"84241"</f>
        <v>84241</v>
      </c>
      <c r="B1445" s="14" t="str">
        <f>"07020"</f>
        <v>07020</v>
      </c>
      <c r="C1445" s="14" t="str">
        <f>"1700"</f>
        <v>1700</v>
      </c>
      <c r="D1445" s="14" t="str">
        <f>"84241"</f>
        <v>84241</v>
      </c>
      <c r="E1445" s="14" t="s">
        <v>1758</v>
      </c>
      <c r="F1445" s="14" t="s">
        <v>1532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779</v>
      </c>
      <c r="L1445" s="14" t="s">
        <v>392</v>
      </c>
      <c r="M1445" s="14" t="s">
        <v>72</v>
      </c>
      <c r="P1445" s="14" t="s">
        <v>31</v>
      </c>
      <c r="Q1445" s="14" t="s">
        <v>31</v>
      </c>
      <c r="R1445" s="14" t="s">
        <v>779</v>
      </c>
    </row>
    <row r="1446" spans="1:18" s="14" customFormat="1" x14ac:dyDescent="0.25">
      <c r="A1446" s="14" t="str">
        <f>"84242"</f>
        <v>84242</v>
      </c>
      <c r="B1446" s="14" t="str">
        <f>"07020"</f>
        <v>07020</v>
      </c>
      <c r="C1446" s="14" t="str">
        <f>"1700"</f>
        <v>1700</v>
      </c>
      <c r="D1446" s="14" t="str">
        <f>"84242"</f>
        <v>84242</v>
      </c>
      <c r="E1446" s="14" t="s">
        <v>1759</v>
      </c>
      <c r="F1446" s="14" t="s">
        <v>1532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1760</v>
      </c>
      <c r="P1446" s="14" t="s">
        <v>31</v>
      </c>
      <c r="Q1446" s="14" t="s">
        <v>31</v>
      </c>
      <c r="R1446" s="14" t="s">
        <v>1760</v>
      </c>
    </row>
    <row r="1447" spans="1:18" s="14" customFormat="1" x14ac:dyDescent="0.25">
      <c r="A1447" s="14" t="str">
        <f>"84243"</f>
        <v>84243</v>
      </c>
      <c r="B1447" s="14" t="str">
        <f>"07020"</f>
        <v>07020</v>
      </c>
      <c r="C1447" s="14" t="str">
        <f>"1700"</f>
        <v>1700</v>
      </c>
      <c r="D1447" s="14" t="str">
        <f>"84243"</f>
        <v>84243</v>
      </c>
      <c r="E1447" s="14" t="s">
        <v>1761</v>
      </c>
      <c r="F1447" s="14" t="s">
        <v>1532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766</v>
      </c>
      <c r="L1447" s="14" t="s">
        <v>392</v>
      </c>
      <c r="P1447" s="14" t="s">
        <v>31</v>
      </c>
      <c r="Q1447" s="14" t="s">
        <v>31</v>
      </c>
      <c r="R1447" s="14" t="s">
        <v>766</v>
      </c>
    </row>
    <row r="1448" spans="1:18" s="14" customFormat="1" x14ac:dyDescent="0.25">
      <c r="A1448" s="14" t="str">
        <f>"84244"</f>
        <v>84244</v>
      </c>
      <c r="B1448" s="14" t="str">
        <f>"07020"</f>
        <v>07020</v>
      </c>
      <c r="C1448" s="14" t="str">
        <f>"1700"</f>
        <v>1700</v>
      </c>
      <c r="D1448" s="14" t="str">
        <f>"84244"</f>
        <v>84244</v>
      </c>
      <c r="E1448" s="14" t="s">
        <v>1762</v>
      </c>
      <c r="F1448" s="14" t="s">
        <v>1532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381</v>
      </c>
      <c r="L1448" s="14" t="s">
        <v>382</v>
      </c>
      <c r="M1448" s="14" t="s">
        <v>1570</v>
      </c>
      <c r="P1448" s="14" t="s">
        <v>31</v>
      </c>
      <c r="Q1448" s="14" t="s">
        <v>31</v>
      </c>
      <c r="R1448" s="14" t="s">
        <v>383</v>
      </c>
    </row>
    <row r="1449" spans="1:18" s="14" customFormat="1" x14ac:dyDescent="0.25">
      <c r="A1449" s="14" t="str">
        <f>"84245"</f>
        <v>84245</v>
      </c>
      <c r="B1449" s="14" t="str">
        <f>"07020"</f>
        <v>07020</v>
      </c>
      <c r="C1449" s="14" t="str">
        <f>"1700"</f>
        <v>1700</v>
      </c>
      <c r="D1449" s="14" t="str">
        <f>"84245"</f>
        <v>84245</v>
      </c>
      <c r="E1449" s="14" t="s">
        <v>1763</v>
      </c>
      <c r="F1449" s="14" t="s">
        <v>1532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601</v>
      </c>
      <c r="L1449" s="14" t="s">
        <v>392</v>
      </c>
      <c r="P1449" s="14" t="s">
        <v>31</v>
      </c>
      <c r="Q1449" s="14" t="s">
        <v>31</v>
      </c>
      <c r="R1449" s="14" t="s">
        <v>392</v>
      </c>
    </row>
    <row r="1450" spans="1:18" s="14" customFormat="1" x14ac:dyDescent="0.25">
      <c r="A1450" s="14" t="str">
        <f>"84246"</f>
        <v>84246</v>
      </c>
      <c r="B1450" s="14" t="str">
        <f>"07020"</f>
        <v>07020</v>
      </c>
      <c r="C1450" s="14" t="str">
        <f>"1700"</f>
        <v>1700</v>
      </c>
      <c r="D1450" s="14" t="str">
        <f>"84246"</f>
        <v>84246</v>
      </c>
      <c r="E1450" s="14" t="s">
        <v>1764</v>
      </c>
      <c r="F1450" s="14" t="s">
        <v>1532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1706</v>
      </c>
      <c r="L1450" s="14" t="s">
        <v>392</v>
      </c>
      <c r="P1450" s="14" t="s">
        <v>31</v>
      </c>
      <c r="Q1450" s="14" t="s">
        <v>31</v>
      </c>
      <c r="R1450" s="14" t="s">
        <v>1706</v>
      </c>
    </row>
    <row r="1451" spans="1:18" s="14" customFormat="1" x14ac:dyDescent="0.25">
      <c r="A1451" s="14" t="str">
        <f>"84247"</f>
        <v>84247</v>
      </c>
      <c r="B1451" s="14" t="str">
        <f>"07020"</f>
        <v>07020</v>
      </c>
      <c r="C1451" s="14" t="str">
        <f>"1700"</f>
        <v>1700</v>
      </c>
      <c r="D1451" s="14" t="str">
        <f>"84247"</f>
        <v>84247</v>
      </c>
      <c r="E1451" s="14" t="s">
        <v>1765</v>
      </c>
      <c r="F1451" s="14" t="s">
        <v>1532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824</v>
      </c>
      <c r="L1451" s="14" t="s">
        <v>72</v>
      </c>
      <c r="P1451" s="14" t="s">
        <v>31</v>
      </c>
      <c r="Q1451" s="14" t="s">
        <v>31</v>
      </c>
      <c r="R1451" s="14" t="s">
        <v>392</v>
      </c>
    </row>
    <row r="1452" spans="1:18" s="14" customFormat="1" x14ac:dyDescent="0.25">
      <c r="A1452" s="14" t="str">
        <f>"84248"</f>
        <v>84248</v>
      </c>
      <c r="B1452" s="14" t="str">
        <f>"07020"</f>
        <v>07020</v>
      </c>
      <c r="C1452" s="14" t="str">
        <f>"1700"</f>
        <v>1700</v>
      </c>
      <c r="D1452" s="14" t="str">
        <f>"84248"</f>
        <v>84248</v>
      </c>
      <c r="E1452" s="14" t="s">
        <v>1766</v>
      </c>
      <c r="F1452" s="14" t="s">
        <v>1532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1636</v>
      </c>
      <c r="L1452" s="14" t="s">
        <v>1562</v>
      </c>
      <c r="P1452" s="14" t="s">
        <v>31</v>
      </c>
      <c r="Q1452" s="14" t="s">
        <v>31</v>
      </c>
      <c r="R1452" s="14" t="s">
        <v>390</v>
      </c>
    </row>
    <row r="1453" spans="1:18" s="14" customFormat="1" x14ac:dyDescent="0.25">
      <c r="A1453" s="14" t="str">
        <f>"84249"</f>
        <v>84249</v>
      </c>
      <c r="B1453" s="14" t="str">
        <f>"07020"</f>
        <v>07020</v>
      </c>
      <c r="C1453" s="14" t="str">
        <f>"1700"</f>
        <v>1700</v>
      </c>
      <c r="D1453" s="14" t="str">
        <f>"84249"</f>
        <v>84249</v>
      </c>
      <c r="E1453" s="14" t="s">
        <v>1767</v>
      </c>
      <c r="F1453" s="14" t="s">
        <v>1532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762</v>
      </c>
      <c r="L1453" s="14" t="s">
        <v>392</v>
      </c>
      <c r="P1453" s="14" t="s">
        <v>31</v>
      </c>
      <c r="Q1453" s="14" t="s">
        <v>25</v>
      </c>
      <c r="R1453" s="14" t="s">
        <v>762</v>
      </c>
    </row>
    <row r="1454" spans="1:18" s="14" customFormat="1" x14ac:dyDescent="0.25">
      <c r="A1454" s="14" t="str">
        <f>"84250"</f>
        <v>84250</v>
      </c>
      <c r="B1454" s="14" t="str">
        <f>"07020"</f>
        <v>07020</v>
      </c>
      <c r="C1454" s="14" t="str">
        <f>"1700"</f>
        <v>1700</v>
      </c>
      <c r="D1454" s="14" t="str">
        <f>"84250"</f>
        <v>84250</v>
      </c>
      <c r="E1454" s="14" t="s">
        <v>1768</v>
      </c>
      <c r="F1454" s="14" t="s">
        <v>1532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1697</v>
      </c>
      <c r="L1454" s="14" t="s">
        <v>1698</v>
      </c>
      <c r="P1454" s="14" t="s">
        <v>31</v>
      </c>
      <c r="Q1454" s="14" t="s">
        <v>25</v>
      </c>
      <c r="R1454" s="14" t="s">
        <v>392</v>
      </c>
    </row>
    <row r="1455" spans="1:18" s="14" customFormat="1" x14ac:dyDescent="0.25">
      <c r="A1455" s="14" t="str">
        <f>"84251"</f>
        <v>84251</v>
      </c>
      <c r="B1455" s="14" t="str">
        <f>"07020"</f>
        <v>07020</v>
      </c>
      <c r="C1455" s="14" t="str">
        <f>"1700"</f>
        <v>1700</v>
      </c>
      <c r="D1455" s="14" t="str">
        <f>"84251"</f>
        <v>84251</v>
      </c>
      <c r="E1455" s="14" t="s">
        <v>1769</v>
      </c>
      <c r="F1455" s="14" t="s">
        <v>1532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1630</v>
      </c>
      <c r="L1455" s="14" t="s">
        <v>392</v>
      </c>
      <c r="M1455" s="14" t="s">
        <v>72</v>
      </c>
      <c r="P1455" s="14" t="s">
        <v>31</v>
      </c>
      <c r="Q1455" s="14" t="s">
        <v>25</v>
      </c>
      <c r="R1455" s="14" t="s">
        <v>392</v>
      </c>
    </row>
    <row r="1456" spans="1:18" s="14" customFormat="1" x14ac:dyDescent="0.25">
      <c r="A1456" s="14" t="str">
        <f>"84252"</f>
        <v>84252</v>
      </c>
      <c r="B1456" s="14" t="str">
        <f>"07020"</f>
        <v>07020</v>
      </c>
      <c r="C1456" s="14" t="str">
        <f>"1700"</f>
        <v>1700</v>
      </c>
      <c r="D1456" s="14" t="str">
        <f>"84252"</f>
        <v>84252</v>
      </c>
      <c r="E1456" s="14" t="s">
        <v>1770</v>
      </c>
      <c r="F1456" s="14" t="s">
        <v>1532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1544</v>
      </c>
      <c r="L1456" s="14" t="s">
        <v>392</v>
      </c>
      <c r="P1456" s="14" t="s">
        <v>31</v>
      </c>
      <c r="Q1456" s="14" t="s">
        <v>31</v>
      </c>
      <c r="R1456" s="14" t="s">
        <v>1544</v>
      </c>
    </row>
    <row r="1457" spans="1:18" s="14" customFormat="1" x14ac:dyDescent="0.25">
      <c r="A1457" s="14" t="str">
        <f>"84253"</f>
        <v>84253</v>
      </c>
      <c r="B1457" s="14" t="str">
        <f>"07020"</f>
        <v>07020</v>
      </c>
      <c r="C1457" s="14" t="str">
        <f>"1700"</f>
        <v>1700</v>
      </c>
      <c r="D1457" s="14" t="str">
        <f>"84253"</f>
        <v>84253</v>
      </c>
      <c r="E1457" s="14" t="s">
        <v>1771</v>
      </c>
      <c r="F1457" s="14" t="s">
        <v>1532</v>
      </c>
      <c r="G1457" s="14" t="str">
        <f>""</f>
        <v/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1721</v>
      </c>
      <c r="L1457" s="14" t="s">
        <v>49</v>
      </c>
      <c r="P1457" s="14" t="s">
        <v>31</v>
      </c>
      <c r="Q1457" s="14" t="s">
        <v>31</v>
      </c>
      <c r="R1457" s="14" t="s">
        <v>1721</v>
      </c>
    </row>
    <row r="1458" spans="1:18" s="14" customFormat="1" x14ac:dyDescent="0.25">
      <c r="A1458" s="14" t="str">
        <f>"84254"</f>
        <v>84254</v>
      </c>
      <c r="B1458" s="14" t="str">
        <f>"07020"</f>
        <v>07020</v>
      </c>
      <c r="C1458" s="14" t="str">
        <f>"1700"</f>
        <v>1700</v>
      </c>
      <c r="D1458" s="14" t="str">
        <f>"84254"</f>
        <v>84254</v>
      </c>
      <c r="E1458" s="14" t="s">
        <v>1772</v>
      </c>
      <c r="F1458" s="14" t="s">
        <v>1532</v>
      </c>
      <c r="G1458" s="14" t="str">
        <f>""</f>
        <v/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1773</v>
      </c>
      <c r="L1458" s="14" t="s">
        <v>1553</v>
      </c>
      <c r="M1458" s="14" t="s">
        <v>72</v>
      </c>
      <c r="P1458" s="14" t="s">
        <v>31</v>
      </c>
      <c r="Q1458" s="14" t="s">
        <v>31</v>
      </c>
      <c r="R1458" s="14" t="s">
        <v>1773</v>
      </c>
    </row>
    <row r="1459" spans="1:18" s="14" customFormat="1" x14ac:dyDescent="0.25">
      <c r="A1459" s="14" t="str">
        <f>"84255"</f>
        <v>84255</v>
      </c>
      <c r="B1459" s="14" t="str">
        <f>"07020"</f>
        <v>07020</v>
      </c>
      <c r="C1459" s="14" t="str">
        <f>"1700"</f>
        <v>1700</v>
      </c>
      <c r="D1459" s="14" t="str">
        <f>"84255"</f>
        <v>84255</v>
      </c>
      <c r="E1459" s="14" t="s">
        <v>1774</v>
      </c>
      <c r="F1459" s="14" t="s">
        <v>1532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114</v>
      </c>
      <c r="L1459" s="14" t="s">
        <v>112</v>
      </c>
      <c r="M1459" s="14" t="s">
        <v>113</v>
      </c>
      <c r="P1459" s="14" t="s">
        <v>31</v>
      </c>
      <c r="Q1459" s="14" t="s">
        <v>31</v>
      </c>
      <c r="R1459" s="14" t="s">
        <v>115</v>
      </c>
    </row>
    <row r="1460" spans="1:18" s="14" customFormat="1" x14ac:dyDescent="0.25">
      <c r="A1460" s="14" t="str">
        <f>"85011"</f>
        <v>85011</v>
      </c>
      <c r="B1460" s="14" t="str">
        <f>"07030"</f>
        <v>07030</v>
      </c>
      <c r="C1460" s="14" t="str">
        <f>"8000"</f>
        <v>8000</v>
      </c>
      <c r="D1460" s="14" t="str">
        <f>"85011"</f>
        <v>85011</v>
      </c>
      <c r="E1460" s="14" t="s">
        <v>1777</v>
      </c>
      <c r="F1460" s="14" t="s">
        <v>1776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114</v>
      </c>
      <c r="L1460" s="14" t="s">
        <v>1661</v>
      </c>
      <c r="P1460" s="14" t="s">
        <v>31</v>
      </c>
      <c r="Q1460" s="14" t="s">
        <v>31</v>
      </c>
      <c r="R1460" s="14" t="s">
        <v>114</v>
      </c>
    </row>
    <row r="1461" spans="1:18" s="14" customFormat="1" x14ac:dyDescent="0.25">
      <c r="A1461" s="14" t="str">
        <f>"85014"</f>
        <v>85014</v>
      </c>
      <c r="B1461" s="14" t="str">
        <f>"07030"</f>
        <v>07030</v>
      </c>
      <c r="C1461" s="14" t="str">
        <f>"8000"</f>
        <v>8000</v>
      </c>
      <c r="D1461" s="14" t="str">
        <f>"85014"</f>
        <v>85014</v>
      </c>
      <c r="E1461" s="14" t="s">
        <v>1778</v>
      </c>
      <c r="F1461" s="14" t="s">
        <v>1776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381</v>
      </c>
      <c r="L1461" s="14" t="s">
        <v>382</v>
      </c>
      <c r="P1461" s="14" t="s">
        <v>31</v>
      </c>
      <c r="Q1461" s="14" t="s">
        <v>31</v>
      </c>
      <c r="R1461" s="14" t="s">
        <v>383</v>
      </c>
    </row>
    <row r="1462" spans="1:18" s="14" customFormat="1" x14ac:dyDescent="0.25">
      <c r="A1462" s="14" t="str">
        <f>"85025"</f>
        <v>85025</v>
      </c>
      <c r="B1462" s="14" t="str">
        <f>"07030"</f>
        <v>07030</v>
      </c>
      <c r="C1462" s="14" t="str">
        <f>"8000"</f>
        <v>8000</v>
      </c>
      <c r="D1462" s="14" t="str">
        <f>"85025"</f>
        <v>85025</v>
      </c>
      <c r="E1462" s="14" t="s">
        <v>1779</v>
      </c>
      <c r="F1462" s="14" t="s">
        <v>1776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184</v>
      </c>
      <c r="L1462" s="14" t="s">
        <v>37</v>
      </c>
      <c r="P1462" s="14" t="s">
        <v>31</v>
      </c>
      <c r="Q1462" s="14" t="s">
        <v>31</v>
      </c>
      <c r="R1462" s="14" t="s">
        <v>115</v>
      </c>
    </row>
    <row r="1463" spans="1:18" s="14" customFormat="1" x14ac:dyDescent="0.25">
      <c r="A1463" s="14" t="str">
        <f>"85029"</f>
        <v>85029</v>
      </c>
      <c r="B1463" s="14" t="str">
        <f>"07030"</f>
        <v>07030</v>
      </c>
      <c r="C1463" s="14" t="str">
        <f>"8000"</f>
        <v>8000</v>
      </c>
      <c r="D1463" s="14" t="str">
        <f>"85029"</f>
        <v>85029</v>
      </c>
      <c r="E1463" s="14" t="s">
        <v>1781</v>
      </c>
      <c r="F1463" s="14" t="s">
        <v>1776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390</v>
      </c>
      <c r="P1463" s="14" t="s">
        <v>31</v>
      </c>
      <c r="Q1463" s="14" t="s">
        <v>31</v>
      </c>
      <c r="R1463" s="14" t="s">
        <v>390</v>
      </c>
    </row>
    <row r="1464" spans="1:18" s="14" customFormat="1" x14ac:dyDescent="0.25">
      <c r="A1464" s="14" t="str">
        <f>"85057"</f>
        <v>85057</v>
      </c>
      <c r="B1464" s="14" t="str">
        <f>"07030"</f>
        <v>07030</v>
      </c>
      <c r="C1464" s="14" t="str">
        <f>"8000"</f>
        <v>8000</v>
      </c>
      <c r="D1464" s="14" t="str">
        <f>"85057"</f>
        <v>85057</v>
      </c>
      <c r="E1464" s="14" t="s">
        <v>1784</v>
      </c>
      <c r="F1464" s="14" t="s">
        <v>1776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377</v>
      </c>
      <c r="L1464" s="14" t="s">
        <v>47</v>
      </c>
      <c r="P1464" s="14" t="s">
        <v>31</v>
      </c>
      <c r="Q1464" s="14" t="s">
        <v>31</v>
      </c>
      <c r="R1464" s="14" t="s">
        <v>379</v>
      </c>
    </row>
    <row r="1465" spans="1:18" s="14" customFormat="1" x14ac:dyDescent="0.25">
      <c r="A1465" s="14" t="str">
        <f>"85072"</f>
        <v>85072</v>
      </c>
      <c r="B1465" s="14" t="str">
        <f>"01790"</f>
        <v>01790</v>
      </c>
      <c r="C1465" s="14" t="str">
        <f>"1300"</f>
        <v>1300</v>
      </c>
      <c r="D1465" s="14" t="str">
        <f>"85072"</f>
        <v>85072</v>
      </c>
      <c r="E1465" s="14" t="s">
        <v>1785</v>
      </c>
      <c r="F1465" s="14" t="s">
        <v>178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179</v>
      </c>
      <c r="L1465" s="14" t="s">
        <v>37</v>
      </c>
      <c r="M1465" s="14" t="s">
        <v>1586</v>
      </c>
      <c r="P1465" s="14" t="s">
        <v>31</v>
      </c>
      <c r="Q1465" s="14" t="s">
        <v>31</v>
      </c>
      <c r="R1465" s="14" t="s">
        <v>1586</v>
      </c>
    </row>
    <row r="1466" spans="1:18" s="14" customFormat="1" x14ac:dyDescent="0.25">
      <c r="A1466" s="14" t="str">
        <f>"85079"</f>
        <v>85079</v>
      </c>
      <c r="B1466" s="14" t="str">
        <f>"01400"</f>
        <v>01400</v>
      </c>
      <c r="C1466" s="14" t="str">
        <f>"1600"</f>
        <v>1600</v>
      </c>
      <c r="D1466" s="14" t="str">
        <f>"85079"</f>
        <v>85079</v>
      </c>
      <c r="E1466" s="14" t="s">
        <v>1786</v>
      </c>
      <c r="F1466" s="14" t="s">
        <v>117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69</v>
      </c>
      <c r="L1466" s="14" t="s">
        <v>70</v>
      </c>
      <c r="M1466" s="14" t="s">
        <v>1667</v>
      </c>
      <c r="P1466" s="14" t="s">
        <v>31</v>
      </c>
      <c r="Q1466" s="14" t="s">
        <v>31</v>
      </c>
      <c r="R1466" s="14" t="s">
        <v>1787</v>
      </c>
    </row>
    <row r="1467" spans="1:18" s="14" customFormat="1" x14ac:dyDescent="0.25">
      <c r="A1467" s="14" t="str">
        <f>"85115"</f>
        <v>85115</v>
      </c>
      <c r="B1467" s="14" t="str">
        <f>"01400"</f>
        <v>01400</v>
      </c>
      <c r="C1467" s="14" t="str">
        <f>"1600"</f>
        <v>1600</v>
      </c>
      <c r="D1467" s="14" t="str">
        <f>"85115"</f>
        <v>85115</v>
      </c>
      <c r="E1467" s="14" t="s">
        <v>1788</v>
      </c>
      <c r="F1467" s="14" t="s">
        <v>117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69</v>
      </c>
      <c r="L1467" s="14" t="s">
        <v>70</v>
      </c>
      <c r="M1467" s="14" t="s">
        <v>71</v>
      </c>
      <c r="P1467" s="14" t="s">
        <v>31</v>
      </c>
      <c r="Q1467" s="14" t="s">
        <v>31</v>
      </c>
      <c r="R1467" s="14" t="s">
        <v>69</v>
      </c>
    </row>
    <row r="1468" spans="1:18" s="14" customFormat="1" x14ac:dyDescent="0.25">
      <c r="A1468" s="14" t="str">
        <f>"85117"</f>
        <v>85117</v>
      </c>
      <c r="B1468" s="14" t="str">
        <f>"07030"</f>
        <v>07030</v>
      </c>
      <c r="C1468" s="14" t="str">
        <f>"8000"</f>
        <v>8000</v>
      </c>
      <c r="D1468" s="14" t="str">
        <f>"85117"</f>
        <v>85117</v>
      </c>
      <c r="E1468" s="14" t="s">
        <v>1789</v>
      </c>
      <c r="F1468" s="14" t="s">
        <v>1776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395</v>
      </c>
      <c r="P1468" s="14" t="s">
        <v>31</v>
      </c>
      <c r="Q1468" s="14" t="s">
        <v>260</v>
      </c>
      <c r="R1468" s="14" t="s">
        <v>399</v>
      </c>
    </row>
    <row r="1469" spans="1:18" s="14" customFormat="1" x14ac:dyDescent="0.25">
      <c r="A1469" s="14" t="str">
        <f>"85127"</f>
        <v>85127</v>
      </c>
      <c r="B1469" s="14" t="str">
        <f>"07030"</f>
        <v>07030</v>
      </c>
      <c r="C1469" s="14" t="str">
        <f>"8000"</f>
        <v>8000</v>
      </c>
      <c r="D1469" s="14" t="str">
        <f>"85127"</f>
        <v>85127</v>
      </c>
      <c r="E1469" s="14" t="s">
        <v>1792</v>
      </c>
      <c r="F1469" s="14" t="s">
        <v>1776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193</v>
      </c>
      <c r="L1469" s="14" t="s">
        <v>196</v>
      </c>
      <c r="P1469" s="14" t="s">
        <v>31</v>
      </c>
      <c r="Q1469" s="14" t="s">
        <v>31</v>
      </c>
      <c r="R1469" s="14" t="s">
        <v>1793</v>
      </c>
    </row>
    <row r="1470" spans="1:18" s="14" customFormat="1" x14ac:dyDescent="0.25">
      <c r="A1470" s="14" t="str">
        <f>"10001"</f>
        <v>10001</v>
      </c>
      <c r="B1470" s="14" t="str">
        <f>"00100"</f>
        <v>00100</v>
      </c>
      <c r="C1470" s="14" t="str">
        <f>"1400"</f>
        <v>1400</v>
      </c>
      <c r="D1470" s="14" t="str">
        <f>"00100"</f>
        <v>00100</v>
      </c>
      <c r="E1470" s="14" t="s">
        <v>20</v>
      </c>
      <c r="F1470" s="14" t="s">
        <v>21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22</v>
      </c>
      <c r="L1470" s="14" t="s">
        <v>23</v>
      </c>
      <c r="P1470" s="14" t="s">
        <v>24</v>
      </c>
      <c r="Q1470" s="14" t="s">
        <v>25</v>
      </c>
      <c r="R1470" s="14" t="s">
        <v>23</v>
      </c>
    </row>
    <row r="1471" spans="1:18" s="14" customFormat="1" x14ac:dyDescent="0.25">
      <c r="A1471" s="14" t="str">
        <f>"10001"</f>
        <v>10001</v>
      </c>
      <c r="B1471" s="14" t="str">
        <f>"00110"</f>
        <v>00110</v>
      </c>
      <c r="C1471" s="14" t="str">
        <f>"1400"</f>
        <v>1400</v>
      </c>
      <c r="D1471" s="14" t="str">
        <f>"00110"</f>
        <v>00110</v>
      </c>
      <c r="E1471" s="14" t="s">
        <v>20</v>
      </c>
      <c r="F1471" s="14" t="s">
        <v>26</v>
      </c>
      <c r="G1471" s="14" t="str">
        <f>""</f>
        <v/>
      </c>
      <c r="H1471" s="14" t="str">
        <f>" 00"</f>
        <v xml:space="preserve"> 00</v>
      </c>
      <c r="I1471" s="14">
        <v>0.01</v>
      </c>
      <c r="J1471" s="14">
        <v>9999999.9900000002</v>
      </c>
      <c r="K1471" s="14" t="s">
        <v>23</v>
      </c>
      <c r="L1471" s="14" t="s">
        <v>22</v>
      </c>
      <c r="P1471" s="14" t="s">
        <v>24</v>
      </c>
      <c r="Q1471" s="14" t="s">
        <v>25</v>
      </c>
      <c r="R1471" s="14" t="s">
        <v>23</v>
      </c>
    </row>
    <row r="1472" spans="1:18" s="14" customFormat="1" x14ac:dyDescent="0.25">
      <c r="A1472" s="14" t="str">
        <f>"10001"</f>
        <v>10001</v>
      </c>
      <c r="B1472" s="14" t="str">
        <f>"00164"</f>
        <v>00164</v>
      </c>
      <c r="C1472" s="14" t="str">
        <f>"1400"</f>
        <v>1400</v>
      </c>
      <c r="D1472" s="14" t="str">
        <f>"00164"</f>
        <v>00164</v>
      </c>
      <c r="E1472" s="14" t="s">
        <v>20</v>
      </c>
      <c r="F1472" s="14" t="s">
        <v>41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30</v>
      </c>
      <c r="L1472" s="14" t="s">
        <v>42</v>
      </c>
      <c r="P1472" s="14" t="s">
        <v>24</v>
      </c>
      <c r="Q1472" s="14" t="s">
        <v>25</v>
      </c>
      <c r="R1472" s="14" t="s">
        <v>43</v>
      </c>
    </row>
    <row r="1473" spans="1:18" s="14" customFormat="1" x14ac:dyDescent="0.25">
      <c r="A1473" s="14" t="str">
        <f>"10001"</f>
        <v>10001</v>
      </c>
      <c r="B1473" s="14" t="str">
        <f>"04010"</f>
        <v>04010</v>
      </c>
      <c r="C1473" s="14" t="str">
        <f>"1400"</f>
        <v>1400</v>
      </c>
      <c r="D1473" s="14" t="str">
        <f>"04010"</f>
        <v>04010</v>
      </c>
      <c r="E1473" s="14" t="s">
        <v>20</v>
      </c>
      <c r="F1473" s="14" t="s">
        <v>361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30</v>
      </c>
      <c r="L1473" s="14" t="s">
        <v>42</v>
      </c>
      <c r="P1473" s="14" t="s">
        <v>24</v>
      </c>
      <c r="Q1473" s="14" t="s">
        <v>25</v>
      </c>
      <c r="R1473" s="14" t="s">
        <v>43</v>
      </c>
    </row>
    <row r="1474" spans="1:18" s="14" customFormat="1" x14ac:dyDescent="0.25">
      <c r="A1474" s="14" t="str">
        <f>"10001"</f>
        <v>10001</v>
      </c>
      <c r="B1474" s="14" t="str">
        <f>"04020"</f>
        <v>04020</v>
      </c>
      <c r="C1474" s="14" t="str">
        <f>"1400"</f>
        <v>1400</v>
      </c>
      <c r="D1474" s="14" t="str">
        <f>"04020"</f>
        <v>04020</v>
      </c>
      <c r="E1474" s="14" t="s">
        <v>20</v>
      </c>
      <c r="F1474" s="14" t="s">
        <v>364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30</v>
      </c>
      <c r="L1474" s="14" t="s">
        <v>42</v>
      </c>
      <c r="P1474" s="14" t="s">
        <v>24</v>
      </c>
      <c r="Q1474" s="14" t="s">
        <v>25</v>
      </c>
      <c r="R1474" s="14" t="s">
        <v>43</v>
      </c>
    </row>
    <row r="1475" spans="1:18" s="14" customFormat="1" x14ac:dyDescent="0.25">
      <c r="A1475" s="14" t="str">
        <f>"10001"</f>
        <v>10001</v>
      </c>
      <c r="B1475" s="14" t="str">
        <f>"04030"</f>
        <v>04030</v>
      </c>
      <c r="C1475" s="14" t="str">
        <f>"1400"</f>
        <v>1400</v>
      </c>
      <c r="D1475" s="14" t="str">
        <f>"04030"</f>
        <v>04030</v>
      </c>
      <c r="E1475" s="14" t="s">
        <v>20</v>
      </c>
      <c r="F1475" s="14" t="s">
        <v>365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30</v>
      </c>
      <c r="L1475" s="14" t="s">
        <v>42</v>
      </c>
      <c r="P1475" s="14" t="s">
        <v>24</v>
      </c>
      <c r="Q1475" s="14" t="s">
        <v>25</v>
      </c>
      <c r="R1475" s="14" t="s">
        <v>43</v>
      </c>
    </row>
    <row r="1476" spans="1:18" s="14" customFormat="1" x14ac:dyDescent="0.25">
      <c r="A1476" s="14" t="str">
        <f>"11027"</f>
        <v>11027</v>
      </c>
      <c r="B1476" s="14" t="str">
        <f>"03000"</f>
        <v>03000</v>
      </c>
      <c r="C1476" s="14" t="str">
        <f>"1400"</f>
        <v>1400</v>
      </c>
      <c r="D1476" s="14" t="str">
        <f>""</f>
        <v/>
      </c>
      <c r="E1476" s="14" t="s">
        <v>461</v>
      </c>
      <c r="F1476" s="14" t="s">
        <v>217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34</v>
      </c>
      <c r="P1476" s="14" t="s">
        <v>24</v>
      </c>
      <c r="Q1476" s="14" t="s">
        <v>25</v>
      </c>
      <c r="R1476" s="14" t="s">
        <v>35</v>
      </c>
    </row>
    <row r="1477" spans="1:18" s="14" customFormat="1" x14ac:dyDescent="0.25">
      <c r="A1477" s="14" t="str">
        <f>"12001"</f>
        <v>12001</v>
      </c>
      <c r="B1477" s="14" t="str">
        <f>"04010"</f>
        <v>04010</v>
      </c>
      <c r="C1477" s="14" t="str">
        <f>"1400"</f>
        <v>1400</v>
      </c>
      <c r="D1477" s="14" t="str">
        <f>"12001"</f>
        <v>12001</v>
      </c>
      <c r="E1477" s="14" t="s">
        <v>486</v>
      </c>
      <c r="F1477" s="14" t="s">
        <v>361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30</v>
      </c>
      <c r="L1477" s="14" t="s">
        <v>42</v>
      </c>
      <c r="P1477" s="14" t="s">
        <v>24</v>
      </c>
      <c r="Q1477" s="14" t="s">
        <v>24</v>
      </c>
      <c r="R1477" s="14" t="s">
        <v>487</v>
      </c>
    </row>
    <row r="1478" spans="1:18" s="14" customFormat="1" x14ac:dyDescent="0.25">
      <c r="A1478" s="14" t="str">
        <f>"12002"</f>
        <v>12002</v>
      </c>
      <c r="B1478" s="14" t="str">
        <f>"04010"</f>
        <v>04010</v>
      </c>
      <c r="C1478" s="14" t="str">
        <f>"1400"</f>
        <v>1400</v>
      </c>
      <c r="D1478" s="14" t="str">
        <f>""</f>
        <v/>
      </c>
      <c r="E1478" s="14" t="s">
        <v>488</v>
      </c>
      <c r="F1478" s="14" t="s">
        <v>361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30</v>
      </c>
      <c r="L1478" s="14" t="s">
        <v>42</v>
      </c>
      <c r="P1478" s="14" t="s">
        <v>24</v>
      </c>
      <c r="Q1478" s="14" t="s">
        <v>24</v>
      </c>
      <c r="R1478" s="14" t="s">
        <v>487</v>
      </c>
    </row>
    <row r="1479" spans="1:18" s="14" customFormat="1" x14ac:dyDescent="0.25">
      <c r="A1479" s="14" t="str">
        <f>"12005"</f>
        <v>12005</v>
      </c>
      <c r="B1479" s="14" t="str">
        <f>"03000"</f>
        <v>03000</v>
      </c>
      <c r="C1479" s="14" t="str">
        <f>"1400"</f>
        <v>1400</v>
      </c>
      <c r="D1479" s="14" t="str">
        <f>""</f>
        <v/>
      </c>
      <c r="E1479" s="14" t="s">
        <v>489</v>
      </c>
      <c r="F1479" s="14" t="s">
        <v>217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34</v>
      </c>
      <c r="P1479" s="14" t="s">
        <v>24</v>
      </c>
      <c r="Q1479" s="14" t="s">
        <v>24</v>
      </c>
      <c r="R1479" s="14" t="s">
        <v>35</v>
      </c>
    </row>
    <row r="1480" spans="1:18" s="14" customFormat="1" x14ac:dyDescent="0.25">
      <c r="A1480" s="14" t="str">
        <f>"18044"</f>
        <v>18044</v>
      </c>
      <c r="B1480" s="14" t="str">
        <f>"04010"</f>
        <v>04010</v>
      </c>
      <c r="C1480" s="14" t="str">
        <f>"1400"</f>
        <v>1400</v>
      </c>
      <c r="D1480" s="14" t="str">
        <f>"18044"</f>
        <v>18044</v>
      </c>
      <c r="E1480" s="14" t="s">
        <v>611</v>
      </c>
      <c r="F1480" s="14" t="s">
        <v>361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30</v>
      </c>
      <c r="L1480" s="14" t="s">
        <v>42</v>
      </c>
      <c r="P1480" s="14" t="s">
        <v>24</v>
      </c>
      <c r="Q1480" s="14" t="s">
        <v>25</v>
      </c>
      <c r="R1480" s="14" t="s">
        <v>612</v>
      </c>
    </row>
    <row r="1481" spans="1:18" s="14" customFormat="1" x14ac:dyDescent="0.25">
      <c r="A1481" s="14" t="str">
        <f>"10001"</f>
        <v>10001</v>
      </c>
      <c r="B1481" s="14" t="str">
        <f>"00162"</f>
        <v>00162</v>
      </c>
      <c r="C1481" s="14" t="str">
        <f>"1400"</f>
        <v>1400</v>
      </c>
      <c r="D1481" s="14" t="str">
        <f>"00162"</f>
        <v>00162</v>
      </c>
      <c r="E1481" s="14" t="s">
        <v>20</v>
      </c>
      <c r="F1481" s="14" t="s">
        <v>36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37</v>
      </c>
      <c r="L1481" s="14" t="s">
        <v>38</v>
      </c>
      <c r="P1481" s="14" t="s">
        <v>39</v>
      </c>
      <c r="Q1481" s="14" t="s">
        <v>25</v>
      </c>
      <c r="R1481" s="14" t="s">
        <v>38</v>
      </c>
    </row>
    <row r="1482" spans="1:18" s="14" customFormat="1" x14ac:dyDescent="0.25">
      <c r="A1482" s="14" t="str">
        <f>"10001"</f>
        <v>10001</v>
      </c>
      <c r="B1482" s="14" t="str">
        <f>"01000"</f>
        <v>01000</v>
      </c>
      <c r="C1482" s="14" t="str">
        <f>"1400"</f>
        <v>1400</v>
      </c>
      <c r="D1482" s="14" t="str">
        <f>"01000"</f>
        <v>01000</v>
      </c>
      <c r="E1482" s="14" t="s">
        <v>20</v>
      </c>
      <c r="F1482" s="14" t="s">
        <v>44</v>
      </c>
      <c r="G1482" s="14" t="str">
        <f>""</f>
        <v/>
      </c>
      <c r="H1482" s="14" t="str">
        <f>" 00"</f>
        <v xml:space="preserve"> 00</v>
      </c>
      <c r="I1482" s="14">
        <v>0.01</v>
      </c>
      <c r="J1482" s="14">
        <v>9999999.9900000002</v>
      </c>
      <c r="K1482" s="14" t="s">
        <v>37</v>
      </c>
      <c r="L1482" s="14" t="s">
        <v>38</v>
      </c>
      <c r="P1482" s="14" t="s">
        <v>39</v>
      </c>
      <c r="Q1482" s="14" t="s">
        <v>25</v>
      </c>
      <c r="R1482" s="14" t="s">
        <v>45</v>
      </c>
    </row>
    <row r="1483" spans="1:18" s="14" customFormat="1" x14ac:dyDescent="0.25">
      <c r="A1483" s="14" t="str">
        <f>"10001"</f>
        <v>10001</v>
      </c>
      <c r="B1483" s="14" t="str">
        <f>"01005"</f>
        <v>01005</v>
      </c>
      <c r="C1483" s="14" t="str">
        <f>"1400"</f>
        <v>1400</v>
      </c>
      <c r="D1483" s="14" t="str">
        <f>"01005"</f>
        <v>01005</v>
      </c>
      <c r="E1483" s="14" t="s">
        <v>20</v>
      </c>
      <c r="F1483" s="14" t="s">
        <v>46</v>
      </c>
      <c r="G1483" s="14" t="str">
        <f>""</f>
        <v/>
      </c>
      <c r="H1483" s="14" t="str">
        <f>" 00"</f>
        <v xml:space="preserve"> 00</v>
      </c>
      <c r="I1483" s="14">
        <v>0.01</v>
      </c>
      <c r="J1483" s="14">
        <v>9999999.9900000002</v>
      </c>
      <c r="K1483" s="14" t="s">
        <v>47</v>
      </c>
      <c r="L1483" s="14" t="s">
        <v>23</v>
      </c>
      <c r="P1483" s="14" t="s">
        <v>39</v>
      </c>
      <c r="Q1483" s="14" t="s">
        <v>25</v>
      </c>
      <c r="R1483" s="14" t="s">
        <v>23</v>
      </c>
    </row>
    <row r="1484" spans="1:18" s="14" customFormat="1" x14ac:dyDescent="0.25">
      <c r="A1484" s="14" t="str">
        <f>"10001"</f>
        <v>10001</v>
      </c>
      <c r="B1484" s="14" t="str">
        <f>"01010"</f>
        <v>01010</v>
      </c>
      <c r="C1484" s="14" t="str">
        <f>"1400"</f>
        <v>1400</v>
      </c>
      <c r="D1484" s="14" t="str">
        <f>"01010"</f>
        <v>01010</v>
      </c>
      <c r="E1484" s="14" t="s">
        <v>20</v>
      </c>
      <c r="F1484" s="14" t="s">
        <v>51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37</v>
      </c>
      <c r="L1484" s="14" t="s">
        <v>34</v>
      </c>
      <c r="P1484" s="14" t="s">
        <v>39</v>
      </c>
      <c r="Q1484" s="14" t="s">
        <v>25</v>
      </c>
      <c r="R1484" s="14" t="s">
        <v>38</v>
      </c>
    </row>
    <row r="1485" spans="1:18" s="14" customFormat="1" x14ac:dyDescent="0.25">
      <c r="A1485" s="14" t="str">
        <f>"10001"</f>
        <v>10001</v>
      </c>
      <c r="B1485" s="14" t="str">
        <f>"01242"</f>
        <v>01242</v>
      </c>
      <c r="C1485" s="14" t="str">
        <f>"1300"</f>
        <v>1300</v>
      </c>
      <c r="D1485" s="14" t="str">
        <f>"01242"</f>
        <v>01242</v>
      </c>
      <c r="E1485" s="14" t="s">
        <v>20</v>
      </c>
      <c r="F1485" s="14" t="s">
        <v>85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37</v>
      </c>
      <c r="L1485" s="14" t="s">
        <v>34</v>
      </c>
      <c r="P1485" s="14" t="s">
        <v>39</v>
      </c>
      <c r="Q1485" s="14" t="s">
        <v>25</v>
      </c>
      <c r="R1485" s="14" t="s">
        <v>38</v>
      </c>
    </row>
    <row r="1486" spans="1:18" s="14" customFormat="1" x14ac:dyDescent="0.25">
      <c r="A1486" s="14" t="str">
        <f>"10001"</f>
        <v>10001</v>
      </c>
      <c r="B1486" s="14" t="str">
        <f>"01250"</f>
        <v>01250</v>
      </c>
      <c r="C1486" s="14" t="str">
        <f>"1300"</f>
        <v>1300</v>
      </c>
      <c r="D1486" s="14" t="str">
        <f>"01250"</f>
        <v>01250</v>
      </c>
      <c r="E1486" s="14" t="s">
        <v>20</v>
      </c>
      <c r="F1486" s="14" t="s">
        <v>86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37</v>
      </c>
      <c r="L1486" s="14" t="s">
        <v>601</v>
      </c>
      <c r="P1486" s="14" t="s">
        <v>39</v>
      </c>
      <c r="Q1486" s="14" t="s">
        <v>25</v>
      </c>
      <c r="R1486" s="14" t="s">
        <v>38</v>
      </c>
    </row>
    <row r="1487" spans="1:18" s="14" customFormat="1" x14ac:dyDescent="0.25">
      <c r="A1487" s="14" t="str">
        <f>"10001"</f>
        <v>10001</v>
      </c>
      <c r="B1487" s="14" t="str">
        <f>"01285"</f>
        <v>01285</v>
      </c>
      <c r="C1487" s="14" t="str">
        <f>"1700"</f>
        <v>1700</v>
      </c>
      <c r="D1487" s="14" t="str">
        <f>"01285"</f>
        <v>01285</v>
      </c>
      <c r="E1487" s="14" t="s">
        <v>20</v>
      </c>
      <c r="F1487" s="14" t="s">
        <v>92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37</v>
      </c>
      <c r="L1487" s="14" t="s">
        <v>93</v>
      </c>
      <c r="P1487" s="14" t="s">
        <v>39</v>
      </c>
      <c r="Q1487" s="14" t="s">
        <v>25</v>
      </c>
      <c r="R1487" s="14" t="s">
        <v>94</v>
      </c>
    </row>
    <row r="1488" spans="1:18" s="14" customFormat="1" x14ac:dyDescent="0.25">
      <c r="A1488" s="14" t="str">
        <f>"10001"</f>
        <v>10001</v>
      </c>
      <c r="B1488" s="14" t="str">
        <f>"01290"</f>
        <v>01290</v>
      </c>
      <c r="C1488" s="14" t="str">
        <f>"1300"</f>
        <v>1300</v>
      </c>
      <c r="D1488" s="14" t="str">
        <f>"01290"</f>
        <v>01290</v>
      </c>
      <c r="E1488" s="14" t="s">
        <v>20</v>
      </c>
      <c r="F1488" s="14" t="s">
        <v>95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83</v>
      </c>
      <c r="L1488" s="14" t="s">
        <v>37</v>
      </c>
      <c r="M1488" s="14" t="s">
        <v>38</v>
      </c>
      <c r="P1488" s="14" t="s">
        <v>39</v>
      </c>
      <c r="Q1488" s="14" t="s">
        <v>25</v>
      </c>
      <c r="R1488" s="14" t="s">
        <v>38</v>
      </c>
    </row>
    <row r="1489" spans="1:18" s="14" customFormat="1" x14ac:dyDescent="0.25">
      <c r="A1489" s="14" t="str">
        <f>"10001"</f>
        <v>10001</v>
      </c>
      <c r="B1489" s="14" t="str">
        <f>"01300"</f>
        <v>01300</v>
      </c>
      <c r="C1489" s="14" t="str">
        <f>"1300"</f>
        <v>1300</v>
      </c>
      <c r="D1489" s="14" t="str">
        <f>"01300"</f>
        <v>01300</v>
      </c>
      <c r="E1489" s="14" t="s">
        <v>20</v>
      </c>
      <c r="F1489" s="14" t="s">
        <v>96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48</v>
      </c>
      <c r="L1489" s="14" t="s">
        <v>97</v>
      </c>
      <c r="M1489" s="14" t="s">
        <v>98</v>
      </c>
      <c r="P1489" s="14" t="s">
        <v>39</v>
      </c>
      <c r="Q1489" s="14" t="s">
        <v>25</v>
      </c>
      <c r="R1489" s="14" t="s">
        <v>49</v>
      </c>
    </row>
    <row r="1490" spans="1:18" s="14" customFormat="1" x14ac:dyDescent="0.25">
      <c r="A1490" s="14" t="str">
        <f>"10001"</f>
        <v>10001</v>
      </c>
      <c r="B1490" s="14" t="str">
        <f>"01310"</f>
        <v>01310</v>
      </c>
      <c r="C1490" s="14" t="str">
        <f>"1100"</f>
        <v>1100</v>
      </c>
      <c r="D1490" s="14" t="str">
        <f>"01310"</f>
        <v>01310</v>
      </c>
      <c r="E1490" s="14" t="s">
        <v>20</v>
      </c>
      <c r="F1490" s="14" t="s">
        <v>101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102</v>
      </c>
      <c r="L1490" s="14" t="s">
        <v>48</v>
      </c>
      <c r="M1490" s="14" t="s">
        <v>97</v>
      </c>
      <c r="N1490" s="14" t="s">
        <v>98</v>
      </c>
      <c r="P1490" s="14" t="s">
        <v>39</v>
      </c>
      <c r="Q1490" s="14" t="s">
        <v>25</v>
      </c>
      <c r="R1490" s="14" t="s">
        <v>49</v>
      </c>
    </row>
    <row r="1491" spans="1:18" s="14" customFormat="1" x14ac:dyDescent="0.25">
      <c r="A1491" s="14" t="str">
        <f>"10001"</f>
        <v>10001</v>
      </c>
      <c r="B1491" s="14" t="str">
        <f>"01320"</f>
        <v>01320</v>
      </c>
      <c r="C1491" s="14" t="str">
        <f>"1100"</f>
        <v>1100</v>
      </c>
      <c r="D1491" s="14" t="str">
        <f>"01320"</f>
        <v>01320</v>
      </c>
      <c r="E1491" s="14" t="s">
        <v>20</v>
      </c>
      <c r="F1491" s="14" t="s">
        <v>103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48</v>
      </c>
      <c r="L1491" s="14" t="s">
        <v>97</v>
      </c>
      <c r="M1491" s="14" t="s">
        <v>98</v>
      </c>
      <c r="P1491" s="14" t="s">
        <v>39</v>
      </c>
      <c r="Q1491" s="14" t="s">
        <v>25</v>
      </c>
      <c r="R1491" s="14" t="s">
        <v>49</v>
      </c>
    </row>
    <row r="1492" spans="1:18" s="14" customFormat="1" x14ac:dyDescent="0.25">
      <c r="A1492" s="14" t="str">
        <f>"10001"</f>
        <v>10001</v>
      </c>
      <c r="B1492" s="14" t="str">
        <f>"01325"</f>
        <v>01325</v>
      </c>
      <c r="C1492" s="14" t="str">
        <f>"1100"</f>
        <v>1100</v>
      </c>
      <c r="D1492" s="14" t="str">
        <f>"01325"</f>
        <v>01325</v>
      </c>
      <c r="E1492" s="14" t="s">
        <v>20</v>
      </c>
      <c r="F1492" s="14" t="s">
        <v>104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48</v>
      </c>
      <c r="L1492" s="14" t="s">
        <v>97</v>
      </c>
      <c r="M1492" s="14" t="s">
        <v>98</v>
      </c>
      <c r="P1492" s="14" t="s">
        <v>39</v>
      </c>
      <c r="Q1492" s="14" t="s">
        <v>25</v>
      </c>
      <c r="R1492" s="14" t="s">
        <v>49</v>
      </c>
    </row>
    <row r="1493" spans="1:18" s="14" customFormat="1" x14ac:dyDescent="0.25">
      <c r="A1493" s="14" t="str">
        <f>"10001"</f>
        <v>10001</v>
      </c>
      <c r="B1493" s="14" t="str">
        <f>"01330"</f>
        <v>01330</v>
      </c>
      <c r="C1493" s="14" t="str">
        <f>"1100"</f>
        <v>1100</v>
      </c>
      <c r="D1493" s="14" t="str">
        <f>"01330"</f>
        <v>01330</v>
      </c>
      <c r="E1493" s="14" t="s">
        <v>20</v>
      </c>
      <c r="F1493" s="14" t="s">
        <v>105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106</v>
      </c>
      <c r="L1493" s="14" t="s">
        <v>48</v>
      </c>
      <c r="M1493" s="14" t="s">
        <v>97</v>
      </c>
      <c r="N1493" s="14" t="s">
        <v>98</v>
      </c>
      <c r="P1493" s="14" t="s">
        <v>39</v>
      </c>
      <c r="Q1493" s="14" t="s">
        <v>25</v>
      </c>
      <c r="R1493" s="14" t="s">
        <v>49</v>
      </c>
    </row>
    <row r="1494" spans="1:18" s="14" customFormat="1" x14ac:dyDescent="0.25">
      <c r="A1494" s="14" t="str">
        <f>"10001"</f>
        <v>10001</v>
      </c>
      <c r="B1494" s="14" t="str">
        <f>"01341"</f>
        <v>01341</v>
      </c>
      <c r="C1494" s="14" t="str">
        <f>"1100"</f>
        <v>1100</v>
      </c>
      <c r="D1494" s="14" t="str">
        <f>"01341"</f>
        <v>01341</v>
      </c>
      <c r="E1494" s="14" t="s">
        <v>20</v>
      </c>
      <c r="F1494" s="14" t="s">
        <v>107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48</v>
      </c>
      <c r="L1494" s="14" t="s">
        <v>97</v>
      </c>
      <c r="M1494" s="14" t="s">
        <v>98</v>
      </c>
      <c r="P1494" s="14" t="s">
        <v>39</v>
      </c>
      <c r="Q1494" s="14" t="s">
        <v>25</v>
      </c>
      <c r="R1494" s="14" t="s">
        <v>49</v>
      </c>
    </row>
    <row r="1495" spans="1:18" s="14" customFormat="1" x14ac:dyDescent="0.25">
      <c r="A1495" s="14" t="str">
        <f>"10001"</f>
        <v>10001</v>
      </c>
      <c r="B1495" s="14" t="str">
        <f>"01660"</f>
        <v>01660</v>
      </c>
      <c r="C1495" s="14" t="str">
        <f>"1300"</f>
        <v>1300</v>
      </c>
      <c r="D1495" s="14" t="str">
        <f>"01660"</f>
        <v>01660</v>
      </c>
      <c r="E1495" s="14" t="s">
        <v>20</v>
      </c>
      <c r="F1495" s="14" t="s">
        <v>145</v>
      </c>
      <c r="G1495" s="14" t="str">
        <f>""</f>
        <v/>
      </c>
      <c r="H1495" s="14" t="str">
        <f>" 10"</f>
        <v xml:space="preserve"> 10</v>
      </c>
      <c r="I1495" s="14">
        <v>0.01</v>
      </c>
      <c r="J1495" s="14">
        <v>500</v>
      </c>
      <c r="K1495" s="14" t="s">
        <v>146</v>
      </c>
      <c r="L1495" s="14" t="s">
        <v>147</v>
      </c>
      <c r="P1495" s="14" t="s">
        <v>39</v>
      </c>
      <c r="Q1495" s="14" t="s">
        <v>25</v>
      </c>
      <c r="R1495" s="14" t="s">
        <v>146</v>
      </c>
    </row>
    <row r="1496" spans="1:18" s="14" customFormat="1" x14ac:dyDescent="0.25">
      <c r="A1496" s="14" t="str">
        <f>"10001"</f>
        <v>10001</v>
      </c>
      <c r="B1496" s="14" t="str">
        <f>"01660"</f>
        <v>01660</v>
      </c>
      <c r="C1496" s="14" t="str">
        <f>"1300"</f>
        <v>1300</v>
      </c>
      <c r="D1496" s="14" t="str">
        <f>"01660"</f>
        <v>01660</v>
      </c>
      <c r="E1496" s="14" t="s">
        <v>20</v>
      </c>
      <c r="F1496" s="14" t="s">
        <v>145</v>
      </c>
      <c r="G1496" s="14" t="str">
        <f>""</f>
        <v/>
      </c>
      <c r="H1496" s="14" t="str">
        <f>" 20"</f>
        <v xml:space="preserve"> 20</v>
      </c>
      <c r="I1496" s="14">
        <v>500.01</v>
      </c>
      <c r="J1496" s="14">
        <v>9999999.9900000002</v>
      </c>
      <c r="K1496" s="14" t="s">
        <v>147</v>
      </c>
      <c r="L1496" s="14" t="s">
        <v>148</v>
      </c>
      <c r="P1496" s="14" t="s">
        <v>39</v>
      </c>
      <c r="Q1496" s="14" t="s">
        <v>25</v>
      </c>
      <c r="R1496" s="14" t="s">
        <v>146</v>
      </c>
    </row>
    <row r="1497" spans="1:18" s="14" customFormat="1" x14ac:dyDescent="0.25">
      <c r="A1497" s="14" t="str">
        <f>"10001"</f>
        <v>10001</v>
      </c>
      <c r="B1497" s="14" t="str">
        <f>"01670"</f>
        <v>01670</v>
      </c>
      <c r="C1497" s="14" t="str">
        <f>"1100"</f>
        <v>1100</v>
      </c>
      <c r="D1497" s="14" t="str">
        <f>"01670"</f>
        <v>01670</v>
      </c>
      <c r="E1497" s="14" t="s">
        <v>20</v>
      </c>
      <c r="F1497" s="14" t="s">
        <v>151</v>
      </c>
      <c r="G1497" s="14" t="str">
        <f>""</f>
        <v/>
      </c>
      <c r="H1497" s="14" t="str">
        <f>" 10"</f>
        <v xml:space="preserve"> 10</v>
      </c>
      <c r="I1497" s="14">
        <v>0.01</v>
      </c>
      <c r="J1497" s="14">
        <v>500</v>
      </c>
      <c r="K1497" s="14" t="s">
        <v>146</v>
      </c>
      <c r="L1497" s="14" t="s">
        <v>147</v>
      </c>
      <c r="P1497" s="14" t="s">
        <v>39</v>
      </c>
      <c r="Q1497" s="14" t="s">
        <v>25</v>
      </c>
      <c r="R1497" s="14" t="s">
        <v>146</v>
      </c>
    </row>
    <row r="1498" spans="1:18" s="14" customFormat="1" x14ac:dyDescent="0.25">
      <c r="A1498" s="14" t="str">
        <f>"10001"</f>
        <v>10001</v>
      </c>
      <c r="B1498" s="14" t="str">
        <f>"01670"</f>
        <v>01670</v>
      </c>
      <c r="C1498" s="14" t="str">
        <f>"1100"</f>
        <v>1100</v>
      </c>
      <c r="D1498" s="14" t="str">
        <f>"01670"</f>
        <v>01670</v>
      </c>
      <c r="E1498" s="14" t="s">
        <v>20</v>
      </c>
      <c r="F1498" s="14" t="s">
        <v>151</v>
      </c>
      <c r="G1498" s="14" t="str">
        <f>""</f>
        <v/>
      </c>
      <c r="H1498" s="14" t="str">
        <f>" 20"</f>
        <v xml:space="preserve"> 20</v>
      </c>
      <c r="I1498" s="14">
        <v>500.01</v>
      </c>
      <c r="J1498" s="14">
        <v>9999999.9900000002</v>
      </c>
      <c r="K1498" s="14" t="s">
        <v>147</v>
      </c>
      <c r="L1498" s="14" t="s">
        <v>148</v>
      </c>
      <c r="P1498" s="14" t="s">
        <v>39</v>
      </c>
      <c r="Q1498" s="14" t="s">
        <v>25</v>
      </c>
      <c r="R1498" s="14" t="s">
        <v>146</v>
      </c>
    </row>
    <row r="1499" spans="1:18" s="14" customFormat="1" x14ac:dyDescent="0.25">
      <c r="A1499" s="14" t="str">
        <f>"10001"</f>
        <v>10001</v>
      </c>
      <c r="B1499" s="14" t="str">
        <f>"01690"</f>
        <v>01690</v>
      </c>
      <c r="C1499" s="14" t="str">
        <f>"1100"</f>
        <v>1100</v>
      </c>
      <c r="D1499" s="14" t="str">
        <f>"01690"</f>
        <v>01690</v>
      </c>
      <c r="E1499" s="14" t="s">
        <v>20</v>
      </c>
      <c r="F1499" s="14" t="s">
        <v>152</v>
      </c>
      <c r="G1499" s="14" t="str">
        <f>""</f>
        <v/>
      </c>
      <c r="H1499" s="14" t="str">
        <f>" 10"</f>
        <v xml:space="preserve"> 10</v>
      </c>
      <c r="I1499" s="14">
        <v>0.01</v>
      </c>
      <c r="J1499" s="14">
        <v>500</v>
      </c>
      <c r="K1499" s="14" t="s">
        <v>146</v>
      </c>
      <c r="L1499" s="14" t="s">
        <v>147</v>
      </c>
      <c r="P1499" s="14" t="s">
        <v>39</v>
      </c>
      <c r="Q1499" s="14" t="s">
        <v>25</v>
      </c>
      <c r="R1499" s="14" t="s">
        <v>146</v>
      </c>
    </row>
    <row r="1500" spans="1:18" s="14" customFormat="1" x14ac:dyDescent="0.25">
      <c r="A1500" s="14" t="str">
        <f>"10001"</f>
        <v>10001</v>
      </c>
      <c r="B1500" s="14" t="str">
        <f>"01690"</f>
        <v>01690</v>
      </c>
      <c r="C1500" s="14" t="str">
        <f>"1100"</f>
        <v>1100</v>
      </c>
      <c r="D1500" s="14" t="str">
        <f>"01690"</f>
        <v>01690</v>
      </c>
      <c r="E1500" s="14" t="s">
        <v>20</v>
      </c>
      <c r="F1500" s="14" t="s">
        <v>152</v>
      </c>
      <c r="G1500" s="14" t="str">
        <f>""</f>
        <v/>
      </c>
      <c r="H1500" s="14" t="str">
        <f>" 20"</f>
        <v xml:space="preserve"> 20</v>
      </c>
      <c r="I1500" s="14">
        <v>500.01</v>
      </c>
      <c r="J1500" s="14">
        <v>9999999.9900000002</v>
      </c>
      <c r="K1500" s="14" t="s">
        <v>153</v>
      </c>
      <c r="L1500" s="14" t="s">
        <v>147</v>
      </c>
      <c r="M1500" s="14" t="s">
        <v>154</v>
      </c>
      <c r="P1500" s="14" t="s">
        <v>39</v>
      </c>
      <c r="Q1500" s="14" t="s">
        <v>25</v>
      </c>
      <c r="R1500" s="14" t="s">
        <v>146</v>
      </c>
    </row>
    <row r="1501" spans="1:18" s="14" customFormat="1" x14ac:dyDescent="0.25">
      <c r="A1501" s="14" t="str">
        <f>"10001"</f>
        <v>10001</v>
      </c>
      <c r="B1501" s="14" t="str">
        <f>"01695"</f>
        <v>01695</v>
      </c>
      <c r="C1501" s="14" t="str">
        <f>"1100"</f>
        <v>1100</v>
      </c>
      <c r="D1501" s="14" t="str">
        <f>"01695"</f>
        <v>01695</v>
      </c>
      <c r="E1501" s="14" t="s">
        <v>20</v>
      </c>
      <c r="F1501" s="14" t="s">
        <v>155</v>
      </c>
      <c r="G1501" s="14" t="str">
        <f>""</f>
        <v/>
      </c>
      <c r="H1501" s="14" t="str">
        <f>" 10"</f>
        <v xml:space="preserve"> 10</v>
      </c>
      <c r="I1501" s="14">
        <v>0.01</v>
      </c>
      <c r="J1501" s="14">
        <v>500</v>
      </c>
      <c r="K1501" s="14" t="s">
        <v>146</v>
      </c>
      <c r="L1501" s="14" t="s">
        <v>147</v>
      </c>
      <c r="M1501" s="14" t="s">
        <v>156</v>
      </c>
      <c r="P1501" s="14" t="s">
        <v>39</v>
      </c>
      <c r="Q1501" s="14" t="s">
        <v>25</v>
      </c>
      <c r="R1501" s="14" t="s">
        <v>146</v>
      </c>
    </row>
    <row r="1502" spans="1:18" s="14" customFormat="1" x14ac:dyDescent="0.25">
      <c r="A1502" s="14" t="str">
        <f>"10001"</f>
        <v>10001</v>
      </c>
      <c r="B1502" s="14" t="str">
        <f>"01695"</f>
        <v>01695</v>
      </c>
      <c r="C1502" s="14" t="str">
        <f>"1100"</f>
        <v>1100</v>
      </c>
      <c r="D1502" s="14" t="str">
        <f>"01695"</f>
        <v>01695</v>
      </c>
      <c r="E1502" s="14" t="s">
        <v>20</v>
      </c>
      <c r="F1502" s="14" t="s">
        <v>155</v>
      </c>
      <c r="G1502" s="14" t="str">
        <f>""</f>
        <v/>
      </c>
      <c r="H1502" s="14" t="str">
        <f>" 20"</f>
        <v xml:space="preserve"> 20</v>
      </c>
      <c r="I1502" s="14">
        <v>500.01</v>
      </c>
      <c r="J1502" s="14">
        <v>9999999.9900000002</v>
      </c>
      <c r="K1502" s="14" t="s">
        <v>156</v>
      </c>
      <c r="L1502" s="14" t="s">
        <v>147</v>
      </c>
      <c r="M1502" s="14" t="s">
        <v>154</v>
      </c>
      <c r="P1502" s="14" t="s">
        <v>39</v>
      </c>
      <c r="Q1502" s="14" t="s">
        <v>25</v>
      </c>
      <c r="R1502" s="14" t="s">
        <v>146</v>
      </c>
    </row>
    <row r="1503" spans="1:18" s="14" customFormat="1" x14ac:dyDescent="0.25">
      <c r="A1503" s="14" t="str">
        <f>"10001"</f>
        <v>10001</v>
      </c>
      <c r="B1503" s="14" t="str">
        <f>"01700"</f>
        <v>01700</v>
      </c>
      <c r="C1503" s="14" t="str">
        <f>"1100"</f>
        <v>1100</v>
      </c>
      <c r="D1503" s="14" t="str">
        <f>"01700"</f>
        <v>01700</v>
      </c>
      <c r="E1503" s="14" t="s">
        <v>20</v>
      </c>
      <c r="F1503" s="14" t="s">
        <v>157</v>
      </c>
      <c r="G1503" s="14" t="str">
        <f>""</f>
        <v/>
      </c>
      <c r="H1503" s="14" t="str">
        <f>" 10"</f>
        <v xml:space="preserve"> 10</v>
      </c>
      <c r="I1503" s="14">
        <v>0.01</v>
      </c>
      <c r="J1503" s="14">
        <v>500</v>
      </c>
      <c r="K1503" s="14" t="s">
        <v>146</v>
      </c>
      <c r="L1503" s="14" t="s">
        <v>147</v>
      </c>
      <c r="P1503" s="14" t="s">
        <v>39</v>
      </c>
      <c r="Q1503" s="14" t="s">
        <v>25</v>
      </c>
      <c r="R1503" s="14" t="s">
        <v>146</v>
      </c>
    </row>
    <row r="1504" spans="1:18" s="14" customFormat="1" x14ac:dyDescent="0.25">
      <c r="A1504" s="14" t="str">
        <f>"10001"</f>
        <v>10001</v>
      </c>
      <c r="B1504" s="14" t="str">
        <f>"01700"</f>
        <v>01700</v>
      </c>
      <c r="C1504" s="14" t="str">
        <f>"1100"</f>
        <v>1100</v>
      </c>
      <c r="D1504" s="14" t="str">
        <f>"01700"</f>
        <v>01700</v>
      </c>
      <c r="E1504" s="14" t="s">
        <v>20</v>
      </c>
      <c r="F1504" s="14" t="s">
        <v>157</v>
      </c>
      <c r="G1504" s="14" t="str">
        <f>""</f>
        <v/>
      </c>
      <c r="H1504" s="14" t="str">
        <f>" 20"</f>
        <v xml:space="preserve"> 20</v>
      </c>
      <c r="I1504" s="14">
        <v>500.01</v>
      </c>
      <c r="J1504" s="14">
        <v>9999999.9900000002</v>
      </c>
      <c r="K1504" s="14" t="s">
        <v>158</v>
      </c>
      <c r="L1504" s="14" t="s">
        <v>147</v>
      </c>
      <c r="M1504" s="14" t="s">
        <v>154</v>
      </c>
      <c r="P1504" s="14" t="s">
        <v>39</v>
      </c>
      <c r="Q1504" s="14" t="s">
        <v>25</v>
      </c>
      <c r="R1504" s="14" t="s">
        <v>146</v>
      </c>
    </row>
    <row r="1505" spans="1:18" s="14" customFormat="1" x14ac:dyDescent="0.25">
      <c r="A1505" s="14" t="str">
        <f>"10001"</f>
        <v>10001</v>
      </c>
      <c r="B1505" s="14" t="str">
        <f>"01705"</f>
        <v>01705</v>
      </c>
      <c r="C1505" s="14" t="str">
        <f>"1100"</f>
        <v>1100</v>
      </c>
      <c r="D1505" s="14" t="str">
        <f>"01705"</f>
        <v>01705</v>
      </c>
      <c r="E1505" s="14" t="s">
        <v>20</v>
      </c>
      <c r="F1505" s="14" t="s">
        <v>159</v>
      </c>
      <c r="G1505" s="14" t="str">
        <f>""</f>
        <v/>
      </c>
      <c r="H1505" s="14" t="str">
        <f>" 10"</f>
        <v xml:space="preserve"> 10</v>
      </c>
      <c r="I1505" s="14">
        <v>0.01</v>
      </c>
      <c r="J1505" s="14">
        <v>500</v>
      </c>
      <c r="K1505" s="14" t="s">
        <v>146</v>
      </c>
      <c r="L1505" s="14" t="s">
        <v>147</v>
      </c>
      <c r="P1505" s="14" t="s">
        <v>39</v>
      </c>
      <c r="Q1505" s="14" t="s">
        <v>25</v>
      </c>
      <c r="R1505" s="14" t="s">
        <v>146</v>
      </c>
    </row>
    <row r="1506" spans="1:18" s="14" customFormat="1" x14ac:dyDescent="0.25">
      <c r="A1506" s="14" t="str">
        <f>"10001"</f>
        <v>10001</v>
      </c>
      <c r="B1506" s="14" t="str">
        <f>"01705"</f>
        <v>01705</v>
      </c>
      <c r="C1506" s="14" t="str">
        <f>"1100"</f>
        <v>1100</v>
      </c>
      <c r="D1506" s="14" t="str">
        <f>"01705"</f>
        <v>01705</v>
      </c>
      <c r="E1506" s="14" t="s">
        <v>20</v>
      </c>
      <c r="F1506" s="14" t="s">
        <v>159</v>
      </c>
      <c r="G1506" s="14" t="str">
        <f>""</f>
        <v/>
      </c>
      <c r="H1506" s="14" t="str">
        <f>" 20"</f>
        <v xml:space="preserve"> 20</v>
      </c>
      <c r="I1506" s="14">
        <v>500.01</v>
      </c>
      <c r="J1506" s="14">
        <v>9999999.9900000002</v>
      </c>
      <c r="K1506" s="14" t="s">
        <v>147</v>
      </c>
      <c r="L1506" s="14" t="s">
        <v>154</v>
      </c>
      <c r="M1506" s="14" t="s">
        <v>160</v>
      </c>
      <c r="P1506" s="14" t="s">
        <v>39</v>
      </c>
      <c r="Q1506" s="14" t="s">
        <v>25</v>
      </c>
      <c r="R1506" s="14" t="s">
        <v>146</v>
      </c>
    </row>
    <row r="1507" spans="1:18" s="14" customFormat="1" x14ac:dyDescent="0.25">
      <c r="A1507" s="14" t="str">
        <f>"10001"</f>
        <v>10001</v>
      </c>
      <c r="B1507" s="14" t="str">
        <f>"01710"</f>
        <v>01710</v>
      </c>
      <c r="C1507" s="14" t="str">
        <f>"1100"</f>
        <v>1100</v>
      </c>
      <c r="D1507" s="14" t="str">
        <f>"01710"</f>
        <v>01710</v>
      </c>
      <c r="E1507" s="14" t="s">
        <v>20</v>
      </c>
      <c r="F1507" s="14" t="s">
        <v>161</v>
      </c>
      <c r="G1507" s="14" t="str">
        <f>""</f>
        <v/>
      </c>
      <c r="H1507" s="14" t="str">
        <f>" 10"</f>
        <v xml:space="preserve"> 10</v>
      </c>
      <c r="I1507" s="14">
        <v>0.01</v>
      </c>
      <c r="J1507" s="14">
        <v>500</v>
      </c>
      <c r="K1507" s="14" t="s">
        <v>146</v>
      </c>
      <c r="L1507" s="14" t="s">
        <v>162</v>
      </c>
      <c r="P1507" s="14" t="s">
        <v>39</v>
      </c>
      <c r="Q1507" s="14" t="s">
        <v>25</v>
      </c>
      <c r="R1507" s="14" t="s">
        <v>146</v>
      </c>
    </row>
    <row r="1508" spans="1:18" s="14" customFormat="1" x14ac:dyDescent="0.25">
      <c r="A1508" s="14" t="str">
        <f>"10001"</f>
        <v>10001</v>
      </c>
      <c r="B1508" s="14" t="str">
        <f>"01710"</f>
        <v>01710</v>
      </c>
      <c r="C1508" s="14" t="str">
        <f>"1100"</f>
        <v>1100</v>
      </c>
      <c r="D1508" s="14" t="str">
        <f>"01710"</f>
        <v>01710</v>
      </c>
      <c r="E1508" s="14" t="s">
        <v>20</v>
      </c>
      <c r="F1508" s="14" t="s">
        <v>161</v>
      </c>
      <c r="G1508" s="14" t="str">
        <f>""</f>
        <v/>
      </c>
      <c r="H1508" s="14" t="str">
        <f>" 20"</f>
        <v xml:space="preserve"> 20</v>
      </c>
      <c r="I1508" s="14">
        <v>500.01</v>
      </c>
      <c r="J1508" s="14">
        <v>9999999.9900000002</v>
      </c>
      <c r="K1508" s="14" t="s">
        <v>162</v>
      </c>
      <c r="L1508" s="14" t="s">
        <v>147</v>
      </c>
      <c r="M1508" s="14" t="s">
        <v>154</v>
      </c>
      <c r="P1508" s="14" t="s">
        <v>39</v>
      </c>
      <c r="Q1508" s="14" t="s">
        <v>25</v>
      </c>
      <c r="R1508" s="14" t="s">
        <v>146</v>
      </c>
    </row>
    <row r="1509" spans="1:18" s="14" customFormat="1" x14ac:dyDescent="0.25">
      <c r="A1509" s="14" t="str">
        <f>"10001"</f>
        <v>10001</v>
      </c>
      <c r="B1509" s="14" t="str">
        <f>"01720"</f>
        <v>01720</v>
      </c>
      <c r="C1509" s="14" t="str">
        <f>"1100"</f>
        <v>1100</v>
      </c>
      <c r="D1509" s="14" t="str">
        <f>"01720"</f>
        <v>01720</v>
      </c>
      <c r="E1509" s="14" t="s">
        <v>20</v>
      </c>
      <c r="F1509" s="14" t="s">
        <v>163</v>
      </c>
      <c r="G1509" s="14" t="str">
        <f>""</f>
        <v/>
      </c>
      <c r="H1509" s="14" t="str">
        <f>" 10"</f>
        <v xml:space="preserve"> 10</v>
      </c>
      <c r="I1509" s="14">
        <v>0.01</v>
      </c>
      <c r="J1509" s="14">
        <v>500</v>
      </c>
      <c r="K1509" s="14" t="s">
        <v>146</v>
      </c>
      <c r="L1509" s="14" t="s">
        <v>147</v>
      </c>
      <c r="P1509" s="14" t="s">
        <v>39</v>
      </c>
      <c r="Q1509" s="14" t="s">
        <v>25</v>
      </c>
      <c r="R1509" s="14" t="s">
        <v>146</v>
      </c>
    </row>
    <row r="1510" spans="1:18" s="14" customFormat="1" x14ac:dyDescent="0.25">
      <c r="A1510" s="14" t="str">
        <f>"10001"</f>
        <v>10001</v>
      </c>
      <c r="B1510" s="14" t="str">
        <f>"01720"</f>
        <v>01720</v>
      </c>
      <c r="C1510" s="14" t="str">
        <f>"1100"</f>
        <v>1100</v>
      </c>
      <c r="D1510" s="14" t="str">
        <f>"01720"</f>
        <v>01720</v>
      </c>
      <c r="E1510" s="14" t="s">
        <v>20</v>
      </c>
      <c r="F1510" s="14" t="s">
        <v>163</v>
      </c>
      <c r="G1510" s="14" t="str">
        <f>""</f>
        <v/>
      </c>
      <c r="H1510" s="14" t="str">
        <f>" 20"</f>
        <v xml:space="preserve"> 20</v>
      </c>
      <c r="I1510" s="14">
        <v>500.01</v>
      </c>
      <c r="J1510" s="14">
        <v>9999999.9900000002</v>
      </c>
      <c r="K1510" s="14" t="s">
        <v>164</v>
      </c>
      <c r="L1510" s="14" t="s">
        <v>147</v>
      </c>
      <c r="M1510" s="14" t="s">
        <v>154</v>
      </c>
      <c r="P1510" s="14" t="s">
        <v>39</v>
      </c>
      <c r="Q1510" s="14" t="s">
        <v>25</v>
      </c>
      <c r="R1510" s="14" t="s">
        <v>146</v>
      </c>
    </row>
    <row r="1511" spans="1:18" s="14" customFormat="1" x14ac:dyDescent="0.25">
      <c r="A1511" s="14" t="str">
        <f>"10001"</f>
        <v>10001</v>
      </c>
      <c r="B1511" s="14" t="str">
        <f>"01730"</f>
        <v>01730</v>
      </c>
      <c r="C1511" s="14" t="str">
        <f>"1100"</f>
        <v>1100</v>
      </c>
      <c r="D1511" s="14" t="str">
        <f>"01730"</f>
        <v>01730</v>
      </c>
      <c r="E1511" s="14" t="s">
        <v>20</v>
      </c>
      <c r="F1511" s="14" t="s">
        <v>165</v>
      </c>
      <c r="G1511" s="14" t="str">
        <f>""</f>
        <v/>
      </c>
      <c r="H1511" s="14" t="str">
        <f>" 10"</f>
        <v xml:space="preserve"> 10</v>
      </c>
      <c r="I1511" s="14">
        <v>0.01</v>
      </c>
      <c r="J1511" s="14">
        <v>500</v>
      </c>
      <c r="K1511" s="14" t="s">
        <v>147</v>
      </c>
      <c r="L1511" s="14" t="s">
        <v>146</v>
      </c>
      <c r="P1511" s="14" t="s">
        <v>39</v>
      </c>
      <c r="Q1511" s="14" t="s">
        <v>25</v>
      </c>
      <c r="R1511" s="14" t="s">
        <v>146</v>
      </c>
    </row>
    <row r="1512" spans="1:18" s="14" customFormat="1" x14ac:dyDescent="0.25">
      <c r="A1512" s="14" t="str">
        <f>"10001"</f>
        <v>10001</v>
      </c>
      <c r="B1512" s="14" t="str">
        <f>"01730"</f>
        <v>01730</v>
      </c>
      <c r="C1512" s="14" t="str">
        <f>"1100"</f>
        <v>1100</v>
      </c>
      <c r="D1512" s="14" t="str">
        <f>"01730"</f>
        <v>01730</v>
      </c>
      <c r="E1512" s="14" t="s">
        <v>20</v>
      </c>
      <c r="F1512" s="14" t="s">
        <v>165</v>
      </c>
      <c r="G1512" s="14" t="str">
        <f>""</f>
        <v/>
      </c>
      <c r="H1512" s="14" t="str">
        <f>" 20"</f>
        <v xml:space="preserve"> 20</v>
      </c>
      <c r="I1512" s="14">
        <v>500.01</v>
      </c>
      <c r="J1512" s="14">
        <v>9999999.9900000002</v>
      </c>
      <c r="K1512" s="14" t="s">
        <v>154</v>
      </c>
      <c r="L1512" s="14" t="s">
        <v>147</v>
      </c>
      <c r="M1512" s="14" t="s">
        <v>166</v>
      </c>
      <c r="P1512" s="14" t="s">
        <v>39</v>
      </c>
      <c r="Q1512" s="14" t="s">
        <v>25</v>
      </c>
      <c r="R1512" s="14" t="s">
        <v>146</v>
      </c>
    </row>
    <row r="1513" spans="1:18" s="14" customFormat="1" x14ac:dyDescent="0.25">
      <c r="A1513" s="14" t="str">
        <f>"10001"</f>
        <v>10001</v>
      </c>
      <c r="B1513" s="14" t="str">
        <f>"01750"</f>
        <v>01750</v>
      </c>
      <c r="C1513" s="14" t="str">
        <f>"1100"</f>
        <v>1100</v>
      </c>
      <c r="D1513" s="14" t="str">
        <f>"01750"</f>
        <v>01750</v>
      </c>
      <c r="E1513" s="14" t="s">
        <v>20</v>
      </c>
      <c r="F1513" s="14" t="s">
        <v>167</v>
      </c>
      <c r="G1513" s="14" t="str">
        <f>""</f>
        <v/>
      </c>
      <c r="H1513" s="14" t="str">
        <f>" 10"</f>
        <v xml:space="preserve"> 10</v>
      </c>
      <c r="I1513" s="14">
        <v>0.01</v>
      </c>
      <c r="J1513" s="14">
        <v>500</v>
      </c>
      <c r="K1513" s="14" t="s">
        <v>147</v>
      </c>
      <c r="L1513" s="14" t="s">
        <v>146</v>
      </c>
      <c r="P1513" s="14" t="s">
        <v>39</v>
      </c>
      <c r="Q1513" s="14" t="s">
        <v>25</v>
      </c>
      <c r="R1513" s="14" t="s">
        <v>146</v>
      </c>
    </row>
    <row r="1514" spans="1:18" s="14" customFormat="1" x14ac:dyDescent="0.25">
      <c r="A1514" s="14" t="str">
        <f>"10001"</f>
        <v>10001</v>
      </c>
      <c r="B1514" s="14" t="str">
        <f>"01750"</f>
        <v>01750</v>
      </c>
      <c r="C1514" s="14" t="str">
        <f>"1100"</f>
        <v>1100</v>
      </c>
      <c r="D1514" s="14" t="str">
        <f>"01750"</f>
        <v>01750</v>
      </c>
      <c r="E1514" s="14" t="s">
        <v>20</v>
      </c>
      <c r="F1514" s="14" t="s">
        <v>167</v>
      </c>
      <c r="G1514" s="14" t="str">
        <f>""</f>
        <v/>
      </c>
      <c r="H1514" s="14" t="str">
        <f>" 20"</f>
        <v xml:space="preserve"> 20</v>
      </c>
      <c r="I1514" s="14">
        <v>500.01</v>
      </c>
      <c r="J1514" s="14">
        <v>9999999.9900000002</v>
      </c>
      <c r="K1514" s="14" t="s">
        <v>154</v>
      </c>
      <c r="L1514" s="14" t="s">
        <v>147</v>
      </c>
      <c r="M1514" s="14" t="s">
        <v>166</v>
      </c>
      <c r="P1514" s="14" t="s">
        <v>39</v>
      </c>
      <c r="Q1514" s="14" t="s">
        <v>25</v>
      </c>
      <c r="R1514" s="14" t="s">
        <v>146</v>
      </c>
    </row>
    <row r="1515" spans="1:18" s="14" customFormat="1" x14ac:dyDescent="0.25">
      <c r="A1515" s="14" t="str">
        <f>"10001"</f>
        <v>10001</v>
      </c>
      <c r="B1515" s="14" t="str">
        <f>"01760"</f>
        <v>01760</v>
      </c>
      <c r="C1515" s="14" t="str">
        <f>"1100"</f>
        <v>1100</v>
      </c>
      <c r="D1515" s="14" t="str">
        <f>"01760"</f>
        <v>01760</v>
      </c>
      <c r="E1515" s="14" t="s">
        <v>20</v>
      </c>
      <c r="F1515" s="14" t="s">
        <v>168</v>
      </c>
      <c r="G1515" s="14" t="str">
        <f>""</f>
        <v/>
      </c>
      <c r="H1515" s="14" t="str">
        <f>" 10"</f>
        <v xml:space="preserve"> 10</v>
      </c>
      <c r="I1515" s="14">
        <v>0.01</v>
      </c>
      <c r="J1515" s="14">
        <v>500</v>
      </c>
      <c r="K1515" s="14" t="s">
        <v>146</v>
      </c>
      <c r="L1515" s="14" t="s">
        <v>147</v>
      </c>
      <c r="P1515" s="14" t="s">
        <v>39</v>
      </c>
      <c r="Q1515" s="14" t="s">
        <v>25</v>
      </c>
      <c r="R1515" s="14" t="s">
        <v>146</v>
      </c>
    </row>
    <row r="1516" spans="1:18" s="14" customFormat="1" x14ac:dyDescent="0.25">
      <c r="A1516" s="14" t="str">
        <f>"10001"</f>
        <v>10001</v>
      </c>
      <c r="B1516" s="14" t="str">
        <f>"01760"</f>
        <v>01760</v>
      </c>
      <c r="C1516" s="14" t="str">
        <f>"1100"</f>
        <v>1100</v>
      </c>
      <c r="D1516" s="14" t="str">
        <f>"01760"</f>
        <v>01760</v>
      </c>
      <c r="E1516" s="14" t="s">
        <v>20</v>
      </c>
      <c r="F1516" s="14" t="s">
        <v>168</v>
      </c>
      <c r="G1516" s="14" t="str">
        <f>""</f>
        <v/>
      </c>
      <c r="H1516" s="14" t="str">
        <f>" 20"</f>
        <v xml:space="preserve"> 20</v>
      </c>
      <c r="I1516" s="14">
        <v>500.01</v>
      </c>
      <c r="J1516" s="14">
        <v>9999999.9900000002</v>
      </c>
      <c r="K1516" s="14" t="s">
        <v>169</v>
      </c>
      <c r="L1516" s="14" t="s">
        <v>147</v>
      </c>
      <c r="M1516" s="14" t="s">
        <v>154</v>
      </c>
      <c r="P1516" s="14" t="s">
        <v>39</v>
      </c>
      <c r="Q1516" s="14" t="s">
        <v>25</v>
      </c>
      <c r="R1516" s="14" t="s">
        <v>146</v>
      </c>
    </row>
    <row r="1517" spans="1:18" s="14" customFormat="1" x14ac:dyDescent="0.25">
      <c r="A1517" s="14" t="str">
        <f>"10001"</f>
        <v>10001</v>
      </c>
      <c r="B1517" s="14" t="str">
        <f>"01765"</f>
        <v>01765</v>
      </c>
      <c r="C1517" s="14" t="str">
        <f>"1100"</f>
        <v>1100</v>
      </c>
      <c r="D1517" s="14" t="str">
        <f>"01765"</f>
        <v>01765</v>
      </c>
      <c r="E1517" s="14" t="s">
        <v>20</v>
      </c>
      <c r="F1517" s="14" t="s">
        <v>170</v>
      </c>
      <c r="G1517" s="14" t="str">
        <f>""</f>
        <v/>
      </c>
      <c r="H1517" s="14" t="str">
        <f>" 10"</f>
        <v xml:space="preserve"> 10</v>
      </c>
      <c r="I1517" s="14">
        <v>0.01</v>
      </c>
      <c r="J1517" s="14">
        <v>500</v>
      </c>
      <c r="K1517" s="14" t="s">
        <v>146</v>
      </c>
      <c r="L1517" s="14" t="s">
        <v>147</v>
      </c>
      <c r="P1517" s="14" t="s">
        <v>39</v>
      </c>
      <c r="Q1517" s="14" t="s">
        <v>25</v>
      </c>
      <c r="R1517" s="14" t="s">
        <v>146</v>
      </c>
    </row>
    <row r="1518" spans="1:18" s="14" customFormat="1" x14ac:dyDescent="0.25">
      <c r="A1518" s="14" t="str">
        <f>"10001"</f>
        <v>10001</v>
      </c>
      <c r="B1518" s="14" t="str">
        <f>"01765"</f>
        <v>01765</v>
      </c>
      <c r="C1518" s="14" t="str">
        <f>"1100"</f>
        <v>1100</v>
      </c>
      <c r="D1518" s="14" t="str">
        <f>"01765"</f>
        <v>01765</v>
      </c>
      <c r="E1518" s="14" t="s">
        <v>20</v>
      </c>
      <c r="F1518" s="14" t="s">
        <v>170</v>
      </c>
      <c r="G1518" s="14" t="str">
        <f>""</f>
        <v/>
      </c>
      <c r="H1518" s="14" t="str">
        <f>" 20"</f>
        <v xml:space="preserve"> 20</v>
      </c>
      <c r="I1518" s="14">
        <v>500.01</v>
      </c>
      <c r="J1518" s="14">
        <v>9999999.9900000002</v>
      </c>
      <c r="K1518" s="14" t="s">
        <v>171</v>
      </c>
      <c r="L1518" s="14" t="s">
        <v>147</v>
      </c>
      <c r="M1518" s="14" t="s">
        <v>154</v>
      </c>
      <c r="P1518" s="14" t="s">
        <v>39</v>
      </c>
      <c r="Q1518" s="14" t="s">
        <v>25</v>
      </c>
      <c r="R1518" s="14" t="s">
        <v>146</v>
      </c>
    </row>
    <row r="1519" spans="1:18" s="14" customFormat="1" x14ac:dyDescent="0.25">
      <c r="A1519" s="14" t="str">
        <f>"10001"</f>
        <v>10001</v>
      </c>
      <c r="B1519" s="14" t="str">
        <f>"01770"</f>
        <v>01770</v>
      </c>
      <c r="C1519" s="14" t="str">
        <f>"1100"</f>
        <v>1100</v>
      </c>
      <c r="D1519" s="14" t="str">
        <f>"01770"</f>
        <v>01770</v>
      </c>
      <c r="E1519" s="14" t="s">
        <v>20</v>
      </c>
      <c r="F1519" s="14" t="s">
        <v>172</v>
      </c>
      <c r="G1519" s="14" t="str">
        <f>""</f>
        <v/>
      </c>
      <c r="H1519" s="14" t="str">
        <f>" 10"</f>
        <v xml:space="preserve"> 10</v>
      </c>
      <c r="I1519" s="14">
        <v>0.01</v>
      </c>
      <c r="J1519" s="14">
        <v>500</v>
      </c>
      <c r="K1519" s="14" t="s">
        <v>146</v>
      </c>
      <c r="L1519" s="14" t="s">
        <v>147</v>
      </c>
      <c r="P1519" s="14" t="s">
        <v>39</v>
      </c>
      <c r="Q1519" s="14" t="s">
        <v>25</v>
      </c>
      <c r="R1519" s="14" t="s">
        <v>146</v>
      </c>
    </row>
    <row r="1520" spans="1:18" s="14" customFormat="1" x14ac:dyDescent="0.25">
      <c r="A1520" s="14" t="str">
        <f>"10001"</f>
        <v>10001</v>
      </c>
      <c r="B1520" s="14" t="str">
        <f>"01770"</f>
        <v>01770</v>
      </c>
      <c r="C1520" s="14" t="str">
        <f>"1100"</f>
        <v>1100</v>
      </c>
      <c r="D1520" s="14" t="str">
        <f>"01770"</f>
        <v>01770</v>
      </c>
      <c r="E1520" s="14" t="s">
        <v>20</v>
      </c>
      <c r="F1520" s="14" t="s">
        <v>172</v>
      </c>
      <c r="G1520" s="14" t="str">
        <f>""</f>
        <v/>
      </c>
      <c r="H1520" s="14" t="str">
        <f>" 20"</f>
        <v xml:space="preserve"> 20</v>
      </c>
      <c r="I1520" s="14">
        <v>500.01</v>
      </c>
      <c r="J1520" s="14">
        <v>9999999.9900000002</v>
      </c>
      <c r="K1520" s="14" t="s">
        <v>173</v>
      </c>
      <c r="L1520" s="14" t="s">
        <v>147</v>
      </c>
      <c r="M1520" s="14" t="s">
        <v>154</v>
      </c>
      <c r="P1520" s="14" t="s">
        <v>39</v>
      </c>
      <c r="Q1520" s="14" t="s">
        <v>25</v>
      </c>
      <c r="R1520" s="14" t="s">
        <v>146</v>
      </c>
    </row>
    <row r="1521" spans="1:18" s="14" customFormat="1" x14ac:dyDescent="0.25">
      <c r="A1521" s="14" t="str">
        <f>"10001"</f>
        <v>10001</v>
      </c>
      <c r="B1521" s="14" t="str">
        <f>"01775"</f>
        <v>01775</v>
      </c>
      <c r="C1521" s="14" t="str">
        <f>"1100"</f>
        <v>1100</v>
      </c>
      <c r="D1521" s="14" t="str">
        <f>"01775"</f>
        <v>01775</v>
      </c>
      <c r="E1521" s="14" t="s">
        <v>20</v>
      </c>
      <c r="F1521" s="14" t="s">
        <v>174</v>
      </c>
      <c r="G1521" s="14" t="str">
        <f>""</f>
        <v/>
      </c>
      <c r="H1521" s="14" t="str">
        <f>" 10"</f>
        <v xml:space="preserve"> 10</v>
      </c>
      <c r="I1521" s="14">
        <v>0.01</v>
      </c>
      <c r="J1521" s="14">
        <v>500</v>
      </c>
      <c r="K1521" s="14" t="s">
        <v>146</v>
      </c>
      <c r="L1521" s="14" t="s">
        <v>147</v>
      </c>
      <c r="P1521" s="14" t="s">
        <v>39</v>
      </c>
      <c r="Q1521" s="14" t="s">
        <v>25</v>
      </c>
      <c r="R1521" s="14" t="s">
        <v>146</v>
      </c>
    </row>
    <row r="1522" spans="1:18" s="14" customFormat="1" x14ac:dyDescent="0.25">
      <c r="A1522" s="14" t="str">
        <f>"10001"</f>
        <v>10001</v>
      </c>
      <c r="B1522" s="14" t="str">
        <f>"01775"</f>
        <v>01775</v>
      </c>
      <c r="C1522" s="14" t="str">
        <f>"1100"</f>
        <v>1100</v>
      </c>
      <c r="D1522" s="14" t="str">
        <f>"01775"</f>
        <v>01775</v>
      </c>
      <c r="E1522" s="14" t="s">
        <v>20</v>
      </c>
      <c r="F1522" s="14" t="s">
        <v>174</v>
      </c>
      <c r="G1522" s="14" t="str">
        <f>""</f>
        <v/>
      </c>
      <c r="H1522" s="14" t="str">
        <f>" 20"</f>
        <v xml:space="preserve"> 20</v>
      </c>
      <c r="I1522" s="14">
        <v>500.01</v>
      </c>
      <c r="J1522" s="14">
        <v>9999999.9900000002</v>
      </c>
      <c r="K1522" s="14" t="s">
        <v>147</v>
      </c>
      <c r="L1522" s="14" t="s">
        <v>154</v>
      </c>
      <c r="P1522" s="14" t="s">
        <v>39</v>
      </c>
      <c r="Q1522" s="14" t="s">
        <v>25</v>
      </c>
      <c r="R1522" s="14" t="s">
        <v>146</v>
      </c>
    </row>
    <row r="1523" spans="1:18" s="14" customFormat="1" x14ac:dyDescent="0.25">
      <c r="A1523" s="14" t="str">
        <f>"10001"</f>
        <v>10001</v>
      </c>
      <c r="B1523" s="14" t="str">
        <f>"03810"</f>
        <v>03810</v>
      </c>
      <c r="C1523" s="14" t="str">
        <f>"1000"</f>
        <v>1000</v>
      </c>
      <c r="D1523" s="14" t="str">
        <f>""</f>
        <v/>
      </c>
      <c r="E1523" s="14" t="s">
        <v>20</v>
      </c>
      <c r="F1523" s="14" t="s">
        <v>311</v>
      </c>
      <c r="G1523" s="14" t="str">
        <f>""</f>
        <v/>
      </c>
      <c r="H1523" s="14" t="str">
        <f>" 00"</f>
        <v xml:space="preserve"> 00</v>
      </c>
      <c r="I1523" s="14">
        <v>0.01</v>
      </c>
      <c r="J1523" s="14">
        <v>9999999.9900000002</v>
      </c>
      <c r="K1523" s="14" t="s">
        <v>34</v>
      </c>
      <c r="P1523" s="14" t="s">
        <v>39</v>
      </c>
      <c r="Q1523" s="14" t="s">
        <v>25</v>
      </c>
      <c r="R1523" s="14" t="s">
        <v>35</v>
      </c>
    </row>
    <row r="1524" spans="1:18" s="14" customFormat="1" x14ac:dyDescent="0.25">
      <c r="A1524" s="14" t="str">
        <f>"10001"</f>
        <v>10001</v>
      </c>
      <c r="B1524" s="14" t="str">
        <f>"03810"</f>
        <v>03810</v>
      </c>
      <c r="C1524" s="14" t="str">
        <f>"1400"</f>
        <v>1400</v>
      </c>
      <c r="D1524" s="14" t="str">
        <f>"03810"</f>
        <v>03810</v>
      </c>
      <c r="E1524" s="14" t="s">
        <v>20</v>
      </c>
      <c r="F1524" s="14" t="s">
        <v>311</v>
      </c>
      <c r="G1524" s="14" t="str">
        <f>""</f>
        <v/>
      </c>
      <c r="H1524" s="14" t="str">
        <f>" 00"</f>
        <v xml:space="preserve"> 00</v>
      </c>
      <c r="I1524" s="14">
        <v>0.01</v>
      </c>
      <c r="J1524" s="14">
        <v>9999999.9900000002</v>
      </c>
      <c r="K1524" s="14" t="s">
        <v>34</v>
      </c>
      <c r="L1524" s="14" t="s">
        <v>226</v>
      </c>
      <c r="P1524" s="14" t="s">
        <v>39</v>
      </c>
      <c r="Q1524" s="14" t="s">
        <v>25</v>
      </c>
      <c r="R1524" s="14" t="s">
        <v>35</v>
      </c>
    </row>
    <row r="1525" spans="1:18" s="14" customFormat="1" x14ac:dyDescent="0.25">
      <c r="A1525" s="14" t="str">
        <f>"10001"</f>
        <v>10001</v>
      </c>
      <c r="B1525" s="14" t="str">
        <f>"03885"</f>
        <v>03885</v>
      </c>
      <c r="C1525" s="14" t="str">
        <f>"1700"</f>
        <v>1700</v>
      </c>
      <c r="D1525" s="14" t="str">
        <f>""</f>
        <v/>
      </c>
      <c r="E1525" s="14" t="s">
        <v>20</v>
      </c>
      <c r="F1525" s="14" t="s">
        <v>1920</v>
      </c>
      <c r="G1525" s="14" t="str">
        <f>""</f>
        <v/>
      </c>
      <c r="H1525" s="14" t="str">
        <f>" 00"</f>
        <v xml:space="preserve"> 00</v>
      </c>
      <c r="I1525" s="14">
        <v>0.01</v>
      </c>
      <c r="J1525" s="14">
        <v>9999999.9900000002</v>
      </c>
      <c r="K1525" s="14" t="s">
        <v>34</v>
      </c>
      <c r="L1525" s="14" t="s">
        <v>25</v>
      </c>
      <c r="P1525" s="14" t="s">
        <v>39</v>
      </c>
      <c r="Q1525" s="14" t="s">
        <v>25</v>
      </c>
      <c r="R1525" s="14" t="s">
        <v>25</v>
      </c>
    </row>
    <row r="1526" spans="1:18" s="14" customFormat="1" x14ac:dyDescent="0.25">
      <c r="A1526" s="14" t="str">
        <f>"10001"</f>
        <v>10001</v>
      </c>
      <c r="B1526" s="14" t="str">
        <f>"05140"</f>
        <v>05140</v>
      </c>
      <c r="C1526" s="14" t="str">
        <f>"1700"</f>
        <v>1700</v>
      </c>
      <c r="D1526" s="14" t="str">
        <f>"05140"</f>
        <v>05140</v>
      </c>
      <c r="E1526" s="14" t="s">
        <v>20</v>
      </c>
      <c r="F1526" s="14" t="s">
        <v>400</v>
      </c>
      <c r="G1526" s="14" t="str">
        <f>""</f>
        <v/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37</v>
      </c>
      <c r="L1526" s="14" t="s">
        <v>34</v>
      </c>
      <c r="P1526" s="14" t="s">
        <v>39</v>
      </c>
      <c r="Q1526" s="14" t="s">
        <v>25</v>
      </c>
      <c r="R1526" s="14" t="s">
        <v>401</v>
      </c>
    </row>
    <row r="1527" spans="1:18" s="14" customFormat="1" x14ac:dyDescent="0.25">
      <c r="A1527" s="14" t="str">
        <f>"10001"</f>
        <v>10001</v>
      </c>
      <c r="B1527" s="14" t="str">
        <f>"05150"</f>
        <v>05150</v>
      </c>
      <c r="C1527" s="14" t="str">
        <f>"1700"</f>
        <v>1700</v>
      </c>
      <c r="D1527" s="14" t="str">
        <f>"05150"</f>
        <v>05150</v>
      </c>
      <c r="E1527" s="14" t="s">
        <v>20</v>
      </c>
      <c r="F1527" s="14" t="s">
        <v>402</v>
      </c>
      <c r="G1527" s="14" t="str">
        <f>""</f>
        <v/>
      </c>
      <c r="H1527" s="14" t="str">
        <f>" 10"</f>
        <v xml:space="preserve"> 10</v>
      </c>
      <c r="I1527" s="14">
        <v>0.01</v>
      </c>
      <c r="J1527" s="14">
        <v>500</v>
      </c>
      <c r="K1527" s="14" t="s">
        <v>403</v>
      </c>
      <c r="L1527" s="14" t="s">
        <v>404</v>
      </c>
      <c r="P1527" s="14" t="s">
        <v>39</v>
      </c>
      <c r="Q1527" s="14" t="s">
        <v>25</v>
      </c>
      <c r="R1527" s="14" t="s">
        <v>403</v>
      </c>
    </row>
    <row r="1528" spans="1:18" s="14" customFormat="1" x14ac:dyDescent="0.25">
      <c r="A1528" s="14" t="str">
        <f>"10001"</f>
        <v>10001</v>
      </c>
      <c r="B1528" s="14" t="str">
        <f>"05150"</f>
        <v>05150</v>
      </c>
      <c r="C1528" s="14" t="str">
        <f>"1700"</f>
        <v>1700</v>
      </c>
      <c r="D1528" s="14" t="str">
        <f>"05150"</f>
        <v>05150</v>
      </c>
      <c r="E1528" s="14" t="s">
        <v>20</v>
      </c>
      <c r="F1528" s="14" t="s">
        <v>402</v>
      </c>
      <c r="G1528" s="14" t="str">
        <f>""</f>
        <v/>
      </c>
      <c r="H1528" s="14" t="str">
        <f>" 20"</f>
        <v xml:space="preserve"> 20</v>
      </c>
      <c r="I1528" s="14">
        <v>500.01</v>
      </c>
      <c r="J1528" s="14">
        <v>9999999.9900000002</v>
      </c>
      <c r="K1528" s="14" t="s">
        <v>404</v>
      </c>
      <c r="L1528" s="14" t="s">
        <v>405</v>
      </c>
      <c r="P1528" s="14" t="s">
        <v>39</v>
      </c>
      <c r="Q1528" s="14" t="s">
        <v>25</v>
      </c>
      <c r="R1528" s="14" t="s">
        <v>403</v>
      </c>
    </row>
    <row r="1529" spans="1:18" s="14" customFormat="1" x14ac:dyDescent="0.25">
      <c r="A1529" s="14" t="str">
        <f>"10001"</f>
        <v>10001</v>
      </c>
      <c r="B1529" s="14" t="str">
        <f>"06000"</f>
        <v>06000</v>
      </c>
      <c r="C1529" s="14" t="str">
        <f>"1700"</f>
        <v>1700</v>
      </c>
      <c r="D1529" s="14" t="str">
        <f>"06000A"</f>
        <v>06000A</v>
      </c>
      <c r="E1529" s="14" t="s">
        <v>20</v>
      </c>
      <c r="F1529" s="14" t="s">
        <v>409</v>
      </c>
      <c r="G1529" s="14" t="str">
        <f>""</f>
        <v/>
      </c>
      <c r="H1529" s="14" t="str">
        <f>" 10"</f>
        <v xml:space="preserve"> 10</v>
      </c>
      <c r="I1529" s="14">
        <v>0.01</v>
      </c>
      <c r="J1529" s="14">
        <v>500</v>
      </c>
      <c r="K1529" s="14" t="s">
        <v>410</v>
      </c>
      <c r="L1529" s="14" t="s">
        <v>411</v>
      </c>
      <c r="M1529" s="14" t="s">
        <v>412</v>
      </c>
      <c r="N1529" s="14" t="s">
        <v>413</v>
      </c>
      <c r="P1529" s="14" t="s">
        <v>39</v>
      </c>
      <c r="Q1529" s="14" t="s">
        <v>25</v>
      </c>
      <c r="R1529" s="14" t="s">
        <v>410</v>
      </c>
    </row>
    <row r="1530" spans="1:18" s="14" customFormat="1" x14ac:dyDescent="0.25">
      <c r="A1530" s="14" t="str">
        <f>"10001"</f>
        <v>10001</v>
      </c>
      <c r="B1530" s="14" t="str">
        <f>"06000"</f>
        <v>06000</v>
      </c>
      <c r="C1530" s="14" t="str">
        <f>"1700"</f>
        <v>1700</v>
      </c>
      <c r="D1530" s="14" t="str">
        <f>"06000A"</f>
        <v>06000A</v>
      </c>
      <c r="E1530" s="14" t="s">
        <v>20</v>
      </c>
      <c r="F1530" s="14" t="s">
        <v>409</v>
      </c>
      <c r="G1530" s="14" t="str">
        <f>""</f>
        <v/>
      </c>
      <c r="H1530" s="14" t="str">
        <f>" 20"</f>
        <v xml:space="preserve"> 20</v>
      </c>
      <c r="I1530" s="14">
        <v>500.01</v>
      </c>
      <c r="J1530" s="14">
        <v>9999999.9900000002</v>
      </c>
      <c r="K1530" s="14" t="s">
        <v>414</v>
      </c>
      <c r="L1530" s="14" t="s">
        <v>411</v>
      </c>
      <c r="M1530" s="14" t="s">
        <v>412</v>
      </c>
      <c r="P1530" s="14" t="s">
        <v>39</v>
      </c>
      <c r="Q1530" s="14" t="s">
        <v>25</v>
      </c>
      <c r="R1530" s="14" t="s">
        <v>410</v>
      </c>
    </row>
    <row r="1531" spans="1:18" s="14" customFormat="1" x14ac:dyDescent="0.25">
      <c r="A1531" s="14" t="str">
        <f>"10001"</f>
        <v>10001</v>
      </c>
      <c r="B1531" s="14" t="str">
        <f>"06005"</f>
        <v>06005</v>
      </c>
      <c r="C1531" s="14" t="str">
        <f>"1700"</f>
        <v>1700</v>
      </c>
      <c r="D1531" s="14" t="str">
        <f>"06005"</f>
        <v>06005</v>
      </c>
      <c r="E1531" s="14" t="s">
        <v>20</v>
      </c>
      <c r="F1531" s="14" t="s">
        <v>415</v>
      </c>
      <c r="G1531" s="14" t="str">
        <f>""</f>
        <v/>
      </c>
      <c r="H1531" s="14" t="str">
        <f>" 10"</f>
        <v xml:space="preserve"> 10</v>
      </c>
      <c r="I1531" s="14">
        <v>0.01</v>
      </c>
      <c r="J1531" s="14">
        <v>500</v>
      </c>
      <c r="K1531" s="14" t="s">
        <v>410</v>
      </c>
      <c r="L1531" s="14" t="s">
        <v>411</v>
      </c>
      <c r="M1531" s="14" t="s">
        <v>412</v>
      </c>
      <c r="N1531" s="14" t="s">
        <v>413</v>
      </c>
      <c r="P1531" s="14" t="s">
        <v>39</v>
      </c>
      <c r="Q1531" s="14" t="s">
        <v>25</v>
      </c>
      <c r="R1531" s="14" t="s">
        <v>410</v>
      </c>
    </row>
    <row r="1532" spans="1:18" s="14" customFormat="1" x14ac:dyDescent="0.25">
      <c r="A1532" s="14" t="str">
        <f>"10001"</f>
        <v>10001</v>
      </c>
      <c r="B1532" s="14" t="str">
        <f>"06005"</f>
        <v>06005</v>
      </c>
      <c r="C1532" s="14" t="str">
        <f>"1700"</f>
        <v>1700</v>
      </c>
      <c r="D1532" s="14" t="str">
        <f>"06005"</f>
        <v>06005</v>
      </c>
      <c r="E1532" s="14" t="s">
        <v>20</v>
      </c>
      <c r="F1532" s="14" t="s">
        <v>415</v>
      </c>
      <c r="G1532" s="14" t="str">
        <f>""</f>
        <v/>
      </c>
      <c r="H1532" s="14" t="str">
        <f>" 20"</f>
        <v xml:space="preserve"> 20</v>
      </c>
      <c r="I1532" s="14">
        <v>500.01</v>
      </c>
      <c r="J1532" s="14">
        <v>9999999.9900000002</v>
      </c>
      <c r="K1532" s="14" t="s">
        <v>414</v>
      </c>
      <c r="L1532" s="14" t="s">
        <v>411</v>
      </c>
      <c r="M1532" s="14" t="s">
        <v>412</v>
      </c>
      <c r="P1532" s="14" t="s">
        <v>39</v>
      </c>
      <c r="Q1532" s="14" t="s">
        <v>25</v>
      </c>
      <c r="R1532" s="14" t="s">
        <v>410</v>
      </c>
    </row>
    <row r="1533" spans="1:18" s="14" customFormat="1" x14ac:dyDescent="0.25">
      <c r="A1533" s="14" t="str">
        <f>"10001"</f>
        <v>10001</v>
      </c>
      <c r="B1533" s="14" t="str">
        <f>"06010"</f>
        <v>06010</v>
      </c>
      <c r="C1533" s="14" t="str">
        <f>"1700"</f>
        <v>1700</v>
      </c>
      <c r="D1533" s="14" t="str">
        <f>"06010C"</f>
        <v>06010C</v>
      </c>
      <c r="E1533" s="14" t="s">
        <v>20</v>
      </c>
      <c r="F1533" s="14" t="s">
        <v>416</v>
      </c>
      <c r="G1533" s="14" t="str">
        <f>""</f>
        <v/>
      </c>
      <c r="H1533" s="14" t="str">
        <f>" 10"</f>
        <v xml:space="preserve"> 10</v>
      </c>
      <c r="I1533" s="14">
        <v>0.01</v>
      </c>
      <c r="J1533" s="14">
        <v>500</v>
      </c>
      <c r="K1533" s="14" t="s">
        <v>410</v>
      </c>
      <c r="L1533" s="14" t="s">
        <v>411</v>
      </c>
      <c r="M1533" s="14" t="s">
        <v>412</v>
      </c>
      <c r="N1533" s="14" t="s">
        <v>413</v>
      </c>
      <c r="P1533" s="14" t="s">
        <v>39</v>
      </c>
      <c r="Q1533" s="14" t="s">
        <v>25</v>
      </c>
      <c r="R1533" s="14" t="s">
        <v>410</v>
      </c>
    </row>
    <row r="1534" spans="1:18" s="14" customFormat="1" x14ac:dyDescent="0.25">
      <c r="A1534" s="14" t="str">
        <f>"10001"</f>
        <v>10001</v>
      </c>
      <c r="B1534" s="14" t="str">
        <f>"06010"</f>
        <v>06010</v>
      </c>
      <c r="C1534" s="14" t="str">
        <f>"1700"</f>
        <v>1700</v>
      </c>
      <c r="D1534" s="14" t="str">
        <f>"06010C"</f>
        <v>06010C</v>
      </c>
      <c r="E1534" s="14" t="s">
        <v>20</v>
      </c>
      <c r="F1534" s="14" t="s">
        <v>416</v>
      </c>
      <c r="G1534" s="14" t="str">
        <f>""</f>
        <v/>
      </c>
      <c r="H1534" s="14" t="str">
        <f>" 20"</f>
        <v xml:space="preserve"> 20</v>
      </c>
      <c r="I1534" s="14">
        <v>500.01</v>
      </c>
      <c r="J1534" s="14">
        <v>9999999.9900000002</v>
      </c>
      <c r="K1534" s="14" t="s">
        <v>414</v>
      </c>
      <c r="L1534" s="14" t="s">
        <v>411</v>
      </c>
      <c r="M1534" s="14" t="s">
        <v>412</v>
      </c>
      <c r="P1534" s="14" t="s">
        <v>39</v>
      </c>
      <c r="Q1534" s="14" t="s">
        <v>25</v>
      </c>
      <c r="R1534" s="14" t="s">
        <v>410</v>
      </c>
    </row>
    <row r="1535" spans="1:18" s="14" customFormat="1" x14ac:dyDescent="0.25">
      <c r="A1535" s="14" t="str">
        <f>"10001"</f>
        <v>10001</v>
      </c>
      <c r="B1535" s="14" t="str">
        <f>"06020"</f>
        <v>06020</v>
      </c>
      <c r="C1535" s="14" t="str">
        <f>"1700"</f>
        <v>1700</v>
      </c>
      <c r="D1535" s="14" t="str">
        <f>"06020"</f>
        <v>06020</v>
      </c>
      <c r="E1535" s="14" t="s">
        <v>20</v>
      </c>
      <c r="F1535" s="14" t="s">
        <v>417</v>
      </c>
      <c r="G1535" s="14" t="str">
        <f>""</f>
        <v/>
      </c>
      <c r="H1535" s="14" t="str">
        <f>" 10"</f>
        <v xml:space="preserve"> 10</v>
      </c>
      <c r="I1535" s="14">
        <v>0.01</v>
      </c>
      <c r="J1535" s="14">
        <v>500</v>
      </c>
      <c r="K1535" s="14" t="s">
        <v>410</v>
      </c>
      <c r="L1535" s="14" t="s">
        <v>411</v>
      </c>
      <c r="M1535" s="14" t="s">
        <v>412</v>
      </c>
      <c r="N1535" s="14" t="s">
        <v>413</v>
      </c>
      <c r="P1535" s="14" t="s">
        <v>39</v>
      </c>
      <c r="Q1535" s="14" t="s">
        <v>25</v>
      </c>
      <c r="R1535" s="14" t="s">
        <v>410</v>
      </c>
    </row>
    <row r="1536" spans="1:18" s="14" customFormat="1" x14ac:dyDescent="0.25">
      <c r="A1536" s="14" t="str">
        <f>"10001"</f>
        <v>10001</v>
      </c>
      <c r="B1536" s="14" t="str">
        <f>"06020"</f>
        <v>06020</v>
      </c>
      <c r="C1536" s="14" t="str">
        <f>"1700"</f>
        <v>1700</v>
      </c>
      <c r="D1536" s="14" t="str">
        <f>"06020"</f>
        <v>06020</v>
      </c>
      <c r="E1536" s="14" t="s">
        <v>20</v>
      </c>
      <c r="F1536" s="14" t="s">
        <v>417</v>
      </c>
      <c r="G1536" s="14" t="str">
        <f>""</f>
        <v/>
      </c>
      <c r="H1536" s="14" t="str">
        <f>" 20"</f>
        <v xml:space="preserve"> 20</v>
      </c>
      <c r="I1536" s="14">
        <v>500.01</v>
      </c>
      <c r="J1536" s="14">
        <v>9999999.9900000002</v>
      </c>
      <c r="K1536" s="14" t="s">
        <v>414</v>
      </c>
      <c r="L1536" s="14" t="s">
        <v>411</v>
      </c>
      <c r="M1536" s="14" t="s">
        <v>412</v>
      </c>
      <c r="N1536" s="14" t="s">
        <v>418</v>
      </c>
      <c r="P1536" s="14" t="s">
        <v>39</v>
      </c>
      <c r="Q1536" s="14" t="s">
        <v>25</v>
      </c>
      <c r="R1536" s="14" t="s">
        <v>410</v>
      </c>
    </row>
    <row r="1537" spans="1:18" s="14" customFormat="1" x14ac:dyDescent="0.25">
      <c r="A1537" s="14" t="str">
        <f>"10001"</f>
        <v>10001</v>
      </c>
      <c r="B1537" s="14" t="str">
        <f>"06025"</f>
        <v>06025</v>
      </c>
      <c r="C1537" s="14" t="str">
        <f>"1700"</f>
        <v>1700</v>
      </c>
      <c r="D1537" s="14" t="str">
        <f>"06025"</f>
        <v>06025</v>
      </c>
      <c r="E1537" s="14" t="s">
        <v>20</v>
      </c>
      <c r="F1537" s="14" t="s">
        <v>419</v>
      </c>
      <c r="G1537" s="14" t="str">
        <f>""</f>
        <v/>
      </c>
      <c r="H1537" s="14" t="str">
        <f>" 10"</f>
        <v xml:space="preserve"> 10</v>
      </c>
      <c r="I1537" s="14">
        <v>0.01</v>
      </c>
      <c r="J1537" s="14">
        <v>500</v>
      </c>
      <c r="K1537" s="14" t="s">
        <v>410</v>
      </c>
      <c r="L1537" s="14" t="s">
        <v>411</v>
      </c>
      <c r="M1537" s="14" t="s">
        <v>412</v>
      </c>
      <c r="N1537" s="14" t="s">
        <v>413</v>
      </c>
      <c r="P1537" s="14" t="s">
        <v>39</v>
      </c>
      <c r="Q1537" s="14" t="s">
        <v>25</v>
      </c>
      <c r="R1537" s="14" t="s">
        <v>410</v>
      </c>
    </row>
    <row r="1538" spans="1:18" s="14" customFormat="1" x14ac:dyDescent="0.25">
      <c r="A1538" s="14" t="str">
        <f>"10001"</f>
        <v>10001</v>
      </c>
      <c r="B1538" s="14" t="str">
        <f>"06025"</f>
        <v>06025</v>
      </c>
      <c r="C1538" s="14" t="str">
        <f>"1700"</f>
        <v>1700</v>
      </c>
      <c r="D1538" s="14" t="str">
        <f>"06025"</f>
        <v>06025</v>
      </c>
      <c r="E1538" s="14" t="s">
        <v>20</v>
      </c>
      <c r="F1538" s="14" t="s">
        <v>419</v>
      </c>
      <c r="G1538" s="14" t="str">
        <f>""</f>
        <v/>
      </c>
      <c r="H1538" s="14" t="str">
        <f>" 20"</f>
        <v xml:space="preserve"> 20</v>
      </c>
      <c r="I1538" s="14">
        <v>500.01</v>
      </c>
      <c r="J1538" s="14">
        <v>9999999.9900000002</v>
      </c>
      <c r="K1538" s="14" t="s">
        <v>414</v>
      </c>
      <c r="L1538" s="14" t="s">
        <v>418</v>
      </c>
      <c r="M1538" s="14" t="s">
        <v>411</v>
      </c>
      <c r="N1538" s="14" t="s">
        <v>412</v>
      </c>
      <c r="P1538" s="14" t="s">
        <v>39</v>
      </c>
      <c r="Q1538" s="14" t="s">
        <v>25</v>
      </c>
      <c r="R1538" s="14" t="s">
        <v>410</v>
      </c>
    </row>
    <row r="1539" spans="1:18" s="14" customFormat="1" x14ac:dyDescent="0.25">
      <c r="A1539" s="14" t="str">
        <f>"10001"</f>
        <v>10001</v>
      </c>
      <c r="B1539" s="14" t="str">
        <f>"06030"</f>
        <v>06030</v>
      </c>
      <c r="C1539" s="14" t="str">
        <f>"1700"</f>
        <v>1700</v>
      </c>
      <c r="D1539" s="14" t="str">
        <f>"06030C"</f>
        <v>06030C</v>
      </c>
      <c r="E1539" s="14" t="s">
        <v>20</v>
      </c>
      <c r="F1539" s="14" t="s">
        <v>420</v>
      </c>
      <c r="G1539" s="14" t="str">
        <f>""</f>
        <v/>
      </c>
      <c r="H1539" s="14" t="str">
        <f>" 10"</f>
        <v xml:space="preserve"> 10</v>
      </c>
      <c r="I1539" s="14">
        <v>0.01</v>
      </c>
      <c r="J1539" s="14">
        <v>500</v>
      </c>
      <c r="K1539" s="14" t="s">
        <v>410</v>
      </c>
      <c r="L1539" s="14" t="s">
        <v>411</v>
      </c>
      <c r="M1539" s="14" t="s">
        <v>412</v>
      </c>
      <c r="N1539" s="14" t="s">
        <v>413</v>
      </c>
      <c r="P1539" s="14" t="s">
        <v>39</v>
      </c>
      <c r="Q1539" s="14" t="s">
        <v>25</v>
      </c>
      <c r="R1539" s="14" t="s">
        <v>410</v>
      </c>
    </row>
    <row r="1540" spans="1:18" s="14" customFormat="1" x14ac:dyDescent="0.25">
      <c r="A1540" s="14" t="str">
        <f>"10001"</f>
        <v>10001</v>
      </c>
      <c r="B1540" s="14" t="str">
        <f>"06030"</f>
        <v>06030</v>
      </c>
      <c r="C1540" s="14" t="str">
        <f>"1700"</f>
        <v>1700</v>
      </c>
      <c r="D1540" s="14" t="str">
        <f>"06030C"</f>
        <v>06030C</v>
      </c>
      <c r="E1540" s="14" t="s">
        <v>20</v>
      </c>
      <c r="F1540" s="14" t="s">
        <v>420</v>
      </c>
      <c r="G1540" s="14" t="str">
        <f>""</f>
        <v/>
      </c>
      <c r="H1540" s="14" t="str">
        <f>" 20"</f>
        <v xml:space="preserve"> 20</v>
      </c>
      <c r="I1540" s="14">
        <v>500.01</v>
      </c>
      <c r="J1540" s="14">
        <v>9999999.9900000002</v>
      </c>
      <c r="K1540" s="14" t="s">
        <v>414</v>
      </c>
      <c r="L1540" s="14" t="s">
        <v>411</v>
      </c>
      <c r="M1540" s="14" t="s">
        <v>412</v>
      </c>
      <c r="P1540" s="14" t="s">
        <v>39</v>
      </c>
      <c r="Q1540" s="14" t="s">
        <v>25</v>
      </c>
      <c r="R1540" s="14" t="s">
        <v>410</v>
      </c>
    </row>
    <row r="1541" spans="1:18" s="14" customFormat="1" x14ac:dyDescent="0.25">
      <c r="A1541" s="14" t="str">
        <f>"10001"</f>
        <v>10001</v>
      </c>
      <c r="B1541" s="14" t="str">
        <f>"06040"</f>
        <v>06040</v>
      </c>
      <c r="C1541" s="14" t="str">
        <f>"1700"</f>
        <v>1700</v>
      </c>
      <c r="D1541" s="14" t="str">
        <f>"06040C"</f>
        <v>06040C</v>
      </c>
      <c r="E1541" s="14" t="s">
        <v>20</v>
      </c>
      <c r="F1541" s="14" t="s">
        <v>421</v>
      </c>
      <c r="G1541" s="14" t="str">
        <f>""</f>
        <v/>
      </c>
      <c r="H1541" s="14" t="str">
        <f>" 10"</f>
        <v xml:space="preserve"> 10</v>
      </c>
      <c r="I1541" s="14">
        <v>0.01</v>
      </c>
      <c r="J1541" s="14">
        <v>500</v>
      </c>
      <c r="K1541" s="14" t="s">
        <v>410</v>
      </c>
      <c r="L1541" s="14" t="s">
        <v>411</v>
      </c>
      <c r="M1541" s="14" t="s">
        <v>412</v>
      </c>
      <c r="N1541" s="14" t="s">
        <v>413</v>
      </c>
      <c r="P1541" s="14" t="s">
        <v>39</v>
      </c>
      <c r="Q1541" s="14" t="s">
        <v>25</v>
      </c>
      <c r="R1541" s="14" t="s">
        <v>410</v>
      </c>
    </row>
    <row r="1542" spans="1:18" s="14" customFormat="1" x14ac:dyDescent="0.25">
      <c r="A1542" s="14" t="str">
        <f>"10001"</f>
        <v>10001</v>
      </c>
      <c r="B1542" s="14" t="str">
        <f>"06040"</f>
        <v>06040</v>
      </c>
      <c r="C1542" s="14" t="str">
        <f>"1700"</f>
        <v>1700</v>
      </c>
      <c r="D1542" s="14" t="str">
        <f>"06040C"</f>
        <v>06040C</v>
      </c>
      <c r="E1542" s="14" t="s">
        <v>20</v>
      </c>
      <c r="F1542" s="14" t="s">
        <v>421</v>
      </c>
      <c r="G1542" s="14" t="str">
        <f>""</f>
        <v/>
      </c>
      <c r="H1542" s="14" t="str">
        <f>" 20"</f>
        <v xml:space="preserve"> 20</v>
      </c>
      <c r="I1542" s="14">
        <v>500.01</v>
      </c>
      <c r="J1542" s="14">
        <v>9999999.9900000002</v>
      </c>
      <c r="K1542" s="14" t="s">
        <v>414</v>
      </c>
      <c r="L1542" s="14" t="s">
        <v>411</v>
      </c>
      <c r="M1542" s="14" t="s">
        <v>412</v>
      </c>
      <c r="P1542" s="14" t="s">
        <v>39</v>
      </c>
      <c r="Q1542" s="14" t="s">
        <v>25</v>
      </c>
      <c r="R1542" s="14" t="s">
        <v>410</v>
      </c>
    </row>
    <row r="1543" spans="1:18" s="14" customFormat="1" x14ac:dyDescent="0.25">
      <c r="A1543" s="14" t="str">
        <f>"10001"</f>
        <v>10001</v>
      </c>
      <c r="B1543" s="14" t="str">
        <f>"06050"</f>
        <v>06050</v>
      </c>
      <c r="C1543" s="14" t="str">
        <f>"1700"</f>
        <v>1700</v>
      </c>
      <c r="D1543" s="14" t="str">
        <f>"06050C"</f>
        <v>06050C</v>
      </c>
      <c r="E1543" s="14" t="s">
        <v>20</v>
      </c>
      <c r="F1543" s="14" t="s">
        <v>422</v>
      </c>
      <c r="G1543" s="14" t="str">
        <f>""</f>
        <v/>
      </c>
      <c r="H1543" s="14" t="str">
        <f>" 10"</f>
        <v xml:space="preserve"> 10</v>
      </c>
      <c r="I1543" s="14">
        <v>0.01</v>
      </c>
      <c r="J1543" s="14">
        <v>500</v>
      </c>
      <c r="K1543" s="14" t="s">
        <v>410</v>
      </c>
      <c r="L1543" s="14" t="s">
        <v>411</v>
      </c>
      <c r="M1543" s="14" t="s">
        <v>412</v>
      </c>
      <c r="N1543" s="14" t="s">
        <v>413</v>
      </c>
      <c r="P1543" s="14" t="s">
        <v>39</v>
      </c>
      <c r="Q1543" s="14" t="s">
        <v>25</v>
      </c>
      <c r="R1543" s="14" t="s">
        <v>410</v>
      </c>
    </row>
    <row r="1544" spans="1:18" s="14" customFormat="1" x14ac:dyDescent="0.25">
      <c r="A1544" s="14" t="str">
        <f>"10001"</f>
        <v>10001</v>
      </c>
      <c r="B1544" s="14" t="str">
        <f>"06050"</f>
        <v>06050</v>
      </c>
      <c r="C1544" s="14" t="str">
        <f>"1700"</f>
        <v>1700</v>
      </c>
      <c r="D1544" s="14" t="str">
        <f>"06050C"</f>
        <v>06050C</v>
      </c>
      <c r="E1544" s="14" t="s">
        <v>20</v>
      </c>
      <c r="F1544" s="14" t="s">
        <v>422</v>
      </c>
      <c r="G1544" s="14" t="str">
        <f>""</f>
        <v/>
      </c>
      <c r="H1544" s="14" t="str">
        <f>" 20"</f>
        <v xml:space="preserve"> 20</v>
      </c>
      <c r="I1544" s="14">
        <v>500.01</v>
      </c>
      <c r="J1544" s="14">
        <v>9999999.9900000002</v>
      </c>
      <c r="K1544" s="14" t="s">
        <v>414</v>
      </c>
      <c r="L1544" s="14" t="s">
        <v>411</v>
      </c>
      <c r="M1544" s="14" t="s">
        <v>412</v>
      </c>
      <c r="P1544" s="14" t="s">
        <v>39</v>
      </c>
      <c r="Q1544" s="14" t="s">
        <v>25</v>
      </c>
      <c r="R1544" s="14" t="s">
        <v>410</v>
      </c>
    </row>
    <row r="1545" spans="1:18" s="14" customFormat="1" x14ac:dyDescent="0.25">
      <c r="A1545" s="14" t="str">
        <f>"10001"</f>
        <v>10001</v>
      </c>
      <c r="B1545" s="14" t="str">
        <f>"06060"</f>
        <v>06060</v>
      </c>
      <c r="C1545" s="14" t="str">
        <f>"1700"</f>
        <v>1700</v>
      </c>
      <c r="D1545" s="14" t="str">
        <f>"06060C"</f>
        <v>06060C</v>
      </c>
      <c r="E1545" s="14" t="s">
        <v>20</v>
      </c>
      <c r="F1545" s="14" t="s">
        <v>423</v>
      </c>
      <c r="G1545" s="14" t="str">
        <f>""</f>
        <v/>
      </c>
      <c r="H1545" s="14" t="str">
        <f>" 10"</f>
        <v xml:space="preserve"> 10</v>
      </c>
      <c r="I1545" s="14">
        <v>0.01</v>
      </c>
      <c r="J1545" s="14">
        <v>500</v>
      </c>
      <c r="K1545" s="14" t="s">
        <v>410</v>
      </c>
      <c r="L1545" s="14" t="s">
        <v>411</v>
      </c>
      <c r="M1545" s="14" t="s">
        <v>412</v>
      </c>
      <c r="N1545" s="14" t="s">
        <v>413</v>
      </c>
      <c r="P1545" s="14" t="s">
        <v>39</v>
      </c>
      <c r="Q1545" s="14" t="s">
        <v>25</v>
      </c>
      <c r="R1545" s="14" t="s">
        <v>410</v>
      </c>
    </row>
    <row r="1546" spans="1:18" s="14" customFormat="1" x14ac:dyDescent="0.25">
      <c r="A1546" s="14" t="str">
        <f>"10001"</f>
        <v>10001</v>
      </c>
      <c r="B1546" s="14" t="str">
        <f>"06060"</f>
        <v>06060</v>
      </c>
      <c r="C1546" s="14" t="str">
        <f>"1700"</f>
        <v>1700</v>
      </c>
      <c r="D1546" s="14" t="str">
        <f>"06060C"</f>
        <v>06060C</v>
      </c>
      <c r="E1546" s="14" t="s">
        <v>20</v>
      </c>
      <c r="F1546" s="14" t="s">
        <v>423</v>
      </c>
      <c r="G1546" s="14" t="str">
        <f>""</f>
        <v/>
      </c>
      <c r="H1546" s="14" t="str">
        <f>" 20"</f>
        <v xml:space="preserve"> 20</v>
      </c>
      <c r="I1546" s="14">
        <v>500.01</v>
      </c>
      <c r="J1546" s="14">
        <v>9999999.9900000002</v>
      </c>
      <c r="K1546" s="14" t="s">
        <v>414</v>
      </c>
      <c r="L1546" s="14" t="s">
        <v>411</v>
      </c>
      <c r="M1546" s="14" t="s">
        <v>412</v>
      </c>
      <c r="P1546" s="14" t="s">
        <v>39</v>
      </c>
      <c r="Q1546" s="14" t="s">
        <v>25</v>
      </c>
      <c r="R1546" s="14" t="s">
        <v>410</v>
      </c>
    </row>
    <row r="1547" spans="1:18" s="14" customFormat="1" x14ac:dyDescent="0.25">
      <c r="A1547" s="14" t="str">
        <f>"10001"</f>
        <v>10001</v>
      </c>
      <c r="B1547" s="14" t="str">
        <f>"06070"</f>
        <v>06070</v>
      </c>
      <c r="C1547" s="14" t="str">
        <f>"1700"</f>
        <v>1700</v>
      </c>
      <c r="D1547" s="14" t="str">
        <f>"06070C"</f>
        <v>06070C</v>
      </c>
      <c r="E1547" s="14" t="s">
        <v>20</v>
      </c>
      <c r="F1547" s="14" t="s">
        <v>424</v>
      </c>
      <c r="G1547" s="14" t="str">
        <f>""</f>
        <v/>
      </c>
      <c r="H1547" s="14" t="str">
        <f>" 10"</f>
        <v xml:space="preserve"> 10</v>
      </c>
      <c r="I1547" s="14">
        <v>0.01</v>
      </c>
      <c r="J1547" s="14">
        <v>500</v>
      </c>
      <c r="K1547" s="14" t="s">
        <v>410</v>
      </c>
      <c r="L1547" s="14" t="s">
        <v>411</v>
      </c>
      <c r="M1547" s="14" t="s">
        <v>412</v>
      </c>
      <c r="N1547" s="14" t="s">
        <v>413</v>
      </c>
      <c r="P1547" s="14" t="s">
        <v>39</v>
      </c>
      <c r="Q1547" s="14" t="s">
        <v>25</v>
      </c>
      <c r="R1547" s="14" t="s">
        <v>410</v>
      </c>
    </row>
    <row r="1548" spans="1:18" s="14" customFormat="1" x14ac:dyDescent="0.25">
      <c r="A1548" s="14" t="str">
        <f>"10001"</f>
        <v>10001</v>
      </c>
      <c r="B1548" s="14" t="str">
        <f>"06070"</f>
        <v>06070</v>
      </c>
      <c r="C1548" s="14" t="str">
        <f>"1700"</f>
        <v>1700</v>
      </c>
      <c r="D1548" s="14" t="str">
        <f>"06070C"</f>
        <v>06070C</v>
      </c>
      <c r="E1548" s="14" t="s">
        <v>20</v>
      </c>
      <c r="F1548" s="14" t="s">
        <v>424</v>
      </c>
      <c r="G1548" s="14" t="str">
        <f>""</f>
        <v/>
      </c>
      <c r="H1548" s="14" t="str">
        <f>" 20"</f>
        <v xml:space="preserve"> 20</v>
      </c>
      <c r="I1548" s="14">
        <v>500.01</v>
      </c>
      <c r="J1548" s="14">
        <v>9999999.9900000002</v>
      </c>
      <c r="K1548" s="14" t="s">
        <v>414</v>
      </c>
      <c r="L1548" s="14" t="s">
        <v>411</v>
      </c>
      <c r="M1548" s="14" t="s">
        <v>412</v>
      </c>
      <c r="P1548" s="14" t="s">
        <v>39</v>
      </c>
      <c r="Q1548" s="14" t="s">
        <v>25</v>
      </c>
      <c r="R1548" s="14" t="s">
        <v>410</v>
      </c>
    </row>
    <row r="1549" spans="1:18" s="14" customFormat="1" x14ac:dyDescent="0.25">
      <c r="A1549" s="14" t="str">
        <f>"10001"</f>
        <v>10001</v>
      </c>
      <c r="B1549" s="14" t="str">
        <f>"06080"</f>
        <v>06080</v>
      </c>
      <c r="C1549" s="14" t="str">
        <f>"1700"</f>
        <v>1700</v>
      </c>
      <c r="D1549" s="14" t="str">
        <f>"06080C"</f>
        <v>06080C</v>
      </c>
      <c r="E1549" s="14" t="s">
        <v>20</v>
      </c>
      <c r="F1549" s="14" t="s">
        <v>425</v>
      </c>
      <c r="G1549" s="14" t="str">
        <f>""</f>
        <v/>
      </c>
      <c r="H1549" s="14" t="str">
        <f>" 10"</f>
        <v xml:space="preserve"> 10</v>
      </c>
      <c r="I1549" s="14">
        <v>0.01</v>
      </c>
      <c r="J1549" s="14">
        <v>500</v>
      </c>
      <c r="K1549" s="14" t="s">
        <v>410</v>
      </c>
      <c r="L1549" s="14" t="s">
        <v>411</v>
      </c>
      <c r="M1549" s="14" t="s">
        <v>412</v>
      </c>
      <c r="N1549" s="14" t="s">
        <v>413</v>
      </c>
      <c r="P1549" s="14" t="s">
        <v>39</v>
      </c>
      <c r="Q1549" s="14" t="s">
        <v>25</v>
      </c>
      <c r="R1549" s="14" t="s">
        <v>410</v>
      </c>
    </row>
    <row r="1550" spans="1:18" s="14" customFormat="1" x14ac:dyDescent="0.25">
      <c r="A1550" s="14" t="str">
        <f>"10001"</f>
        <v>10001</v>
      </c>
      <c r="B1550" s="14" t="str">
        <f>"06080"</f>
        <v>06080</v>
      </c>
      <c r="C1550" s="14" t="str">
        <f>"1700"</f>
        <v>1700</v>
      </c>
      <c r="D1550" s="14" t="str">
        <f>"06080C"</f>
        <v>06080C</v>
      </c>
      <c r="E1550" s="14" t="s">
        <v>20</v>
      </c>
      <c r="F1550" s="14" t="s">
        <v>425</v>
      </c>
      <c r="G1550" s="14" t="str">
        <f>""</f>
        <v/>
      </c>
      <c r="H1550" s="14" t="str">
        <f>" 20"</f>
        <v xml:space="preserve"> 20</v>
      </c>
      <c r="I1550" s="14">
        <v>500.01</v>
      </c>
      <c r="J1550" s="14">
        <v>9999999.9900000002</v>
      </c>
      <c r="K1550" s="14" t="s">
        <v>414</v>
      </c>
      <c r="L1550" s="14" t="s">
        <v>411</v>
      </c>
      <c r="M1550" s="14" t="s">
        <v>412</v>
      </c>
      <c r="P1550" s="14" t="s">
        <v>39</v>
      </c>
      <c r="Q1550" s="14" t="s">
        <v>25</v>
      </c>
      <c r="R1550" s="14" t="s">
        <v>410</v>
      </c>
    </row>
    <row r="1551" spans="1:18" s="14" customFormat="1" x14ac:dyDescent="0.25">
      <c r="A1551" s="14" t="str">
        <f>"10001"</f>
        <v>10001</v>
      </c>
      <c r="B1551" s="14" t="str">
        <f>"06090"</f>
        <v>06090</v>
      </c>
      <c r="C1551" s="14" t="str">
        <f>"1700"</f>
        <v>1700</v>
      </c>
      <c r="D1551" s="14" t="str">
        <f>"06090C"</f>
        <v>06090C</v>
      </c>
      <c r="E1551" s="14" t="s">
        <v>20</v>
      </c>
      <c r="F1551" s="14" t="s">
        <v>426</v>
      </c>
      <c r="G1551" s="14" t="str">
        <f>""</f>
        <v/>
      </c>
      <c r="H1551" s="14" t="str">
        <f>" 10"</f>
        <v xml:space="preserve"> 10</v>
      </c>
      <c r="I1551" s="14">
        <v>0.01</v>
      </c>
      <c r="J1551" s="14">
        <v>500</v>
      </c>
      <c r="K1551" s="14" t="s">
        <v>410</v>
      </c>
      <c r="L1551" s="14" t="s">
        <v>411</v>
      </c>
      <c r="M1551" s="14" t="s">
        <v>412</v>
      </c>
      <c r="N1551" s="14" t="s">
        <v>413</v>
      </c>
      <c r="P1551" s="14" t="s">
        <v>39</v>
      </c>
      <c r="Q1551" s="14" t="s">
        <v>25</v>
      </c>
      <c r="R1551" s="14" t="s">
        <v>410</v>
      </c>
    </row>
    <row r="1552" spans="1:18" s="14" customFormat="1" x14ac:dyDescent="0.25">
      <c r="A1552" s="14" t="str">
        <f>"10001"</f>
        <v>10001</v>
      </c>
      <c r="B1552" s="14" t="str">
        <f>"06090"</f>
        <v>06090</v>
      </c>
      <c r="C1552" s="14" t="str">
        <f>"1700"</f>
        <v>1700</v>
      </c>
      <c r="D1552" s="14" t="str">
        <f>"06090C"</f>
        <v>06090C</v>
      </c>
      <c r="E1552" s="14" t="s">
        <v>20</v>
      </c>
      <c r="F1552" s="14" t="s">
        <v>426</v>
      </c>
      <c r="G1552" s="14" t="str">
        <f>""</f>
        <v/>
      </c>
      <c r="H1552" s="14" t="str">
        <f>" 20"</f>
        <v xml:space="preserve"> 20</v>
      </c>
      <c r="I1552" s="14">
        <v>500.01</v>
      </c>
      <c r="J1552" s="14">
        <v>9999999.9900000002</v>
      </c>
      <c r="K1552" s="14" t="s">
        <v>414</v>
      </c>
      <c r="L1552" s="14" t="s">
        <v>411</v>
      </c>
      <c r="M1552" s="14" t="s">
        <v>412</v>
      </c>
      <c r="P1552" s="14" t="s">
        <v>39</v>
      </c>
      <c r="Q1552" s="14" t="s">
        <v>25</v>
      </c>
      <c r="R1552" s="14" t="s">
        <v>410</v>
      </c>
    </row>
    <row r="1553" spans="1:18" s="14" customFormat="1" x14ac:dyDescent="0.25">
      <c r="A1553" s="14" t="str">
        <f>"10001"</f>
        <v>10001</v>
      </c>
      <c r="B1553" s="14" t="str">
        <f>"06100"</f>
        <v>06100</v>
      </c>
      <c r="C1553" s="14" t="str">
        <f>"1700"</f>
        <v>1700</v>
      </c>
      <c r="D1553" s="14" t="str">
        <f>"06100C"</f>
        <v>06100C</v>
      </c>
      <c r="E1553" s="14" t="s">
        <v>20</v>
      </c>
      <c r="F1553" s="14" t="s">
        <v>427</v>
      </c>
      <c r="G1553" s="14" t="str">
        <f>""</f>
        <v/>
      </c>
      <c r="H1553" s="14" t="str">
        <f>" 10"</f>
        <v xml:space="preserve"> 10</v>
      </c>
      <c r="I1553" s="14">
        <v>0.01</v>
      </c>
      <c r="J1553" s="14">
        <v>500</v>
      </c>
      <c r="K1553" s="14" t="s">
        <v>410</v>
      </c>
      <c r="L1553" s="14" t="s">
        <v>411</v>
      </c>
      <c r="M1553" s="14" t="s">
        <v>412</v>
      </c>
      <c r="N1553" s="14" t="s">
        <v>413</v>
      </c>
      <c r="P1553" s="14" t="s">
        <v>39</v>
      </c>
      <c r="Q1553" s="14" t="s">
        <v>25</v>
      </c>
      <c r="R1553" s="14" t="s">
        <v>410</v>
      </c>
    </row>
    <row r="1554" spans="1:18" s="14" customFormat="1" x14ac:dyDescent="0.25">
      <c r="A1554" s="14" t="str">
        <f>"10001"</f>
        <v>10001</v>
      </c>
      <c r="B1554" s="14" t="str">
        <f>"06100"</f>
        <v>06100</v>
      </c>
      <c r="C1554" s="14" t="str">
        <f>"1700"</f>
        <v>1700</v>
      </c>
      <c r="D1554" s="14" t="str">
        <f>"06100C"</f>
        <v>06100C</v>
      </c>
      <c r="E1554" s="14" t="s">
        <v>20</v>
      </c>
      <c r="F1554" s="14" t="s">
        <v>427</v>
      </c>
      <c r="G1554" s="14" t="str">
        <f>""</f>
        <v/>
      </c>
      <c r="H1554" s="14" t="str">
        <f>" 20"</f>
        <v xml:space="preserve"> 20</v>
      </c>
      <c r="I1554" s="14">
        <v>500.01</v>
      </c>
      <c r="J1554" s="14">
        <v>9999999.9900000002</v>
      </c>
      <c r="K1554" s="14" t="s">
        <v>414</v>
      </c>
      <c r="L1554" s="14" t="s">
        <v>411</v>
      </c>
      <c r="M1554" s="14" t="s">
        <v>412</v>
      </c>
      <c r="P1554" s="14" t="s">
        <v>39</v>
      </c>
      <c r="Q1554" s="14" t="s">
        <v>25</v>
      </c>
      <c r="R1554" s="14" t="s">
        <v>410</v>
      </c>
    </row>
    <row r="1555" spans="1:18" s="14" customFormat="1" x14ac:dyDescent="0.25">
      <c r="A1555" s="14" t="str">
        <f>"10001"</f>
        <v>10001</v>
      </c>
      <c r="B1555" s="14" t="str">
        <f>"06110"</f>
        <v>06110</v>
      </c>
      <c r="C1555" s="14" t="str">
        <f>"1700"</f>
        <v>1700</v>
      </c>
      <c r="D1555" s="14" t="str">
        <f>"06110C"</f>
        <v>06110C</v>
      </c>
      <c r="E1555" s="14" t="s">
        <v>20</v>
      </c>
      <c r="F1555" s="14" t="s">
        <v>428</v>
      </c>
      <c r="G1555" s="14" t="str">
        <f>""</f>
        <v/>
      </c>
      <c r="H1555" s="14" t="str">
        <f>" 10"</f>
        <v xml:space="preserve"> 10</v>
      </c>
      <c r="I1555" s="14">
        <v>0.01</v>
      </c>
      <c r="J1555" s="14">
        <v>500</v>
      </c>
      <c r="K1555" s="14" t="s">
        <v>410</v>
      </c>
      <c r="L1555" s="14" t="s">
        <v>411</v>
      </c>
      <c r="M1555" s="14" t="s">
        <v>412</v>
      </c>
      <c r="N1555" s="14" t="s">
        <v>413</v>
      </c>
      <c r="P1555" s="14" t="s">
        <v>39</v>
      </c>
      <c r="Q1555" s="14" t="s">
        <v>25</v>
      </c>
      <c r="R1555" s="14" t="s">
        <v>410</v>
      </c>
    </row>
    <row r="1556" spans="1:18" s="14" customFormat="1" x14ac:dyDescent="0.25">
      <c r="A1556" s="14" t="str">
        <f>"10001"</f>
        <v>10001</v>
      </c>
      <c r="B1556" s="14" t="str">
        <f>"06110"</f>
        <v>06110</v>
      </c>
      <c r="C1556" s="14" t="str">
        <f>"1700"</f>
        <v>1700</v>
      </c>
      <c r="D1556" s="14" t="str">
        <f>"06110C"</f>
        <v>06110C</v>
      </c>
      <c r="E1556" s="14" t="s">
        <v>20</v>
      </c>
      <c r="F1556" s="14" t="s">
        <v>428</v>
      </c>
      <c r="G1556" s="14" t="str">
        <f>""</f>
        <v/>
      </c>
      <c r="H1556" s="14" t="str">
        <f>" 20"</f>
        <v xml:space="preserve"> 20</v>
      </c>
      <c r="I1556" s="14">
        <v>500.01</v>
      </c>
      <c r="J1556" s="14">
        <v>9999999.9900000002</v>
      </c>
      <c r="K1556" s="14" t="s">
        <v>414</v>
      </c>
      <c r="L1556" s="14" t="s">
        <v>411</v>
      </c>
      <c r="M1556" s="14" t="s">
        <v>412</v>
      </c>
      <c r="P1556" s="14" t="s">
        <v>39</v>
      </c>
      <c r="Q1556" s="14" t="s">
        <v>25</v>
      </c>
      <c r="R1556" s="14" t="s">
        <v>410</v>
      </c>
    </row>
    <row r="1557" spans="1:18" s="14" customFormat="1" x14ac:dyDescent="0.25">
      <c r="A1557" s="14" t="str">
        <f>"10001"</f>
        <v>10001</v>
      </c>
      <c r="B1557" s="14" t="str">
        <f>"06120"</f>
        <v>06120</v>
      </c>
      <c r="C1557" s="14" t="str">
        <f>"1700"</f>
        <v>1700</v>
      </c>
      <c r="D1557" s="14" t="str">
        <f>"06120C"</f>
        <v>06120C</v>
      </c>
      <c r="E1557" s="14" t="s">
        <v>20</v>
      </c>
      <c r="F1557" s="14" t="s">
        <v>429</v>
      </c>
      <c r="G1557" s="14" t="str">
        <f>""</f>
        <v/>
      </c>
      <c r="H1557" s="14" t="str">
        <f>" 10"</f>
        <v xml:space="preserve"> 10</v>
      </c>
      <c r="I1557" s="14">
        <v>0.01</v>
      </c>
      <c r="J1557" s="14">
        <v>500</v>
      </c>
      <c r="K1557" s="14" t="s">
        <v>410</v>
      </c>
      <c r="L1557" s="14" t="s">
        <v>411</v>
      </c>
      <c r="M1557" s="14" t="s">
        <v>412</v>
      </c>
      <c r="N1557" s="14" t="s">
        <v>413</v>
      </c>
      <c r="P1557" s="14" t="s">
        <v>39</v>
      </c>
      <c r="Q1557" s="14" t="s">
        <v>25</v>
      </c>
      <c r="R1557" s="14" t="s">
        <v>410</v>
      </c>
    </row>
    <row r="1558" spans="1:18" s="14" customFormat="1" x14ac:dyDescent="0.25">
      <c r="A1558" s="14" t="str">
        <f>"10001"</f>
        <v>10001</v>
      </c>
      <c r="B1558" s="14" t="str">
        <f>"06120"</f>
        <v>06120</v>
      </c>
      <c r="C1558" s="14" t="str">
        <f>"1700"</f>
        <v>1700</v>
      </c>
      <c r="D1558" s="14" t="str">
        <f>"06120C"</f>
        <v>06120C</v>
      </c>
      <c r="E1558" s="14" t="s">
        <v>20</v>
      </c>
      <c r="F1558" s="14" t="s">
        <v>429</v>
      </c>
      <c r="G1558" s="14" t="str">
        <f>""</f>
        <v/>
      </c>
      <c r="H1558" s="14" t="str">
        <f>" 20"</f>
        <v xml:space="preserve"> 20</v>
      </c>
      <c r="I1558" s="14">
        <v>500.01</v>
      </c>
      <c r="J1558" s="14">
        <v>9999999.9900000002</v>
      </c>
      <c r="K1558" s="14" t="s">
        <v>414</v>
      </c>
      <c r="L1558" s="14" t="s">
        <v>411</v>
      </c>
      <c r="M1558" s="14" t="s">
        <v>412</v>
      </c>
      <c r="P1558" s="14" t="s">
        <v>39</v>
      </c>
      <c r="Q1558" s="14" t="s">
        <v>25</v>
      </c>
      <c r="R1558" s="14" t="s">
        <v>410</v>
      </c>
    </row>
    <row r="1559" spans="1:18" s="14" customFormat="1" x14ac:dyDescent="0.25">
      <c r="A1559" s="14" t="str">
        <f>"10001"</f>
        <v>10001</v>
      </c>
      <c r="B1559" s="14" t="str">
        <f>"06130"</f>
        <v>06130</v>
      </c>
      <c r="C1559" s="14" t="str">
        <f>"1700"</f>
        <v>1700</v>
      </c>
      <c r="D1559" s="14" t="str">
        <f>"06130C"</f>
        <v>06130C</v>
      </c>
      <c r="E1559" s="14" t="s">
        <v>20</v>
      </c>
      <c r="F1559" s="14" t="s">
        <v>430</v>
      </c>
      <c r="G1559" s="14" t="str">
        <f>""</f>
        <v/>
      </c>
      <c r="H1559" s="14" t="str">
        <f>" 10"</f>
        <v xml:space="preserve"> 10</v>
      </c>
      <c r="I1559" s="14">
        <v>0.01</v>
      </c>
      <c r="J1559" s="14">
        <v>500</v>
      </c>
      <c r="K1559" s="14" t="s">
        <v>410</v>
      </c>
      <c r="L1559" s="14" t="s">
        <v>411</v>
      </c>
      <c r="M1559" s="14" t="s">
        <v>412</v>
      </c>
      <c r="N1559" s="14" t="s">
        <v>413</v>
      </c>
      <c r="P1559" s="14" t="s">
        <v>39</v>
      </c>
      <c r="Q1559" s="14" t="s">
        <v>25</v>
      </c>
      <c r="R1559" s="14" t="s">
        <v>410</v>
      </c>
    </row>
    <row r="1560" spans="1:18" s="14" customFormat="1" x14ac:dyDescent="0.25">
      <c r="A1560" s="14" t="str">
        <f>"10001"</f>
        <v>10001</v>
      </c>
      <c r="B1560" s="14" t="str">
        <f>"06130"</f>
        <v>06130</v>
      </c>
      <c r="C1560" s="14" t="str">
        <f>"1700"</f>
        <v>1700</v>
      </c>
      <c r="D1560" s="14" t="str">
        <f>"06130C"</f>
        <v>06130C</v>
      </c>
      <c r="E1560" s="14" t="s">
        <v>20</v>
      </c>
      <c r="F1560" s="14" t="s">
        <v>430</v>
      </c>
      <c r="G1560" s="14" t="str">
        <f>""</f>
        <v/>
      </c>
      <c r="H1560" s="14" t="str">
        <f>" 20"</f>
        <v xml:space="preserve"> 20</v>
      </c>
      <c r="I1560" s="14">
        <v>500.01</v>
      </c>
      <c r="J1560" s="14">
        <v>9999999.9900000002</v>
      </c>
      <c r="K1560" s="14" t="s">
        <v>414</v>
      </c>
      <c r="L1560" s="14" t="s">
        <v>411</v>
      </c>
      <c r="M1560" s="14" t="s">
        <v>412</v>
      </c>
      <c r="P1560" s="14" t="s">
        <v>39</v>
      </c>
      <c r="Q1560" s="14" t="s">
        <v>25</v>
      </c>
      <c r="R1560" s="14" t="s">
        <v>410</v>
      </c>
    </row>
    <row r="1561" spans="1:18" s="14" customFormat="1" x14ac:dyDescent="0.25">
      <c r="A1561" s="14" t="str">
        <f>"10001"</f>
        <v>10001</v>
      </c>
      <c r="B1561" s="14" t="str">
        <f>"06140"</f>
        <v>06140</v>
      </c>
      <c r="C1561" s="14" t="str">
        <f>"1700"</f>
        <v>1700</v>
      </c>
      <c r="D1561" s="14" t="str">
        <f>"06140C"</f>
        <v>06140C</v>
      </c>
      <c r="E1561" s="14" t="s">
        <v>20</v>
      </c>
      <c r="F1561" s="14" t="s">
        <v>431</v>
      </c>
      <c r="G1561" s="14" t="str">
        <f>""</f>
        <v/>
      </c>
      <c r="H1561" s="14" t="str">
        <f>" 10"</f>
        <v xml:space="preserve"> 10</v>
      </c>
      <c r="I1561" s="14">
        <v>0.01</v>
      </c>
      <c r="J1561" s="14">
        <v>500</v>
      </c>
      <c r="K1561" s="14" t="s">
        <v>410</v>
      </c>
      <c r="L1561" s="14" t="s">
        <v>411</v>
      </c>
      <c r="M1561" s="14" t="s">
        <v>412</v>
      </c>
      <c r="N1561" s="14" t="s">
        <v>413</v>
      </c>
      <c r="P1561" s="14" t="s">
        <v>39</v>
      </c>
      <c r="Q1561" s="14" t="s">
        <v>25</v>
      </c>
      <c r="R1561" s="14" t="s">
        <v>410</v>
      </c>
    </row>
    <row r="1562" spans="1:18" s="14" customFormat="1" x14ac:dyDescent="0.25">
      <c r="A1562" s="14" t="str">
        <f>"10001"</f>
        <v>10001</v>
      </c>
      <c r="B1562" s="14" t="str">
        <f>"06140"</f>
        <v>06140</v>
      </c>
      <c r="C1562" s="14" t="str">
        <f>"1700"</f>
        <v>1700</v>
      </c>
      <c r="D1562" s="14" t="str">
        <f>"06140C"</f>
        <v>06140C</v>
      </c>
      <c r="E1562" s="14" t="s">
        <v>20</v>
      </c>
      <c r="F1562" s="14" t="s">
        <v>431</v>
      </c>
      <c r="G1562" s="14" t="str">
        <f>""</f>
        <v/>
      </c>
      <c r="H1562" s="14" t="str">
        <f>" 20"</f>
        <v xml:space="preserve"> 20</v>
      </c>
      <c r="I1562" s="14">
        <v>500.01</v>
      </c>
      <c r="J1562" s="14">
        <v>9999999.9900000002</v>
      </c>
      <c r="K1562" s="14" t="s">
        <v>414</v>
      </c>
      <c r="L1562" s="14" t="s">
        <v>411</v>
      </c>
      <c r="M1562" s="14" t="s">
        <v>412</v>
      </c>
      <c r="P1562" s="14" t="s">
        <v>39</v>
      </c>
      <c r="Q1562" s="14" t="s">
        <v>25</v>
      </c>
      <c r="R1562" s="14" t="s">
        <v>410</v>
      </c>
    </row>
    <row r="1563" spans="1:18" s="14" customFormat="1" x14ac:dyDescent="0.25">
      <c r="A1563" s="14" t="str">
        <f>"10001"</f>
        <v>10001</v>
      </c>
      <c r="B1563" s="14" t="str">
        <f>"06150"</f>
        <v>06150</v>
      </c>
      <c r="C1563" s="14" t="str">
        <f>"1700"</f>
        <v>1700</v>
      </c>
      <c r="D1563" s="14" t="str">
        <f>"06150C"</f>
        <v>06150C</v>
      </c>
      <c r="E1563" s="14" t="s">
        <v>20</v>
      </c>
      <c r="F1563" s="14" t="s">
        <v>432</v>
      </c>
      <c r="G1563" s="14" t="str">
        <f>""</f>
        <v/>
      </c>
      <c r="H1563" s="14" t="str">
        <f>" 10"</f>
        <v xml:space="preserve"> 10</v>
      </c>
      <c r="I1563" s="14">
        <v>0.01</v>
      </c>
      <c r="J1563" s="14">
        <v>500</v>
      </c>
      <c r="K1563" s="14" t="s">
        <v>410</v>
      </c>
      <c r="L1563" s="14" t="s">
        <v>411</v>
      </c>
      <c r="M1563" s="14" t="s">
        <v>412</v>
      </c>
      <c r="N1563" s="14" t="s">
        <v>413</v>
      </c>
      <c r="P1563" s="14" t="s">
        <v>39</v>
      </c>
      <c r="Q1563" s="14" t="s">
        <v>25</v>
      </c>
      <c r="R1563" s="14" t="s">
        <v>410</v>
      </c>
    </row>
    <row r="1564" spans="1:18" s="14" customFormat="1" x14ac:dyDescent="0.25">
      <c r="A1564" s="14" t="str">
        <f>"10001"</f>
        <v>10001</v>
      </c>
      <c r="B1564" s="14" t="str">
        <f>"06150"</f>
        <v>06150</v>
      </c>
      <c r="C1564" s="14" t="str">
        <f>"1700"</f>
        <v>1700</v>
      </c>
      <c r="D1564" s="14" t="str">
        <f>"06150C"</f>
        <v>06150C</v>
      </c>
      <c r="E1564" s="14" t="s">
        <v>20</v>
      </c>
      <c r="F1564" s="14" t="s">
        <v>432</v>
      </c>
      <c r="G1564" s="14" t="str">
        <f>""</f>
        <v/>
      </c>
      <c r="H1564" s="14" t="str">
        <f>" 20"</f>
        <v xml:space="preserve"> 20</v>
      </c>
      <c r="I1564" s="14">
        <v>500.01</v>
      </c>
      <c r="J1564" s="14">
        <v>9999999.9900000002</v>
      </c>
      <c r="K1564" s="14" t="s">
        <v>414</v>
      </c>
      <c r="L1564" s="14" t="s">
        <v>411</v>
      </c>
      <c r="M1564" s="14" t="s">
        <v>412</v>
      </c>
      <c r="P1564" s="14" t="s">
        <v>39</v>
      </c>
      <c r="Q1564" s="14" t="s">
        <v>25</v>
      </c>
      <c r="R1564" s="14" t="s">
        <v>410</v>
      </c>
    </row>
    <row r="1565" spans="1:18" s="14" customFormat="1" x14ac:dyDescent="0.25">
      <c r="A1565" s="14" t="str">
        <f>"10001"</f>
        <v>10001</v>
      </c>
      <c r="B1565" s="14" t="str">
        <f>"06151"</f>
        <v>06151</v>
      </c>
      <c r="C1565" s="14" t="str">
        <f>"1700"</f>
        <v>1700</v>
      </c>
      <c r="D1565" s="14" t="str">
        <f>"06151C"</f>
        <v>06151C</v>
      </c>
      <c r="E1565" s="14" t="s">
        <v>20</v>
      </c>
      <c r="F1565" s="14" t="s">
        <v>433</v>
      </c>
      <c r="G1565" s="14" t="str">
        <f>""</f>
        <v/>
      </c>
      <c r="H1565" s="14" t="str">
        <f>" 10"</f>
        <v xml:space="preserve"> 10</v>
      </c>
      <c r="I1565" s="14">
        <v>0.01</v>
      </c>
      <c r="J1565" s="14">
        <v>500</v>
      </c>
      <c r="K1565" s="14" t="s">
        <v>410</v>
      </c>
      <c r="L1565" s="14" t="s">
        <v>411</v>
      </c>
      <c r="M1565" s="14" t="s">
        <v>412</v>
      </c>
      <c r="N1565" s="14" t="s">
        <v>413</v>
      </c>
      <c r="P1565" s="14" t="s">
        <v>39</v>
      </c>
      <c r="Q1565" s="14" t="s">
        <v>25</v>
      </c>
      <c r="R1565" s="14" t="s">
        <v>410</v>
      </c>
    </row>
    <row r="1566" spans="1:18" s="14" customFormat="1" x14ac:dyDescent="0.25">
      <c r="A1566" s="14" t="str">
        <f>"10001"</f>
        <v>10001</v>
      </c>
      <c r="B1566" s="14" t="str">
        <f>"06151"</f>
        <v>06151</v>
      </c>
      <c r="C1566" s="14" t="str">
        <f>"1700"</f>
        <v>1700</v>
      </c>
      <c r="D1566" s="14" t="str">
        <f>"06151C"</f>
        <v>06151C</v>
      </c>
      <c r="E1566" s="14" t="s">
        <v>20</v>
      </c>
      <c r="F1566" s="14" t="s">
        <v>433</v>
      </c>
      <c r="G1566" s="14" t="str">
        <f>""</f>
        <v/>
      </c>
      <c r="H1566" s="14" t="str">
        <f>" 20"</f>
        <v xml:space="preserve"> 20</v>
      </c>
      <c r="I1566" s="14">
        <v>500.01</v>
      </c>
      <c r="J1566" s="14">
        <v>9999999.9900000002</v>
      </c>
      <c r="K1566" s="14" t="s">
        <v>414</v>
      </c>
      <c r="L1566" s="14" t="s">
        <v>411</v>
      </c>
      <c r="M1566" s="14" t="s">
        <v>412</v>
      </c>
      <c r="P1566" s="14" t="s">
        <v>39</v>
      </c>
      <c r="Q1566" s="14" t="s">
        <v>25</v>
      </c>
      <c r="R1566" s="14" t="s">
        <v>410</v>
      </c>
    </row>
    <row r="1567" spans="1:18" s="14" customFormat="1" x14ac:dyDescent="0.25">
      <c r="A1567" s="14" t="str">
        <f>"10001"</f>
        <v>10001</v>
      </c>
      <c r="B1567" s="14" t="str">
        <f>"06152"</f>
        <v>06152</v>
      </c>
      <c r="C1567" s="14" t="str">
        <f>"1700"</f>
        <v>1700</v>
      </c>
      <c r="D1567" s="14" t="str">
        <f>"06152C"</f>
        <v>06152C</v>
      </c>
      <c r="E1567" s="14" t="s">
        <v>20</v>
      </c>
      <c r="F1567" s="14" t="s">
        <v>434</v>
      </c>
      <c r="G1567" s="14" t="str">
        <f>""</f>
        <v/>
      </c>
      <c r="H1567" s="14" t="str">
        <f>" 10"</f>
        <v xml:space="preserve"> 10</v>
      </c>
      <c r="I1567" s="14">
        <v>0.01</v>
      </c>
      <c r="J1567" s="14">
        <v>500</v>
      </c>
      <c r="K1567" s="14" t="s">
        <v>410</v>
      </c>
      <c r="L1567" s="14" t="s">
        <v>411</v>
      </c>
      <c r="M1567" s="14" t="s">
        <v>412</v>
      </c>
      <c r="N1567" s="14" t="s">
        <v>413</v>
      </c>
      <c r="P1567" s="14" t="s">
        <v>39</v>
      </c>
      <c r="Q1567" s="14" t="s">
        <v>25</v>
      </c>
      <c r="R1567" s="14" t="s">
        <v>410</v>
      </c>
    </row>
    <row r="1568" spans="1:18" s="14" customFormat="1" x14ac:dyDescent="0.25">
      <c r="A1568" s="14" t="str">
        <f>"10001"</f>
        <v>10001</v>
      </c>
      <c r="B1568" s="14" t="str">
        <f>"06152"</f>
        <v>06152</v>
      </c>
      <c r="C1568" s="14" t="str">
        <f>"1700"</f>
        <v>1700</v>
      </c>
      <c r="D1568" s="14" t="str">
        <f>"06152C"</f>
        <v>06152C</v>
      </c>
      <c r="E1568" s="14" t="s">
        <v>20</v>
      </c>
      <c r="F1568" s="14" t="s">
        <v>434</v>
      </c>
      <c r="G1568" s="14" t="str">
        <f>""</f>
        <v/>
      </c>
      <c r="H1568" s="14" t="str">
        <f>" 20"</f>
        <v xml:space="preserve"> 20</v>
      </c>
      <c r="I1568" s="14">
        <v>500.01</v>
      </c>
      <c r="J1568" s="14">
        <v>9999999.9900000002</v>
      </c>
      <c r="K1568" s="14" t="s">
        <v>414</v>
      </c>
      <c r="L1568" s="14" t="s">
        <v>411</v>
      </c>
      <c r="M1568" s="14" t="s">
        <v>412</v>
      </c>
      <c r="P1568" s="14" t="s">
        <v>39</v>
      </c>
      <c r="Q1568" s="14" t="s">
        <v>25</v>
      </c>
      <c r="R1568" s="14" t="s">
        <v>410</v>
      </c>
    </row>
    <row r="1569" spans="1:18" s="14" customFormat="1" x14ac:dyDescent="0.25">
      <c r="A1569" s="14" t="str">
        <f>"16005"</f>
        <v>16005</v>
      </c>
      <c r="B1569" s="14" t="str">
        <f>"06000"</f>
        <v>06000</v>
      </c>
      <c r="C1569" s="14" t="str">
        <f>"1700"</f>
        <v>1700</v>
      </c>
      <c r="D1569" s="14" t="str">
        <f>"16005"</f>
        <v>16005</v>
      </c>
      <c r="E1569" s="14" t="s">
        <v>524</v>
      </c>
      <c r="F1569" s="14" t="s">
        <v>409</v>
      </c>
      <c r="G1569" s="14" t="str">
        <f>""</f>
        <v/>
      </c>
      <c r="H1569" s="14" t="str">
        <f>" 10"</f>
        <v xml:space="preserve"> 10</v>
      </c>
      <c r="I1569" s="14">
        <v>0.01</v>
      </c>
      <c r="J1569" s="14">
        <v>500</v>
      </c>
      <c r="K1569" s="14" t="s">
        <v>410</v>
      </c>
      <c r="L1569" s="14" t="s">
        <v>411</v>
      </c>
      <c r="M1569" s="14" t="s">
        <v>412</v>
      </c>
      <c r="N1569" s="14" t="s">
        <v>413</v>
      </c>
      <c r="P1569" s="14" t="s">
        <v>39</v>
      </c>
      <c r="Q1569" s="14" t="s">
        <v>25</v>
      </c>
      <c r="R1569" s="14" t="s">
        <v>410</v>
      </c>
    </row>
    <row r="1570" spans="1:18" s="14" customFormat="1" x14ac:dyDescent="0.25">
      <c r="A1570" s="14" t="str">
        <f>"16005"</f>
        <v>16005</v>
      </c>
      <c r="B1570" s="14" t="str">
        <f>"06000"</f>
        <v>06000</v>
      </c>
      <c r="C1570" s="14" t="str">
        <f>"1700"</f>
        <v>1700</v>
      </c>
      <c r="D1570" s="14" t="str">
        <f>"16005"</f>
        <v>16005</v>
      </c>
      <c r="E1570" s="14" t="s">
        <v>524</v>
      </c>
      <c r="F1570" s="14" t="s">
        <v>409</v>
      </c>
      <c r="G1570" s="14" t="str">
        <f>""</f>
        <v/>
      </c>
      <c r="H1570" s="14" t="str">
        <f>" 20"</f>
        <v xml:space="preserve"> 20</v>
      </c>
      <c r="I1570" s="14">
        <v>500.01</v>
      </c>
      <c r="J1570" s="14">
        <v>9999999.9900000002</v>
      </c>
      <c r="K1570" s="14" t="s">
        <v>414</v>
      </c>
      <c r="L1570" s="14" t="s">
        <v>411</v>
      </c>
      <c r="M1570" s="14" t="s">
        <v>412</v>
      </c>
      <c r="P1570" s="14" t="s">
        <v>39</v>
      </c>
      <c r="Q1570" s="14" t="s">
        <v>25</v>
      </c>
      <c r="R1570" s="14" t="s">
        <v>410</v>
      </c>
    </row>
    <row r="1571" spans="1:18" s="14" customFormat="1" x14ac:dyDescent="0.25">
      <c r="A1571" s="14" t="str">
        <f>"16018"</f>
        <v>16018</v>
      </c>
      <c r="B1571" s="14" t="str">
        <f>"05150"</f>
        <v>05150</v>
      </c>
      <c r="C1571" s="14" t="str">
        <f>"1700"</f>
        <v>1700</v>
      </c>
      <c r="D1571" s="14" t="str">
        <f>"16018"</f>
        <v>16018</v>
      </c>
      <c r="E1571" s="14" t="s">
        <v>538</v>
      </c>
      <c r="F1571" s="14" t="s">
        <v>402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405</v>
      </c>
      <c r="L1571" s="14" t="s">
        <v>404</v>
      </c>
      <c r="P1571" s="14" t="s">
        <v>39</v>
      </c>
      <c r="Q1571" s="14" t="s">
        <v>25</v>
      </c>
      <c r="R1571" s="14" t="s">
        <v>403</v>
      </c>
    </row>
    <row r="1572" spans="1:18" s="14" customFormat="1" x14ac:dyDescent="0.25">
      <c r="A1572" s="14" t="str">
        <f>"16019"</f>
        <v>16019</v>
      </c>
      <c r="B1572" s="14" t="str">
        <f>"05150"</f>
        <v>05150</v>
      </c>
      <c r="C1572" s="14" t="str">
        <f>"1700"</f>
        <v>1700</v>
      </c>
      <c r="D1572" s="14" t="str">
        <f>"16019"</f>
        <v>16019</v>
      </c>
      <c r="E1572" s="14" t="s">
        <v>539</v>
      </c>
      <c r="F1572" s="14" t="s">
        <v>402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405</v>
      </c>
      <c r="L1572" s="14" t="s">
        <v>404</v>
      </c>
      <c r="P1572" s="14" t="s">
        <v>39</v>
      </c>
      <c r="Q1572" s="14" t="s">
        <v>25</v>
      </c>
      <c r="R1572" s="14" t="s">
        <v>403</v>
      </c>
    </row>
    <row r="1573" spans="1:18" s="14" customFormat="1" x14ac:dyDescent="0.25">
      <c r="A1573" s="14" t="str">
        <f>"16020"</f>
        <v>16020</v>
      </c>
      <c r="B1573" s="14" t="str">
        <f>"05150"</f>
        <v>05150</v>
      </c>
      <c r="C1573" s="14" t="str">
        <f>"1700"</f>
        <v>1700</v>
      </c>
      <c r="D1573" s="14" t="str">
        <f>"16020"</f>
        <v>16020</v>
      </c>
      <c r="E1573" s="14" t="s">
        <v>540</v>
      </c>
      <c r="F1573" s="14" t="s">
        <v>402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404</v>
      </c>
      <c r="L1573" s="14" t="s">
        <v>405</v>
      </c>
      <c r="P1573" s="14" t="s">
        <v>39</v>
      </c>
      <c r="Q1573" s="14" t="s">
        <v>25</v>
      </c>
      <c r="R1573" s="14" t="s">
        <v>403</v>
      </c>
    </row>
    <row r="1574" spans="1:18" s="14" customFormat="1" x14ac:dyDescent="0.25">
      <c r="A1574" s="14" t="str">
        <f>"16021"</f>
        <v>16021</v>
      </c>
      <c r="B1574" s="14" t="str">
        <f>"05140"</f>
        <v>05140</v>
      </c>
      <c r="C1574" s="14" t="str">
        <f>"1700"</f>
        <v>1700</v>
      </c>
      <c r="D1574" s="14" t="str">
        <f>"05140A"</f>
        <v>05140A</v>
      </c>
      <c r="E1574" s="14" t="s">
        <v>541</v>
      </c>
      <c r="F1574" s="14" t="s">
        <v>400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37</v>
      </c>
      <c r="L1574" s="14" t="s">
        <v>34</v>
      </c>
      <c r="P1574" s="14" t="s">
        <v>39</v>
      </c>
      <c r="Q1574" s="14" t="s">
        <v>25</v>
      </c>
      <c r="R1574" s="14" t="s">
        <v>401</v>
      </c>
    </row>
    <row r="1575" spans="1:18" s="14" customFormat="1" x14ac:dyDescent="0.25">
      <c r="A1575" s="14" t="str">
        <f>"16021"</f>
        <v>16021</v>
      </c>
      <c r="B1575" s="14" t="str">
        <f>"05141"</f>
        <v>05141</v>
      </c>
      <c r="C1575" s="14" t="str">
        <f>"1700"</f>
        <v>1700</v>
      </c>
      <c r="D1575" s="14" t="str">
        <f>"05141"</f>
        <v>05141</v>
      </c>
      <c r="E1575" s="14" t="s">
        <v>541</v>
      </c>
      <c r="F1575" s="14" t="s">
        <v>542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37</v>
      </c>
      <c r="L1575" s="14" t="s">
        <v>34</v>
      </c>
      <c r="P1575" s="14" t="s">
        <v>39</v>
      </c>
      <c r="Q1575" s="14" t="s">
        <v>25</v>
      </c>
      <c r="R1575" s="14" t="s">
        <v>401</v>
      </c>
    </row>
    <row r="1576" spans="1:18" s="14" customFormat="1" x14ac:dyDescent="0.25">
      <c r="A1576" s="14" t="str">
        <f>"16021"</f>
        <v>16021</v>
      </c>
      <c r="B1576" s="14" t="str">
        <f>"05143"</f>
        <v>05143</v>
      </c>
      <c r="C1576" s="14" t="str">
        <f>"1700"</f>
        <v>1700</v>
      </c>
      <c r="D1576" s="14" t="str">
        <f>"05143"</f>
        <v>05143</v>
      </c>
      <c r="E1576" s="14" t="s">
        <v>541</v>
      </c>
      <c r="F1576" s="14" t="s">
        <v>543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37</v>
      </c>
      <c r="L1576" s="14" t="s">
        <v>34</v>
      </c>
      <c r="P1576" s="14" t="s">
        <v>39</v>
      </c>
      <c r="Q1576" s="14" t="s">
        <v>25</v>
      </c>
      <c r="R1576" s="14" t="s">
        <v>401</v>
      </c>
    </row>
    <row r="1577" spans="1:18" s="14" customFormat="1" x14ac:dyDescent="0.25">
      <c r="A1577" s="14" t="str">
        <f>"16021"</f>
        <v>16021</v>
      </c>
      <c r="B1577" s="14" t="str">
        <f>"05144"</f>
        <v>05144</v>
      </c>
      <c r="C1577" s="14" t="str">
        <f>"1700"</f>
        <v>1700</v>
      </c>
      <c r="D1577" s="14" t="str">
        <f>"05144"</f>
        <v>05144</v>
      </c>
      <c r="E1577" s="14" t="s">
        <v>541</v>
      </c>
      <c r="F1577" s="14" t="s">
        <v>544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37</v>
      </c>
      <c r="L1577" s="14" t="s">
        <v>34</v>
      </c>
      <c r="P1577" s="14" t="s">
        <v>39</v>
      </c>
      <c r="Q1577" s="14" t="s">
        <v>25</v>
      </c>
      <c r="R1577" s="14" t="s">
        <v>401</v>
      </c>
    </row>
    <row r="1578" spans="1:18" s="14" customFormat="1" x14ac:dyDescent="0.25">
      <c r="A1578" s="14" t="str">
        <f>"16023"</f>
        <v>16023</v>
      </c>
      <c r="B1578" s="14" t="str">
        <f>"05150"</f>
        <v>05150</v>
      </c>
      <c r="C1578" s="14" t="str">
        <f>"1800"</f>
        <v>1800</v>
      </c>
      <c r="D1578" s="14" t="str">
        <f>"16023"</f>
        <v>16023</v>
      </c>
      <c r="E1578" s="14" t="s">
        <v>545</v>
      </c>
      <c r="F1578" s="14" t="s">
        <v>402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404</v>
      </c>
      <c r="L1578" s="14" t="s">
        <v>405</v>
      </c>
      <c r="P1578" s="14" t="s">
        <v>39</v>
      </c>
      <c r="Q1578" s="14" t="s">
        <v>25</v>
      </c>
      <c r="R1578" s="14" t="s">
        <v>403</v>
      </c>
    </row>
    <row r="1579" spans="1:18" s="14" customFormat="1" x14ac:dyDescent="0.25">
      <c r="A1579" s="14" t="str">
        <f>"16024"</f>
        <v>16024</v>
      </c>
      <c r="B1579" s="14" t="str">
        <f>"05150"</f>
        <v>05150</v>
      </c>
      <c r="C1579" s="14" t="str">
        <f>"1100"</f>
        <v>1100</v>
      </c>
      <c r="D1579" s="14" t="str">
        <f>"16024"</f>
        <v>16024</v>
      </c>
      <c r="E1579" s="14" t="s">
        <v>546</v>
      </c>
      <c r="F1579" s="14" t="s">
        <v>402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405</v>
      </c>
      <c r="L1579" s="14" t="s">
        <v>404</v>
      </c>
      <c r="P1579" s="14" t="s">
        <v>39</v>
      </c>
      <c r="Q1579" s="14" t="s">
        <v>25</v>
      </c>
      <c r="R1579" s="14" t="s">
        <v>403</v>
      </c>
    </row>
    <row r="1580" spans="1:18" s="14" customFormat="1" x14ac:dyDescent="0.25">
      <c r="A1580" s="14" t="str">
        <f>"16025"</f>
        <v>16025</v>
      </c>
      <c r="B1580" s="14" t="str">
        <f>"05150"</f>
        <v>05150</v>
      </c>
      <c r="C1580" s="14" t="str">
        <f>"1100"</f>
        <v>1100</v>
      </c>
      <c r="D1580" s="14" t="str">
        <f>"16025"</f>
        <v>16025</v>
      </c>
      <c r="E1580" s="14" t="s">
        <v>547</v>
      </c>
      <c r="F1580" s="14" t="s">
        <v>402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405</v>
      </c>
      <c r="L1580" s="14" t="s">
        <v>404</v>
      </c>
      <c r="P1580" s="14" t="s">
        <v>39</v>
      </c>
      <c r="Q1580" s="14" t="s">
        <v>25</v>
      </c>
      <c r="R1580" s="14" t="s">
        <v>403</v>
      </c>
    </row>
    <row r="1581" spans="1:18" s="14" customFormat="1" x14ac:dyDescent="0.25">
      <c r="A1581" s="14" t="str">
        <f>"16026"</f>
        <v>16026</v>
      </c>
      <c r="B1581" s="14" t="str">
        <f>"05150"</f>
        <v>05150</v>
      </c>
      <c r="C1581" s="14" t="str">
        <f>"1100"</f>
        <v>1100</v>
      </c>
      <c r="D1581" s="14" t="str">
        <f>"16026"</f>
        <v>16026</v>
      </c>
      <c r="E1581" s="14" t="s">
        <v>548</v>
      </c>
      <c r="F1581" s="14" t="s">
        <v>402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405</v>
      </c>
      <c r="L1581" s="14" t="s">
        <v>404</v>
      </c>
      <c r="P1581" s="14" t="s">
        <v>39</v>
      </c>
      <c r="Q1581" s="14" t="s">
        <v>25</v>
      </c>
      <c r="R1581" s="14" t="s">
        <v>403</v>
      </c>
    </row>
    <row r="1582" spans="1:18" s="14" customFormat="1" x14ac:dyDescent="0.25">
      <c r="A1582" s="14" t="str">
        <f>"16028"</f>
        <v>16028</v>
      </c>
      <c r="B1582" s="14" t="str">
        <f>"05150"</f>
        <v>05150</v>
      </c>
      <c r="C1582" s="14" t="str">
        <f>"1100"</f>
        <v>1100</v>
      </c>
      <c r="D1582" s="14" t="str">
        <f>"16028"</f>
        <v>16028</v>
      </c>
      <c r="E1582" s="14" t="s">
        <v>549</v>
      </c>
      <c r="F1582" s="14" t="s">
        <v>402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405</v>
      </c>
      <c r="L1582" s="14" t="s">
        <v>404</v>
      </c>
      <c r="P1582" s="14" t="s">
        <v>39</v>
      </c>
      <c r="Q1582" s="14" t="s">
        <v>25</v>
      </c>
      <c r="R1582" s="14" t="s">
        <v>403</v>
      </c>
    </row>
    <row r="1583" spans="1:18" s="14" customFormat="1" x14ac:dyDescent="0.25">
      <c r="A1583" s="14" t="str">
        <f>"16029"</f>
        <v>16029</v>
      </c>
      <c r="B1583" s="14" t="str">
        <f>"05150"</f>
        <v>05150</v>
      </c>
      <c r="C1583" s="14" t="str">
        <f>"1800"</f>
        <v>1800</v>
      </c>
      <c r="D1583" s="14" t="str">
        <f>"16029"</f>
        <v>16029</v>
      </c>
      <c r="E1583" s="14" t="s">
        <v>550</v>
      </c>
      <c r="F1583" s="14" t="s">
        <v>402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405</v>
      </c>
      <c r="L1583" s="14" t="s">
        <v>404</v>
      </c>
      <c r="P1583" s="14" t="s">
        <v>39</v>
      </c>
      <c r="Q1583" s="14" t="s">
        <v>25</v>
      </c>
      <c r="R1583" s="14" t="s">
        <v>403</v>
      </c>
    </row>
    <row r="1584" spans="1:18" s="14" customFormat="1" x14ac:dyDescent="0.25">
      <c r="A1584" s="14" t="str">
        <f>"16030"</f>
        <v>16030</v>
      </c>
      <c r="B1584" s="14" t="str">
        <f>"05150"</f>
        <v>05150</v>
      </c>
      <c r="C1584" s="14" t="str">
        <f>"1800"</f>
        <v>1800</v>
      </c>
      <c r="D1584" s="14" t="str">
        <f>"16030"</f>
        <v>16030</v>
      </c>
      <c r="E1584" s="14" t="s">
        <v>551</v>
      </c>
      <c r="F1584" s="14" t="s">
        <v>402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405</v>
      </c>
      <c r="L1584" s="14" t="s">
        <v>404</v>
      </c>
      <c r="P1584" s="14" t="s">
        <v>39</v>
      </c>
      <c r="Q1584" s="14" t="s">
        <v>25</v>
      </c>
      <c r="R1584" s="14" t="s">
        <v>403</v>
      </c>
    </row>
    <row r="1585" spans="1:18" s="14" customFormat="1" x14ac:dyDescent="0.25">
      <c r="A1585" s="14" t="str">
        <f>"16033"</f>
        <v>16033</v>
      </c>
      <c r="B1585" s="14" t="str">
        <f>"05150"</f>
        <v>05150</v>
      </c>
      <c r="C1585" s="14" t="str">
        <f>"1800"</f>
        <v>1800</v>
      </c>
      <c r="D1585" s="14" t="str">
        <f>"16033"</f>
        <v>16033</v>
      </c>
      <c r="E1585" s="14" t="s">
        <v>552</v>
      </c>
      <c r="F1585" s="14" t="s">
        <v>402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405</v>
      </c>
      <c r="L1585" s="14" t="s">
        <v>404</v>
      </c>
      <c r="P1585" s="14" t="s">
        <v>39</v>
      </c>
      <c r="Q1585" s="14" t="s">
        <v>25</v>
      </c>
      <c r="R1585" s="14" t="s">
        <v>403</v>
      </c>
    </row>
    <row r="1586" spans="1:18" s="14" customFormat="1" x14ac:dyDescent="0.25">
      <c r="A1586" s="14" t="str">
        <f>"16034"</f>
        <v>16034</v>
      </c>
      <c r="B1586" s="14" t="str">
        <f>"05150"</f>
        <v>05150</v>
      </c>
      <c r="C1586" s="14" t="str">
        <f>"1800"</f>
        <v>1800</v>
      </c>
      <c r="D1586" s="14" t="str">
        <f>"16034"</f>
        <v>16034</v>
      </c>
      <c r="E1586" s="14" t="s">
        <v>553</v>
      </c>
      <c r="F1586" s="14" t="s">
        <v>402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405</v>
      </c>
      <c r="L1586" s="14" t="s">
        <v>404</v>
      </c>
      <c r="P1586" s="14" t="s">
        <v>39</v>
      </c>
      <c r="Q1586" s="14" t="s">
        <v>25</v>
      </c>
      <c r="R1586" s="14" t="s">
        <v>403</v>
      </c>
    </row>
    <row r="1587" spans="1:18" s="14" customFormat="1" x14ac:dyDescent="0.25">
      <c r="A1587" s="14" t="str">
        <f>"16035"</f>
        <v>16035</v>
      </c>
      <c r="B1587" s="14" t="str">
        <f>"05150"</f>
        <v>05150</v>
      </c>
      <c r="C1587" s="14" t="str">
        <f>"1100"</f>
        <v>1100</v>
      </c>
      <c r="D1587" s="14" t="str">
        <f>"16035"</f>
        <v>16035</v>
      </c>
      <c r="E1587" s="14" t="s">
        <v>554</v>
      </c>
      <c r="F1587" s="14" t="s">
        <v>402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405</v>
      </c>
      <c r="L1587" s="14" t="s">
        <v>404</v>
      </c>
      <c r="P1587" s="14" t="s">
        <v>39</v>
      </c>
      <c r="Q1587" s="14" t="s">
        <v>25</v>
      </c>
      <c r="R1587" s="14" t="s">
        <v>403</v>
      </c>
    </row>
    <row r="1588" spans="1:18" s="14" customFormat="1" x14ac:dyDescent="0.25">
      <c r="A1588" s="14" t="str">
        <f>"16036"</f>
        <v>16036</v>
      </c>
      <c r="B1588" s="14" t="str">
        <f>"05150"</f>
        <v>05150</v>
      </c>
      <c r="C1588" s="14" t="str">
        <f>"1800"</f>
        <v>1800</v>
      </c>
      <c r="D1588" s="14" t="str">
        <f>"16036"</f>
        <v>16036</v>
      </c>
      <c r="E1588" s="14" t="s">
        <v>555</v>
      </c>
      <c r="F1588" s="14" t="s">
        <v>402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405</v>
      </c>
      <c r="L1588" s="14" t="s">
        <v>404</v>
      </c>
      <c r="P1588" s="14" t="s">
        <v>39</v>
      </c>
      <c r="Q1588" s="14" t="s">
        <v>25</v>
      </c>
      <c r="R1588" s="14" t="s">
        <v>403</v>
      </c>
    </row>
    <row r="1589" spans="1:18" s="14" customFormat="1" x14ac:dyDescent="0.25">
      <c r="A1589" s="14" t="str">
        <f>"16037"</f>
        <v>16037</v>
      </c>
      <c r="B1589" s="14" t="str">
        <f>"05150"</f>
        <v>05150</v>
      </c>
      <c r="C1589" s="14" t="str">
        <f>"1100"</f>
        <v>1100</v>
      </c>
      <c r="D1589" s="14" t="str">
        <f>"16037"</f>
        <v>16037</v>
      </c>
      <c r="E1589" s="14" t="s">
        <v>556</v>
      </c>
      <c r="F1589" s="14" t="s">
        <v>402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405</v>
      </c>
      <c r="L1589" s="14" t="s">
        <v>404</v>
      </c>
      <c r="P1589" s="14" t="s">
        <v>39</v>
      </c>
      <c r="Q1589" s="14" t="s">
        <v>25</v>
      </c>
      <c r="R1589" s="14" t="s">
        <v>403</v>
      </c>
    </row>
    <row r="1590" spans="1:18" s="14" customFormat="1" x14ac:dyDescent="0.25">
      <c r="A1590" s="14" t="str">
        <f>"16041"</f>
        <v>16041</v>
      </c>
      <c r="B1590" s="14" t="str">
        <f>"05150"</f>
        <v>05150</v>
      </c>
      <c r="C1590" s="14" t="str">
        <f>"1100"</f>
        <v>1100</v>
      </c>
      <c r="D1590" s="14" t="str">
        <f>"16041"</f>
        <v>16041</v>
      </c>
      <c r="E1590" s="14" t="s">
        <v>557</v>
      </c>
      <c r="F1590" s="14" t="s">
        <v>402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405</v>
      </c>
      <c r="L1590" s="14" t="s">
        <v>404</v>
      </c>
      <c r="P1590" s="14" t="s">
        <v>39</v>
      </c>
      <c r="Q1590" s="14" t="s">
        <v>25</v>
      </c>
      <c r="R1590" s="14" t="s">
        <v>403</v>
      </c>
    </row>
    <row r="1591" spans="1:18" s="14" customFormat="1" x14ac:dyDescent="0.25">
      <c r="A1591" s="14" t="str">
        <f>"16042"</f>
        <v>16042</v>
      </c>
      <c r="B1591" s="14" t="str">
        <f>"06000"</f>
        <v>06000</v>
      </c>
      <c r="C1591" s="14" t="str">
        <f>"1700"</f>
        <v>1700</v>
      </c>
      <c r="D1591" s="14" t="str">
        <f>"16042"</f>
        <v>16042</v>
      </c>
      <c r="E1591" s="14" t="s">
        <v>558</v>
      </c>
      <c r="F1591" s="14" t="s">
        <v>409</v>
      </c>
      <c r="G1591" s="14" t="str">
        <f>""</f>
        <v/>
      </c>
      <c r="H1591" s="14" t="str">
        <f>" 10"</f>
        <v xml:space="preserve"> 10</v>
      </c>
      <c r="I1591" s="14">
        <v>0.01</v>
      </c>
      <c r="J1591" s="14">
        <v>500</v>
      </c>
      <c r="K1591" s="14" t="s">
        <v>410</v>
      </c>
      <c r="L1591" s="14" t="s">
        <v>411</v>
      </c>
      <c r="M1591" s="14" t="s">
        <v>412</v>
      </c>
      <c r="N1591" s="14" t="s">
        <v>413</v>
      </c>
      <c r="P1591" s="14" t="s">
        <v>39</v>
      </c>
      <c r="Q1591" s="14" t="s">
        <v>25</v>
      </c>
      <c r="R1591" s="14" t="s">
        <v>410</v>
      </c>
    </row>
    <row r="1592" spans="1:18" s="14" customFormat="1" x14ac:dyDescent="0.25">
      <c r="A1592" s="14" t="str">
        <f>"16042"</f>
        <v>16042</v>
      </c>
      <c r="B1592" s="14" t="str">
        <f>"06000"</f>
        <v>06000</v>
      </c>
      <c r="C1592" s="14" t="str">
        <f>"1700"</f>
        <v>1700</v>
      </c>
      <c r="D1592" s="14" t="str">
        <f>"16042"</f>
        <v>16042</v>
      </c>
      <c r="E1592" s="14" t="s">
        <v>558</v>
      </c>
      <c r="F1592" s="14" t="s">
        <v>409</v>
      </c>
      <c r="G1592" s="14" t="str">
        <f>""</f>
        <v/>
      </c>
      <c r="H1592" s="14" t="str">
        <f>" 20"</f>
        <v xml:space="preserve"> 20</v>
      </c>
      <c r="I1592" s="14">
        <v>500.01</v>
      </c>
      <c r="J1592" s="14">
        <v>9999999.9900000002</v>
      </c>
      <c r="K1592" s="14" t="s">
        <v>414</v>
      </c>
      <c r="L1592" s="14" t="s">
        <v>411</v>
      </c>
      <c r="M1592" s="14" t="s">
        <v>412</v>
      </c>
      <c r="P1592" s="14" t="s">
        <v>39</v>
      </c>
      <c r="Q1592" s="14" t="s">
        <v>25</v>
      </c>
      <c r="R1592" s="14" t="s">
        <v>410</v>
      </c>
    </row>
    <row r="1593" spans="1:18" s="14" customFormat="1" x14ac:dyDescent="0.25">
      <c r="A1593" s="14" t="str">
        <f>"16043"</f>
        <v>16043</v>
      </c>
      <c r="B1593" s="14" t="str">
        <f>"06000"</f>
        <v>06000</v>
      </c>
      <c r="C1593" s="14" t="str">
        <f>"1700"</f>
        <v>1700</v>
      </c>
      <c r="D1593" s="14" t="str">
        <f>"16043"</f>
        <v>16043</v>
      </c>
      <c r="E1593" s="14" t="s">
        <v>559</v>
      </c>
      <c r="F1593" s="14" t="s">
        <v>409</v>
      </c>
      <c r="G1593" s="14" t="str">
        <f>""</f>
        <v/>
      </c>
      <c r="H1593" s="14" t="str">
        <f>" 10"</f>
        <v xml:space="preserve"> 10</v>
      </c>
      <c r="I1593" s="14">
        <v>0.01</v>
      </c>
      <c r="J1593" s="14">
        <v>500</v>
      </c>
      <c r="K1593" s="14" t="s">
        <v>410</v>
      </c>
      <c r="L1593" s="14" t="s">
        <v>411</v>
      </c>
      <c r="M1593" s="14" t="s">
        <v>412</v>
      </c>
      <c r="N1593" s="14" t="s">
        <v>413</v>
      </c>
      <c r="P1593" s="14" t="s">
        <v>39</v>
      </c>
      <c r="Q1593" s="14" t="s">
        <v>25</v>
      </c>
      <c r="R1593" s="14" t="s">
        <v>410</v>
      </c>
    </row>
    <row r="1594" spans="1:18" s="14" customFormat="1" x14ac:dyDescent="0.25">
      <c r="A1594" s="14" t="str">
        <f>"16043"</f>
        <v>16043</v>
      </c>
      <c r="B1594" s="14" t="str">
        <f>"06000"</f>
        <v>06000</v>
      </c>
      <c r="C1594" s="14" t="str">
        <f>"1700"</f>
        <v>1700</v>
      </c>
      <c r="D1594" s="14" t="str">
        <f>"16043"</f>
        <v>16043</v>
      </c>
      <c r="E1594" s="14" t="s">
        <v>559</v>
      </c>
      <c r="F1594" s="14" t="s">
        <v>409</v>
      </c>
      <c r="G1594" s="14" t="str">
        <f>""</f>
        <v/>
      </c>
      <c r="H1594" s="14" t="str">
        <f>" 20"</f>
        <v xml:space="preserve"> 20</v>
      </c>
      <c r="I1594" s="14">
        <v>500.01</v>
      </c>
      <c r="J1594" s="14">
        <v>9999999.9900000002</v>
      </c>
      <c r="K1594" s="14" t="s">
        <v>414</v>
      </c>
      <c r="L1594" s="14" t="s">
        <v>411</v>
      </c>
      <c r="M1594" s="14" t="s">
        <v>412</v>
      </c>
      <c r="P1594" s="14" t="s">
        <v>39</v>
      </c>
      <c r="Q1594" s="14" t="s">
        <v>25</v>
      </c>
      <c r="R1594" s="14" t="s">
        <v>410</v>
      </c>
    </row>
    <row r="1595" spans="1:18" s="14" customFormat="1" x14ac:dyDescent="0.25">
      <c r="A1595" s="14" t="str">
        <f>"16044"</f>
        <v>16044</v>
      </c>
      <c r="B1595" s="14" t="str">
        <f>"06000"</f>
        <v>06000</v>
      </c>
      <c r="C1595" s="14" t="str">
        <f>"1700"</f>
        <v>1700</v>
      </c>
      <c r="D1595" s="14" t="str">
        <f>"16044"</f>
        <v>16044</v>
      </c>
      <c r="E1595" s="14" t="s">
        <v>560</v>
      </c>
      <c r="F1595" s="14" t="s">
        <v>409</v>
      </c>
      <c r="G1595" s="14" t="str">
        <f>""</f>
        <v/>
      </c>
      <c r="H1595" s="14" t="str">
        <f>" 10"</f>
        <v xml:space="preserve"> 10</v>
      </c>
      <c r="I1595" s="14">
        <v>0.01</v>
      </c>
      <c r="J1595" s="14">
        <v>500</v>
      </c>
      <c r="K1595" s="14" t="s">
        <v>410</v>
      </c>
      <c r="L1595" s="14" t="s">
        <v>411</v>
      </c>
      <c r="M1595" s="14" t="s">
        <v>412</v>
      </c>
      <c r="N1595" s="14" t="s">
        <v>413</v>
      </c>
      <c r="P1595" s="14" t="s">
        <v>39</v>
      </c>
      <c r="Q1595" s="14" t="s">
        <v>25</v>
      </c>
      <c r="R1595" s="14" t="s">
        <v>410</v>
      </c>
    </row>
    <row r="1596" spans="1:18" s="14" customFormat="1" x14ac:dyDescent="0.25">
      <c r="A1596" s="14" t="str">
        <f>"16044"</f>
        <v>16044</v>
      </c>
      <c r="B1596" s="14" t="str">
        <f>"06000"</f>
        <v>06000</v>
      </c>
      <c r="C1596" s="14" t="str">
        <f>"1700"</f>
        <v>1700</v>
      </c>
      <c r="D1596" s="14" t="str">
        <f>"16044"</f>
        <v>16044</v>
      </c>
      <c r="E1596" s="14" t="s">
        <v>560</v>
      </c>
      <c r="F1596" s="14" t="s">
        <v>409</v>
      </c>
      <c r="G1596" s="14" t="str">
        <f>""</f>
        <v/>
      </c>
      <c r="H1596" s="14" t="str">
        <f>" 20"</f>
        <v xml:space="preserve"> 20</v>
      </c>
      <c r="I1596" s="14">
        <v>500.01</v>
      </c>
      <c r="J1596" s="14">
        <v>9999999.9900000002</v>
      </c>
      <c r="K1596" s="14" t="s">
        <v>414</v>
      </c>
      <c r="L1596" s="14" t="s">
        <v>411</v>
      </c>
      <c r="M1596" s="14" t="s">
        <v>412</v>
      </c>
      <c r="P1596" s="14" t="s">
        <v>39</v>
      </c>
      <c r="Q1596" s="14" t="s">
        <v>25</v>
      </c>
      <c r="R1596" s="14" t="s">
        <v>410</v>
      </c>
    </row>
    <row r="1597" spans="1:18" s="14" customFormat="1" x14ac:dyDescent="0.25">
      <c r="A1597" s="14" t="str">
        <f>"16049"</f>
        <v>16049</v>
      </c>
      <c r="B1597" s="14" t="str">
        <f>"05150"</f>
        <v>05150</v>
      </c>
      <c r="C1597" s="14" t="str">
        <f>"1100"</f>
        <v>1100</v>
      </c>
      <c r="D1597" s="14" t="str">
        <f>"16049"</f>
        <v>16049</v>
      </c>
      <c r="E1597" s="14" t="s">
        <v>564</v>
      </c>
      <c r="F1597" s="14" t="s">
        <v>402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405</v>
      </c>
      <c r="L1597" s="14" t="s">
        <v>404</v>
      </c>
      <c r="P1597" s="14" t="s">
        <v>39</v>
      </c>
      <c r="Q1597" s="14" t="s">
        <v>25</v>
      </c>
      <c r="R1597" s="14" t="s">
        <v>403</v>
      </c>
    </row>
    <row r="1598" spans="1:18" s="14" customFormat="1" x14ac:dyDescent="0.25">
      <c r="A1598" s="14" t="str">
        <f>"16050"</f>
        <v>16050</v>
      </c>
      <c r="B1598" s="14" t="str">
        <f>"05150"</f>
        <v>05150</v>
      </c>
      <c r="C1598" s="14" t="str">
        <f>"1100"</f>
        <v>1100</v>
      </c>
      <c r="D1598" s="14" t="str">
        <f>"16050"</f>
        <v>16050</v>
      </c>
      <c r="E1598" s="14" t="s">
        <v>565</v>
      </c>
      <c r="F1598" s="14" t="s">
        <v>402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405</v>
      </c>
      <c r="L1598" s="14" t="s">
        <v>404</v>
      </c>
      <c r="P1598" s="14" t="s">
        <v>39</v>
      </c>
      <c r="Q1598" s="14" t="s">
        <v>25</v>
      </c>
      <c r="R1598" s="14" t="s">
        <v>403</v>
      </c>
    </row>
    <row r="1599" spans="1:18" s="14" customFormat="1" x14ac:dyDescent="0.25">
      <c r="A1599" s="14" t="str">
        <f>"16051"</f>
        <v>16051</v>
      </c>
      <c r="B1599" s="14" t="str">
        <f>"05150"</f>
        <v>05150</v>
      </c>
      <c r="C1599" s="14" t="str">
        <f>"1800"</f>
        <v>1800</v>
      </c>
      <c r="D1599" s="14" t="str">
        <f>"16051"</f>
        <v>16051</v>
      </c>
      <c r="E1599" s="14" t="s">
        <v>566</v>
      </c>
      <c r="F1599" s="14" t="s">
        <v>402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405</v>
      </c>
      <c r="L1599" s="14" t="s">
        <v>404</v>
      </c>
      <c r="P1599" s="14" t="s">
        <v>39</v>
      </c>
      <c r="Q1599" s="14" t="s">
        <v>25</v>
      </c>
      <c r="R1599" s="14" t="s">
        <v>403</v>
      </c>
    </row>
    <row r="1600" spans="1:18" s="14" customFormat="1" x14ac:dyDescent="0.25">
      <c r="A1600" s="14" t="str">
        <f>"16056"</f>
        <v>16056</v>
      </c>
      <c r="B1600" s="14" t="str">
        <f>"06000"</f>
        <v>06000</v>
      </c>
      <c r="C1600" s="14" t="str">
        <f>"1700"</f>
        <v>1700</v>
      </c>
      <c r="D1600" s="14" t="str">
        <f>"16056"</f>
        <v>16056</v>
      </c>
      <c r="E1600" s="14" t="s">
        <v>570</v>
      </c>
      <c r="F1600" s="14" t="s">
        <v>409</v>
      </c>
      <c r="G1600" s="14" t="str">
        <f>""</f>
        <v/>
      </c>
      <c r="H1600" s="14" t="str">
        <f>" 10"</f>
        <v xml:space="preserve"> 10</v>
      </c>
      <c r="I1600" s="14">
        <v>0.01</v>
      </c>
      <c r="J1600" s="14">
        <v>500</v>
      </c>
      <c r="K1600" s="14" t="s">
        <v>410</v>
      </c>
      <c r="L1600" s="14" t="s">
        <v>411</v>
      </c>
      <c r="M1600" s="14" t="s">
        <v>412</v>
      </c>
      <c r="N1600" s="14" t="s">
        <v>413</v>
      </c>
      <c r="P1600" s="14" t="s">
        <v>39</v>
      </c>
      <c r="Q1600" s="14" t="s">
        <v>25</v>
      </c>
      <c r="R1600" s="14" t="s">
        <v>410</v>
      </c>
    </row>
    <row r="1601" spans="1:18" s="14" customFormat="1" x14ac:dyDescent="0.25">
      <c r="A1601" s="14" t="str">
        <f>"16056"</f>
        <v>16056</v>
      </c>
      <c r="B1601" s="14" t="str">
        <f>"06000"</f>
        <v>06000</v>
      </c>
      <c r="C1601" s="14" t="str">
        <f>"1700"</f>
        <v>1700</v>
      </c>
      <c r="D1601" s="14" t="str">
        <f>"16056"</f>
        <v>16056</v>
      </c>
      <c r="E1601" s="14" t="s">
        <v>570</v>
      </c>
      <c r="F1601" s="14" t="s">
        <v>409</v>
      </c>
      <c r="G1601" s="14" t="str">
        <f>""</f>
        <v/>
      </c>
      <c r="H1601" s="14" t="str">
        <f>" 20"</f>
        <v xml:space="preserve"> 20</v>
      </c>
      <c r="I1601" s="14">
        <v>500.01</v>
      </c>
      <c r="J1601" s="14">
        <v>9999999.9900000002</v>
      </c>
      <c r="K1601" s="14" t="s">
        <v>414</v>
      </c>
      <c r="L1601" s="14" t="s">
        <v>411</v>
      </c>
      <c r="M1601" s="14" t="s">
        <v>412</v>
      </c>
      <c r="P1601" s="14" t="s">
        <v>39</v>
      </c>
      <c r="Q1601" s="14" t="s">
        <v>25</v>
      </c>
      <c r="R1601" s="14" t="s">
        <v>410</v>
      </c>
    </row>
    <row r="1602" spans="1:18" s="14" customFormat="1" x14ac:dyDescent="0.25">
      <c r="A1602" s="14" t="str">
        <f>"17001"</f>
        <v>17001</v>
      </c>
      <c r="B1602" s="14" t="str">
        <f>"01000"</f>
        <v>01000</v>
      </c>
      <c r="C1602" s="14" t="str">
        <f>"1200"</f>
        <v>1200</v>
      </c>
      <c r="D1602" s="14" t="str">
        <f>""</f>
        <v/>
      </c>
      <c r="E1602" s="14" t="s">
        <v>578</v>
      </c>
      <c r="F1602" s="14" t="s">
        <v>44</v>
      </c>
      <c r="G1602" s="14" t="str">
        <f>"GR0017001"</f>
        <v>GR0017001</v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37</v>
      </c>
      <c r="L1602" s="14" t="s">
        <v>38</v>
      </c>
      <c r="O1602" s="14" t="s">
        <v>579</v>
      </c>
      <c r="P1602" s="14" t="s">
        <v>39</v>
      </c>
      <c r="Q1602" s="14" t="s">
        <v>25</v>
      </c>
      <c r="R1602" s="14" t="s">
        <v>38</v>
      </c>
    </row>
    <row r="1603" spans="1:18" s="14" customFormat="1" x14ac:dyDescent="0.25">
      <c r="A1603" s="14" t="str">
        <f>"17002"</f>
        <v>17002</v>
      </c>
      <c r="B1603" s="14" t="str">
        <f>"01290"</f>
        <v>01290</v>
      </c>
      <c r="C1603" s="14" t="str">
        <f>"1300"</f>
        <v>1300</v>
      </c>
      <c r="D1603" s="14" t="str">
        <f>""</f>
        <v/>
      </c>
      <c r="E1603" s="14" t="s">
        <v>580</v>
      </c>
      <c r="F1603" s="14" t="s">
        <v>95</v>
      </c>
      <c r="G1603" s="14" t="str">
        <f>"GR0017002"</f>
        <v>GR0017002</v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37</v>
      </c>
      <c r="L1603" s="14" t="s">
        <v>38</v>
      </c>
      <c r="O1603" s="14" t="s">
        <v>37</v>
      </c>
      <c r="P1603" s="14" t="s">
        <v>39</v>
      </c>
      <c r="Q1603" s="14" t="s">
        <v>25</v>
      </c>
      <c r="R1603" s="14" t="s">
        <v>38</v>
      </c>
    </row>
    <row r="1604" spans="1:18" s="14" customFormat="1" x14ac:dyDescent="0.25">
      <c r="A1604" s="14" t="str">
        <f>"17003"</f>
        <v>17003</v>
      </c>
      <c r="B1604" s="14" t="str">
        <f>"01000"</f>
        <v>01000</v>
      </c>
      <c r="C1604" s="14" t="str">
        <f>"1200"</f>
        <v>1200</v>
      </c>
      <c r="D1604" s="14" t="str">
        <f>""</f>
        <v/>
      </c>
      <c r="E1604" s="14" t="s">
        <v>581</v>
      </c>
      <c r="F1604" s="14" t="s">
        <v>44</v>
      </c>
      <c r="G1604" s="14" t="str">
        <f>"GR0017003"</f>
        <v>GR0017003</v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37</v>
      </c>
      <c r="L1604" s="14" t="s">
        <v>34</v>
      </c>
      <c r="O1604" s="14" t="s">
        <v>38</v>
      </c>
      <c r="P1604" s="14" t="s">
        <v>39</v>
      </c>
      <c r="Q1604" s="14" t="s">
        <v>25</v>
      </c>
      <c r="R1604" s="14" t="s">
        <v>38</v>
      </c>
    </row>
    <row r="1605" spans="1:18" s="14" customFormat="1" x14ac:dyDescent="0.25">
      <c r="A1605" s="14" t="str">
        <f>"17004"</f>
        <v>17004</v>
      </c>
      <c r="B1605" s="14" t="str">
        <f>"01000"</f>
        <v>01000</v>
      </c>
      <c r="C1605" s="14" t="str">
        <f>"1700"</f>
        <v>1700</v>
      </c>
      <c r="D1605" s="14" t="str">
        <f>"17004"</f>
        <v>17004</v>
      </c>
      <c r="E1605" s="14" t="s">
        <v>582</v>
      </c>
      <c r="F1605" s="14" t="s">
        <v>44</v>
      </c>
      <c r="G1605" s="14" t="str">
        <f>"GR0017004"</f>
        <v>GR0017004</v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37</v>
      </c>
      <c r="L1605" s="14" t="s">
        <v>34</v>
      </c>
      <c r="O1605" s="14" t="s">
        <v>38</v>
      </c>
      <c r="P1605" s="14" t="s">
        <v>39</v>
      </c>
      <c r="Q1605" s="14" t="s">
        <v>25</v>
      </c>
      <c r="R1605" s="14" t="s">
        <v>38</v>
      </c>
    </row>
    <row r="1606" spans="1:18" s="14" customFormat="1" x14ac:dyDescent="0.25">
      <c r="A1606" s="14" t="str">
        <f>"18001"</f>
        <v>18001</v>
      </c>
      <c r="B1606" s="14" t="str">
        <f>"01000"</f>
        <v>01000</v>
      </c>
      <c r="C1606" s="14" t="str">
        <f>"1300"</f>
        <v>1300</v>
      </c>
      <c r="D1606" s="14" t="str">
        <f>"18001"</f>
        <v>18001</v>
      </c>
      <c r="E1606" s="14" t="s">
        <v>584</v>
      </c>
      <c r="F1606" s="14" t="s">
        <v>44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37</v>
      </c>
      <c r="L1606" s="14" t="s">
        <v>601</v>
      </c>
      <c r="P1606" s="14" t="s">
        <v>39</v>
      </c>
      <c r="Q1606" s="14" t="s">
        <v>25</v>
      </c>
      <c r="R1606" s="14" t="s">
        <v>38</v>
      </c>
    </row>
    <row r="1607" spans="1:18" s="14" customFormat="1" x14ac:dyDescent="0.25">
      <c r="A1607" s="14" t="str">
        <f>"18006"</f>
        <v>18006</v>
      </c>
      <c r="B1607" s="14" t="str">
        <f>"01687"</f>
        <v>01687</v>
      </c>
      <c r="C1607" s="14" t="str">
        <f>"1600"</f>
        <v>1600</v>
      </c>
      <c r="D1607" s="14" t="str">
        <f>"18006"</f>
        <v>18006</v>
      </c>
      <c r="E1607" s="14" t="s">
        <v>589</v>
      </c>
      <c r="F1607" s="14" t="s">
        <v>590</v>
      </c>
      <c r="G1607" s="14" t="str">
        <f>""</f>
        <v/>
      </c>
      <c r="H1607" s="14" t="str">
        <f>" 10"</f>
        <v xml:space="preserve"> 10</v>
      </c>
      <c r="I1607" s="14">
        <v>0.01</v>
      </c>
      <c r="J1607" s="14">
        <v>500</v>
      </c>
      <c r="K1607" s="14" t="s">
        <v>146</v>
      </c>
      <c r="L1607" s="14" t="s">
        <v>147</v>
      </c>
      <c r="P1607" s="14" t="s">
        <v>39</v>
      </c>
      <c r="Q1607" s="14" t="s">
        <v>25</v>
      </c>
      <c r="R1607" s="14" t="s">
        <v>146</v>
      </c>
    </row>
    <row r="1608" spans="1:18" s="14" customFormat="1" x14ac:dyDescent="0.25">
      <c r="A1608" s="14" t="str">
        <f>"18006"</f>
        <v>18006</v>
      </c>
      <c r="B1608" s="14" t="str">
        <f>"01687"</f>
        <v>01687</v>
      </c>
      <c r="C1608" s="14" t="str">
        <f>"1600"</f>
        <v>1600</v>
      </c>
      <c r="D1608" s="14" t="str">
        <f>"18006"</f>
        <v>18006</v>
      </c>
      <c r="E1608" s="14" t="s">
        <v>589</v>
      </c>
      <c r="F1608" s="14" t="s">
        <v>590</v>
      </c>
      <c r="G1608" s="14" t="str">
        <f>""</f>
        <v/>
      </c>
      <c r="H1608" s="14" t="str">
        <f>" 20"</f>
        <v xml:space="preserve"> 20</v>
      </c>
      <c r="I1608" s="14">
        <v>500.01</v>
      </c>
      <c r="J1608" s="14">
        <v>9999999.9900000002</v>
      </c>
      <c r="K1608" s="14" t="s">
        <v>591</v>
      </c>
      <c r="L1608" s="14" t="s">
        <v>147</v>
      </c>
      <c r="P1608" s="14" t="s">
        <v>39</v>
      </c>
      <c r="Q1608" s="14" t="s">
        <v>25</v>
      </c>
      <c r="R1608" s="14" t="s">
        <v>146</v>
      </c>
    </row>
    <row r="1609" spans="1:18" s="14" customFormat="1" x14ac:dyDescent="0.25">
      <c r="A1609" s="14" t="str">
        <f>"18010"</f>
        <v>18010</v>
      </c>
      <c r="B1609" s="14" t="str">
        <f>"01687"</f>
        <v>01687</v>
      </c>
      <c r="C1609" s="14" t="str">
        <f>"1600"</f>
        <v>1600</v>
      </c>
      <c r="D1609" s="14" t="str">
        <f>"18010"</f>
        <v>18010</v>
      </c>
      <c r="E1609" s="14" t="s">
        <v>595</v>
      </c>
      <c r="F1609" s="14" t="s">
        <v>590</v>
      </c>
      <c r="G1609" s="14" t="str">
        <f>""</f>
        <v/>
      </c>
      <c r="H1609" s="14" t="str">
        <f>" 10"</f>
        <v xml:space="preserve"> 10</v>
      </c>
      <c r="I1609" s="14">
        <v>0.01</v>
      </c>
      <c r="J1609" s="14">
        <v>500</v>
      </c>
      <c r="K1609" s="14" t="s">
        <v>146</v>
      </c>
      <c r="L1609" s="14" t="s">
        <v>147</v>
      </c>
      <c r="P1609" s="14" t="s">
        <v>39</v>
      </c>
      <c r="Q1609" s="14" t="s">
        <v>25</v>
      </c>
      <c r="R1609" s="14" t="s">
        <v>146</v>
      </c>
    </row>
    <row r="1610" spans="1:18" s="14" customFormat="1" x14ac:dyDescent="0.25">
      <c r="A1610" s="14" t="str">
        <f>"18010"</f>
        <v>18010</v>
      </c>
      <c r="B1610" s="14" t="str">
        <f>"01687"</f>
        <v>01687</v>
      </c>
      <c r="C1610" s="14" t="str">
        <f>"1600"</f>
        <v>1600</v>
      </c>
      <c r="D1610" s="14" t="str">
        <f>"18010"</f>
        <v>18010</v>
      </c>
      <c r="E1610" s="14" t="s">
        <v>595</v>
      </c>
      <c r="F1610" s="14" t="s">
        <v>590</v>
      </c>
      <c r="G1610" s="14" t="str">
        <f>""</f>
        <v/>
      </c>
      <c r="H1610" s="14" t="str">
        <f>" 20"</f>
        <v xml:space="preserve"> 20</v>
      </c>
      <c r="I1610" s="14">
        <v>500.01</v>
      </c>
      <c r="J1610" s="14">
        <v>9999999.9900000002</v>
      </c>
      <c r="K1610" s="14" t="s">
        <v>591</v>
      </c>
      <c r="L1610" s="14" t="s">
        <v>147</v>
      </c>
      <c r="P1610" s="14" t="s">
        <v>39</v>
      </c>
      <c r="Q1610" s="14" t="s">
        <v>25</v>
      </c>
      <c r="R1610" s="14" t="s">
        <v>146</v>
      </c>
    </row>
    <row r="1611" spans="1:18" s="14" customFormat="1" x14ac:dyDescent="0.25">
      <c r="A1611" s="14" t="str">
        <f>"18014"</f>
        <v>18014</v>
      </c>
      <c r="B1611" s="14" t="str">
        <f>"01000"</f>
        <v>01000</v>
      </c>
      <c r="C1611" s="14" t="str">
        <f>"1300"</f>
        <v>1300</v>
      </c>
      <c r="D1611" s="14" t="str">
        <f>"18014"</f>
        <v>18014</v>
      </c>
      <c r="E1611" s="14" t="s">
        <v>597</v>
      </c>
      <c r="F1611" s="14" t="s">
        <v>44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37</v>
      </c>
      <c r="L1611" s="14" t="s">
        <v>34</v>
      </c>
      <c r="P1611" s="14" t="s">
        <v>39</v>
      </c>
      <c r="Q1611" s="14" t="s">
        <v>25</v>
      </c>
      <c r="R1611" s="14" t="s">
        <v>38</v>
      </c>
    </row>
    <row r="1612" spans="1:18" s="14" customFormat="1" x14ac:dyDescent="0.25">
      <c r="A1612" s="14" t="str">
        <f>"18015"</f>
        <v>18015</v>
      </c>
      <c r="B1612" s="14" t="str">
        <f>"01000"</f>
        <v>01000</v>
      </c>
      <c r="C1612" s="14" t="str">
        <f>"1300"</f>
        <v>1300</v>
      </c>
      <c r="D1612" s="14" t="str">
        <f>"18015"</f>
        <v>18015</v>
      </c>
      <c r="E1612" s="14" t="s">
        <v>598</v>
      </c>
      <c r="F1612" s="14" t="s">
        <v>44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37</v>
      </c>
      <c r="L1612" s="14" t="s">
        <v>38</v>
      </c>
      <c r="P1612" s="14" t="s">
        <v>39</v>
      </c>
      <c r="Q1612" s="14" t="s">
        <v>25</v>
      </c>
      <c r="R1612" s="14" t="s">
        <v>38</v>
      </c>
    </row>
    <row r="1613" spans="1:18" s="14" customFormat="1" x14ac:dyDescent="0.25">
      <c r="A1613" s="14" t="str">
        <f>"18016"</f>
        <v>18016</v>
      </c>
      <c r="B1613" s="14" t="str">
        <f>"01000"</f>
        <v>01000</v>
      </c>
      <c r="C1613" s="14" t="str">
        <f>"1300"</f>
        <v>1300</v>
      </c>
      <c r="D1613" s="14" t="str">
        <f>"18016"</f>
        <v>18016</v>
      </c>
      <c r="E1613" s="14" t="s">
        <v>599</v>
      </c>
      <c r="F1613" s="14" t="s">
        <v>44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37</v>
      </c>
      <c r="L1613" s="14" t="s">
        <v>34</v>
      </c>
      <c r="P1613" s="14" t="s">
        <v>39</v>
      </c>
      <c r="Q1613" s="14" t="s">
        <v>25</v>
      </c>
      <c r="R1613" s="14" t="s">
        <v>38</v>
      </c>
    </row>
    <row r="1614" spans="1:18" s="14" customFormat="1" x14ac:dyDescent="0.25">
      <c r="A1614" s="14" t="str">
        <f>"18017"</f>
        <v>18017</v>
      </c>
      <c r="B1614" s="14" t="str">
        <f>"01000"</f>
        <v>01000</v>
      </c>
      <c r="C1614" s="14" t="str">
        <f>"1300"</f>
        <v>1300</v>
      </c>
      <c r="D1614" s="14" t="str">
        <f>"18017"</f>
        <v>18017</v>
      </c>
      <c r="E1614" s="14" t="s">
        <v>600</v>
      </c>
      <c r="F1614" s="14" t="s">
        <v>44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37</v>
      </c>
      <c r="L1614" s="14" t="s">
        <v>601</v>
      </c>
      <c r="M1614" s="14" t="s">
        <v>38</v>
      </c>
      <c r="P1614" s="14" t="s">
        <v>39</v>
      </c>
      <c r="Q1614" s="14" t="s">
        <v>25</v>
      </c>
      <c r="R1614" s="14" t="s">
        <v>45</v>
      </c>
    </row>
    <row r="1615" spans="1:18" s="14" customFormat="1" x14ac:dyDescent="0.25">
      <c r="A1615" s="14" t="str">
        <f>"18020"</f>
        <v>18020</v>
      </c>
      <c r="B1615" s="14" t="str">
        <f>"01660"</f>
        <v>01660</v>
      </c>
      <c r="C1615" s="14" t="str">
        <f>"1300"</f>
        <v>1300</v>
      </c>
      <c r="D1615" s="14" t="str">
        <f>"18020"</f>
        <v>18020</v>
      </c>
      <c r="E1615" s="14" t="s">
        <v>604</v>
      </c>
      <c r="F1615" s="14" t="s">
        <v>145</v>
      </c>
      <c r="G1615" s="14" t="str">
        <f>""</f>
        <v/>
      </c>
      <c r="H1615" s="14" t="str">
        <f>" 10"</f>
        <v xml:space="preserve"> 10</v>
      </c>
      <c r="I1615" s="14">
        <v>0.01</v>
      </c>
      <c r="J1615" s="14">
        <v>500</v>
      </c>
      <c r="K1615" s="14" t="s">
        <v>146</v>
      </c>
      <c r="L1615" s="14" t="s">
        <v>147</v>
      </c>
      <c r="P1615" s="14" t="s">
        <v>39</v>
      </c>
      <c r="Q1615" s="14" t="s">
        <v>25</v>
      </c>
      <c r="R1615" s="14" t="s">
        <v>146</v>
      </c>
    </row>
    <row r="1616" spans="1:18" s="14" customFormat="1" x14ac:dyDescent="0.25">
      <c r="A1616" s="14" t="str">
        <f>"18020"</f>
        <v>18020</v>
      </c>
      <c r="B1616" s="14" t="str">
        <f>"01660"</f>
        <v>01660</v>
      </c>
      <c r="C1616" s="14" t="str">
        <f>"1300"</f>
        <v>1300</v>
      </c>
      <c r="D1616" s="14" t="str">
        <f>"18020"</f>
        <v>18020</v>
      </c>
      <c r="E1616" s="14" t="s">
        <v>604</v>
      </c>
      <c r="F1616" s="14" t="s">
        <v>145</v>
      </c>
      <c r="G1616" s="14" t="str">
        <f>""</f>
        <v/>
      </c>
      <c r="H1616" s="14" t="str">
        <f>" 20"</f>
        <v xml:space="preserve"> 20</v>
      </c>
      <c r="I1616" s="14">
        <v>500.01</v>
      </c>
      <c r="J1616" s="14">
        <v>9999999.9900000002</v>
      </c>
      <c r="K1616" s="14" t="s">
        <v>147</v>
      </c>
      <c r="L1616" s="14" t="s">
        <v>148</v>
      </c>
      <c r="P1616" s="14" t="s">
        <v>39</v>
      </c>
      <c r="Q1616" s="14" t="s">
        <v>25</v>
      </c>
      <c r="R1616" s="14" t="s">
        <v>146</v>
      </c>
    </row>
    <row r="1617" spans="1:18" s="14" customFormat="1" x14ac:dyDescent="0.25">
      <c r="A1617" s="14" t="str">
        <f>"18021"</f>
        <v>18021</v>
      </c>
      <c r="B1617" s="14" t="str">
        <f>"01300"</f>
        <v>01300</v>
      </c>
      <c r="C1617" s="14" t="str">
        <f>"1300"</f>
        <v>1300</v>
      </c>
      <c r="D1617" s="14" t="str">
        <f>"18021"</f>
        <v>18021</v>
      </c>
      <c r="E1617" s="14" t="s">
        <v>605</v>
      </c>
      <c r="F1617" s="14" t="s">
        <v>96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48</v>
      </c>
      <c r="L1617" s="14" t="s">
        <v>97</v>
      </c>
      <c r="M1617" s="14" t="s">
        <v>98</v>
      </c>
      <c r="P1617" s="14" t="s">
        <v>39</v>
      </c>
      <c r="Q1617" s="14" t="s">
        <v>25</v>
      </c>
      <c r="R1617" s="14" t="s">
        <v>49</v>
      </c>
    </row>
    <row r="1618" spans="1:18" s="14" customFormat="1" x14ac:dyDescent="0.25">
      <c r="A1618" s="14" t="str">
        <f>"18024"</f>
        <v>18024</v>
      </c>
      <c r="B1618" s="14" t="str">
        <f>"01660"</f>
        <v>01660</v>
      </c>
      <c r="C1618" s="14" t="str">
        <f>"1300"</f>
        <v>1300</v>
      </c>
      <c r="D1618" s="14" t="str">
        <f>"18024"</f>
        <v>18024</v>
      </c>
      <c r="E1618" s="14" t="s">
        <v>606</v>
      </c>
      <c r="F1618" s="14" t="s">
        <v>145</v>
      </c>
      <c r="G1618" s="14" t="str">
        <f>""</f>
        <v/>
      </c>
      <c r="H1618" s="14" t="str">
        <f>" 10"</f>
        <v xml:space="preserve"> 10</v>
      </c>
      <c r="I1618" s="14">
        <v>0.01</v>
      </c>
      <c r="J1618" s="14">
        <v>500</v>
      </c>
      <c r="K1618" s="14" t="s">
        <v>146</v>
      </c>
      <c r="L1618" s="14" t="s">
        <v>147</v>
      </c>
      <c r="P1618" s="14" t="s">
        <v>39</v>
      </c>
      <c r="Q1618" s="14" t="s">
        <v>25</v>
      </c>
      <c r="R1618" s="14" t="s">
        <v>146</v>
      </c>
    </row>
    <row r="1619" spans="1:18" s="14" customFormat="1" x14ac:dyDescent="0.25">
      <c r="A1619" s="14" t="str">
        <f>"18024"</f>
        <v>18024</v>
      </c>
      <c r="B1619" s="14" t="str">
        <f>"01660"</f>
        <v>01660</v>
      </c>
      <c r="C1619" s="14" t="str">
        <f>"1300"</f>
        <v>1300</v>
      </c>
      <c r="D1619" s="14" t="str">
        <f>"18024"</f>
        <v>18024</v>
      </c>
      <c r="E1619" s="14" t="s">
        <v>606</v>
      </c>
      <c r="F1619" s="14" t="s">
        <v>145</v>
      </c>
      <c r="G1619" s="14" t="str">
        <f>""</f>
        <v/>
      </c>
      <c r="H1619" s="14" t="str">
        <f>" 20"</f>
        <v xml:space="preserve"> 20</v>
      </c>
      <c r="I1619" s="14">
        <v>500.01</v>
      </c>
      <c r="J1619" s="14">
        <v>9999999.9900000002</v>
      </c>
      <c r="K1619" s="14" t="s">
        <v>147</v>
      </c>
      <c r="L1619" s="14" t="s">
        <v>148</v>
      </c>
      <c r="P1619" s="14" t="s">
        <v>39</v>
      </c>
      <c r="Q1619" s="14" t="s">
        <v>25</v>
      </c>
      <c r="R1619" s="14" t="s">
        <v>146</v>
      </c>
    </row>
    <row r="1620" spans="1:18" s="14" customFormat="1" x14ac:dyDescent="0.25">
      <c r="A1620" s="14" t="str">
        <f>"18049"</f>
        <v>18049</v>
      </c>
      <c r="B1620" s="14" t="str">
        <f>"01687"</f>
        <v>01687</v>
      </c>
      <c r="C1620" s="14" t="str">
        <f>"1600"</f>
        <v>1600</v>
      </c>
      <c r="D1620" s="14" t="str">
        <f>"18049"</f>
        <v>18049</v>
      </c>
      <c r="E1620" s="14" t="s">
        <v>614</v>
      </c>
      <c r="F1620" s="14" t="s">
        <v>590</v>
      </c>
      <c r="G1620" s="14" t="str">
        <f>""</f>
        <v/>
      </c>
      <c r="H1620" s="14" t="str">
        <f>" 10"</f>
        <v xml:space="preserve"> 10</v>
      </c>
      <c r="I1620" s="14">
        <v>0.01</v>
      </c>
      <c r="J1620" s="14">
        <v>500</v>
      </c>
      <c r="K1620" s="14" t="s">
        <v>146</v>
      </c>
      <c r="L1620" s="14" t="s">
        <v>147</v>
      </c>
      <c r="P1620" s="14" t="s">
        <v>39</v>
      </c>
      <c r="Q1620" s="14" t="s">
        <v>25</v>
      </c>
      <c r="R1620" s="14" t="s">
        <v>146</v>
      </c>
    </row>
    <row r="1621" spans="1:18" s="14" customFormat="1" x14ac:dyDescent="0.25">
      <c r="A1621" s="14" t="str">
        <f>"18049"</f>
        <v>18049</v>
      </c>
      <c r="B1621" s="14" t="str">
        <f>"01687"</f>
        <v>01687</v>
      </c>
      <c r="C1621" s="14" t="str">
        <f>"1600"</f>
        <v>1600</v>
      </c>
      <c r="D1621" s="14" t="str">
        <f>"18049"</f>
        <v>18049</v>
      </c>
      <c r="E1621" s="14" t="s">
        <v>614</v>
      </c>
      <c r="F1621" s="14" t="s">
        <v>590</v>
      </c>
      <c r="G1621" s="14" t="str">
        <f>""</f>
        <v/>
      </c>
      <c r="H1621" s="14" t="str">
        <f>" 20"</f>
        <v xml:space="preserve"> 20</v>
      </c>
      <c r="I1621" s="14">
        <v>500.01</v>
      </c>
      <c r="J1621" s="14">
        <v>9999999.9900000002</v>
      </c>
      <c r="K1621" s="14" t="s">
        <v>591</v>
      </c>
      <c r="L1621" s="14" t="s">
        <v>147</v>
      </c>
      <c r="P1621" s="14" t="s">
        <v>39</v>
      </c>
      <c r="Q1621" s="14" t="s">
        <v>25</v>
      </c>
      <c r="R1621" s="14" t="s">
        <v>146</v>
      </c>
    </row>
    <row r="1622" spans="1:18" s="14" customFormat="1" x14ac:dyDescent="0.25">
      <c r="A1622" s="14" t="str">
        <f>"18054"</f>
        <v>18054</v>
      </c>
      <c r="B1622" s="14" t="str">
        <f>"01662"</f>
        <v>01662</v>
      </c>
      <c r="C1622" s="14" t="str">
        <f>"1100"</f>
        <v>1100</v>
      </c>
      <c r="D1622" s="14" t="str">
        <f>"01662"</f>
        <v>01662</v>
      </c>
      <c r="E1622" s="14" t="s">
        <v>615</v>
      </c>
      <c r="F1622" s="14" t="s">
        <v>615</v>
      </c>
      <c r="G1622" s="14" t="str">
        <f>""</f>
        <v/>
      </c>
      <c r="H1622" s="14" t="str">
        <f>" 10"</f>
        <v xml:space="preserve"> 10</v>
      </c>
      <c r="I1622" s="14">
        <v>0.01</v>
      </c>
      <c r="J1622" s="14">
        <v>500</v>
      </c>
      <c r="K1622" s="14" t="s">
        <v>146</v>
      </c>
      <c r="L1622" s="14" t="s">
        <v>147</v>
      </c>
      <c r="P1622" s="14" t="s">
        <v>39</v>
      </c>
      <c r="Q1622" s="14" t="s">
        <v>25</v>
      </c>
      <c r="R1622" s="14" t="s">
        <v>146</v>
      </c>
    </row>
    <row r="1623" spans="1:18" s="14" customFormat="1" x14ac:dyDescent="0.25">
      <c r="A1623" s="14" t="str">
        <f>"18054"</f>
        <v>18054</v>
      </c>
      <c r="B1623" s="14" t="str">
        <f>"01662"</f>
        <v>01662</v>
      </c>
      <c r="C1623" s="14" t="str">
        <f>"1100"</f>
        <v>1100</v>
      </c>
      <c r="D1623" s="14" t="str">
        <f>"01662"</f>
        <v>01662</v>
      </c>
      <c r="E1623" s="14" t="s">
        <v>615</v>
      </c>
      <c r="F1623" s="14" t="s">
        <v>615</v>
      </c>
      <c r="G1623" s="14" t="str">
        <f>""</f>
        <v/>
      </c>
      <c r="H1623" s="14" t="str">
        <f>" 20"</f>
        <v xml:space="preserve"> 20</v>
      </c>
      <c r="I1623" s="14">
        <v>500.01</v>
      </c>
      <c r="J1623" s="14">
        <v>9999999.9900000002</v>
      </c>
      <c r="K1623" s="14" t="s">
        <v>591</v>
      </c>
      <c r="L1623" s="14" t="s">
        <v>147</v>
      </c>
      <c r="P1623" s="14" t="s">
        <v>39</v>
      </c>
      <c r="Q1623" s="14" t="s">
        <v>25</v>
      </c>
      <c r="R1623" s="14" t="s">
        <v>146</v>
      </c>
    </row>
    <row r="1624" spans="1:18" s="14" customFormat="1" x14ac:dyDescent="0.25">
      <c r="A1624" s="14" t="str">
        <f>"18054"</f>
        <v>18054</v>
      </c>
      <c r="B1624" s="14" t="str">
        <f>"01663"</f>
        <v>01663</v>
      </c>
      <c r="C1624" s="14" t="str">
        <f>"1100"</f>
        <v>1100</v>
      </c>
      <c r="D1624" s="14" t="str">
        <f>"01663"</f>
        <v>01663</v>
      </c>
      <c r="E1624" s="14" t="s">
        <v>615</v>
      </c>
      <c r="F1624" s="14" t="s">
        <v>616</v>
      </c>
      <c r="G1624" s="14" t="str">
        <f>""</f>
        <v/>
      </c>
      <c r="H1624" s="14" t="str">
        <f>" 10"</f>
        <v xml:space="preserve"> 10</v>
      </c>
      <c r="I1624" s="14">
        <v>0.01</v>
      </c>
      <c r="J1624" s="14">
        <v>500</v>
      </c>
      <c r="K1624" s="14" t="s">
        <v>146</v>
      </c>
      <c r="L1624" s="14" t="s">
        <v>147</v>
      </c>
      <c r="P1624" s="14" t="s">
        <v>39</v>
      </c>
      <c r="Q1624" s="14" t="s">
        <v>25</v>
      </c>
      <c r="R1624" s="14" t="s">
        <v>146</v>
      </c>
    </row>
    <row r="1625" spans="1:18" s="14" customFormat="1" x14ac:dyDescent="0.25">
      <c r="A1625" s="14" t="str">
        <f>"18054"</f>
        <v>18054</v>
      </c>
      <c r="B1625" s="14" t="str">
        <f>"01663"</f>
        <v>01663</v>
      </c>
      <c r="C1625" s="14" t="str">
        <f>"1100"</f>
        <v>1100</v>
      </c>
      <c r="D1625" s="14" t="str">
        <f>"01663"</f>
        <v>01663</v>
      </c>
      <c r="E1625" s="14" t="s">
        <v>615</v>
      </c>
      <c r="F1625" s="14" t="s">
        <v>616</v>
      </c>
      <c r="G1625" s="14" t="str">
        <f>""</f>
        <v/>
      </c>
      <c r="H1625" s="14" t="str">
        <f>" 20"</f>
        <v xml:space="preserve"> 20</v>
      </c>
      <c r="I1625" s="14">
        <v>500.01</v>
      </c>
      <c r="J1625" s="14">
        <v>9999999.9900000002</v>
      </c>
      <c r="K1625" s="14" t="s">
        <v>591</v>
      </c>
      <c r="L1625" s="14" t="s">
        <v>147</v>
      </c>
      <c r="P1625" s="14" t="s">
        <v>39</v>
      </c>
      <c r="Q1625" s="14" t="s">
        <v>25</v>
      </c>
      <c r="R1625" s="14" t="s">
        <v>146</v>
      </c>
    </row>
    <row r="1626" spans="1:18" s="14" customFormat="1" x14ac:dyDescent="0.25">
      <c r="A1626" s="14" t="str">
        <f>"18054"</f>
        <v>18054</v>
      </c>
      <c r="B1626" s="14" t="str">
        <f>"01664"</f>
        <v>01664</v>
      </c>
      <c r="C1626" s="14" t="str">
        <f>"1100"</f>
        <v>1100</v>
      </c>
      <c r="D1626" s="14" t="str">
        <f>"01664"</f>
        <v>01664</v>
      </c>
      <c r="E1626" s="14" t="s">
        <v>615</v>
      </c>
      <c r="F1626" s="14" t="s">
        <v>617</v>
      </c>
      <c r="G1626" s="14" t="str">
        <f>""</f>
        <v/>
      </c>
      <c r="H1626" s="14" t="str">
        <f>" 10"</f>
        <v xml:space="preserve"> 10</v>
      </c>
      <c r="I1626" s="14">
        <v>0.01</v>
      </c>
      <c r="J1626" s="14">
        <v>500</v>
      </c>
      <c r="K1626" s="14" t="s">
        <v>146</v>
      </c>
      <c r="L1626" s="14" t="s">
        <v>147</v>
      </c>
      <c r="P1626" s="14" t="s">
        <v>39</v>
      </c>
      <c r="Q1626" s="14" t="s">
        <v>25</v>
      </c>
      <c r="R1626" s="14" t="s">
        <v>146</v>
      </c>
    </row>
    <row r="1627" spans="1:18" s="14" customFormat="1" x14ac:dyDescent="0.25">
      <c r="A1627" s="14" t="str">
        <f>"18054"</f>
        <v>18054</v>
      </c>
      <c r="B1627" s="14" t="str">
        <f>"01664"</f>
        <v>01664</v>
      </c>
      <c r="C1627" s="14" t="str">
        <f>"1100"</f>
        <v>1100</v>
      </c>
      <c r="D1627" s="14" t="str">
        <f>"01664"</f>
        <v>01664</v>
      </c>
      <c r="E1627" s="14" t="s">
        <v>615</v>
      </c>
      <c r="F1627" s="14" t="s">
        <v>617</v>
      </c>
      <c r="G1627" s="14" t="str">
        <f>""</f>
        <v/>
      </c>
      <c r="H1627" s="14" t="str">
        <f>" 20"</f>
        <v xml:space="preserve"> 20</v>
      </c>
      <c r="I1627" s="14">
        <v>500.01</v>
      </c>
      <c r="J1627" s="14">
        <v>9999999.9900000002</v>
      </c>
      <c r="K1627" s="14" t="s">
        <v>591</v>
      </c>
      <c r="L1627" s="14" t="s">
        <v>147</v>
      </c>
      <c r="P1627" s="14" t="s">
        <v>39</v>
      </c>
      <c r="Q1627" s="14" t="s">
        <v>25</v>
      </c>
      <c r="R1627" s="14" t="s">
        <v>146</v>
      </c>
    </row>
    <row r="1628" spans="1:18" s="14" customFormat="1" x14ac:dyDescent="0.25">
      <c r="A1628" s="14" t="str">
        <f>"18054"</f>
        <v>18054</v>
      </c>
      <c r="B1628" s="14" t="str">
        <f>"01665"</f>
        <v>01665</v>
      </c>
      <c r="C1628" s="14" t="str">
        <f>"1100"</f>
        <v>1100</v>
      </c>
      <c r="D1628" s="14" t="str">
        <f>"01665"</f>
        <v>01665</v>
      </c>
      <c r="E1628" s="14" t="s">
        <v>615</v>
      </c>
      <c r="F1628" s="14" t="s">
        <v>618</v>
      </c>
      <c r="G1628" s="14" t="str">
        <f>""</f>
        <v/>
      </c>
      <c r="H1628" s="14" t="str">
        <f>" 10"</f>
        <v xml:space="preserve"> 10</v>
      </c>
      <c r="I1628" s="14">
        <v>0.01</v>
      </c>
      <c r="J1628" s="14">
        <v>500</v>
      </c>
      <c r="K1628" s="14" t="s">
        <v>146</v>
      </c>
      <c r="L1628" s="14" t="s">
        <v>147</v>
      </c>
      <c r="P1628" s="14" t="s">
        <v>39</v>
      </c>
      <c r="Q1628" s="14" t="s">
        <v>25</v>
      </c>
      <c r="R1628" s="14" t="s">
        <v>146</v>
      </c>
    </row>
    <row r="1629" spans="1:18" s="14" customFormat="1" x14ac:dyDescent="0.25">
      <c r="A1629" s="14" t="str">
        <f>"18054"</f>
        <v>18054</v>
      </c>
      <c r="B1629" s="14" t="str">
        <f>"01665"</f>
        <v>01665</v>
      </c>
      <c r="C1629" s="14" t="str">
        <f>"1100"</f>
        <v>1100</v>
      </c>
      <c r="D1629" s="14" t="str">
        <f>"01665"</f>
        <v>01665</v>
      </c>
      <c r="E1629" s="14" t="s">
        <v>615</v>
      </c>
      <c r="F1629" s="14" t="s">
        <v>618</v>
      </c>
      <c r="G1629" s="14" t="str">
        <f>""</f>
        <v/>
      </c>
      <c r="H1629" s="14" t="str">
        <f>" 20"</f>
        <v xml:space="preserve"> 20</v>
      </c>
      <c r="I1629" s="14">
        <v>500.01</v>
      </c>
      <c r="J1629" s="14">
        <v>9999999.9900000002</v>
      </c>
      <c r="K1629" s="14" t="s">
        <v>591</v>
      </c>
      <c r="L1629" s="14" t="s">
        <v>147</v>
      </c>
      <c r="P1629" s="14" t="s">
        <v>39</v>
      </c>
      <c r="Q1629" s="14" t="s">
        <v>25</v>
      </c>
      <c r="R1629" s="14" t="s">
        <v>146</v>
      </c>
    </row>
    <row r="1630" spans="1:18" s="14" customFormat="1" x14ac:dyDescent="0.25">
      <c r="A1630" s="14" t="str">
        <f>"18054"</f>
        <v>18054</v>
      </c>
      <c r="B1630" s="14" t="str">
        <f>"01666"</f>
        <v>01666</v>
      </c>
      <c r="C1630" s="14" t="str">
        <f>"1100"</f>
        <v>1100</v>
      </c>
      <c r="D1630" s="14" t="str">
        <f>"01666"</f>
        <v>01666</v>
      </c>
      <c r="E1630" s="14" t="s">
        <v>615</v>
      </c>
      <c r="F1630" s="14" t="s">
        <v>619</v>
      </c>
      <c r="G1630" s="14" t="str">
        <f>""</f>
        <v/>
      </c>
      <c r="H1630" s="14" t="str">
        <f>" 10"</f>
        <v xml:space="preserve"> 10</v>
      </c>
      <c r="I1630" s="14">
        <v>0.01</v>
      </c>
      <c r="J1630" s="14">
        <v>500</v>
      </c>
      <c r="K1630" s="14" t="s">
        <v>146</v>
      </c>
      <c r="L1630" s="14" t="s">
        <v>147</v>
      </c>
      <c r="P1630" s="14" t="s">
        <v>39</v>
      </c>
      <c r="Q1630" s="14" t="s">
        <v>25</v>
      </c>
      <c r="R1630" s="14" t="s">
        <v>146</v>
      </c>
    </row>
    <row r="1631" spans="1:18" s="14" customFormat="1" x14ac:dyDescent="0.25">
      <c r="A1631" s="14" t="str">
        <f>"18054"</f>
        <v>18054</v>
      </c>
      <c r="B1631" s="14" t="str">
        <f>"01666"</f>
        <v>01666</v>
      </c>
      <c r="C1631" s="14" t="str">
        <f>"1100"</f>
        <v>1100</v>
      </c>
      <c r="D1631" s="14" t="str">
        <f>"01666"</f>
        <v>01666</v>
      </c>
      <c r="E1631" s="14" t="s">
        <v>615</v>
      </c>
      <c r="F1631" s="14" t="s">
        <v>619</v>
      </c>
      <c r="G1631" s="14" t="str">
        <f>""</f>
        <v/>
      </c>
      <c r="H1631" s="14" t="str">
        <f>" 20"</f>
        <v xml:space="preserve"> 20</v>
      </c>
      <c r="I1631" s="14">
        <v>500.01</v>
      </c>
      <c r="J1631" s="14">
        <v>9999999.9900000002</v>
      </c>
      <c r="K1631" s="14" t="s">
        <v>591</v>
      </c>
      <c r="L1631" s="14" t="s">
        <v>147</v>
      </c>
      <c r="P1631" s="14" t="s">
        <v>39</v>
      </c>
      <c r="Q1631" s="14" t="s">
        <v>25</v>
      </c>
      <c r="R1631" s="14" t="s">
        <v>146</v>
      </c>
    </row>
    <row r="1632" spans="1:18" s="14" customFormat="1" x14ac:dyDescent="0.25">
      <c r="A1632" s="14" t="str">
        <f>"18054"</f>
        <v>18054</v>
      </c>
      <c r="B1632" s="14" t="str">
        <f>"01667"</f>
        <v>01667</v>
      </c>
      <c r="C1632" s="14" t="str">
        <f>"1100"</f>
        <v>1100</v>
      </c>
      <c r="D1632" s="14" t="str">
        <f>"01667"</f>
        <v>01667</v>
      </c>
      <c r="E1632" s="14" t="s">
        <v>615</v>
      </c>
      <c r="F1632" s="14" t="s">
        <v>620</v>
      </c>
      <c r="G1632" s="14" t="str">
        <f>""</f>
        <v/>
      </c>
      <c r="H1632" s="14" t="str">
        <f>" 10"</f>
        <v xml:space="preserve"> 10</v>
      </c>
      <c r="I1632" s="14">
        <v>0.01</v>
      </c>
      <c r="J1632" s="14">
        <v>500</v>
      </c>
      <c r="K1632" s="14" t="s">
        <v>146</v>
      </c>
      <c r="L1632" s="14" t="s">
        <v>147</v>
      </c>
      <c r="P1632" s="14" t="s">
        <v>39</v>
      </c>
      <c r="Q1632" s="14" t="s">
        <v>25</v>
      </c>
      <c r="R1632" s="14" t="s">
        <v>146</v>
      </c>
    </row>
    <row r="1633" spans="1:18" s="14" customFormat="1" x14ac:dyDescent="0.25">
      <c r="A1633" s="14" t="str">
        <f>"18054"</f>
        <v>18054</v>
      </c>
      <c r="B1633" s="14" t="str">
        <f>"01667"</f>
        <v>01667</v>
      </c>
      <c r="C1633" s="14" t="str">
        <f>"1100"</f>
        <v>1100</v>
      </c>
      <c r="D1633" s="14" t="str">
        <f>"01667"</f>
        <v>01667</v>
      </c>
      <c r="E1633" s="14" t="s">
        <v>615</v>
      </c>
      <c r="F1633" s="14" t="s">
        <v>620</v>
      </c>
      <c r="G1633" s="14" t="str">
        <f>""</f>
        <v/>
      </c>
      <c r="H1633" s="14" t="str">
        <f>" 20"</f>
        <v xml:space="preserve"> 20</v>
      </c>
      <c r="I1633" s="14">
        <v>500.01</v>
      </c>
      <c r="J1633" s="14">
        <v>9999999.9900000002</v>
      </c>
      <c r="K1633" s="14" t="s">
        <v>591</v>
      </c>
      <c r="L1633" s="14" t="s">
        <v>147</v>
      </c>
      <c r="P1633" s="14" t="s">
        <v>39</v>
      </c>
      <c r="Q1633" s="14" t="s">
        <v>25</v>
      </c>
      <c r="R1633" s="14" t="s">
        <v>146</v>
      </c>
    </row>
    <row r="1634" spans="1:18" s="14" customFormat="1" x14ac:dyDescent="0.25">
      <c r="A1634" s="14" t="str">
        <f>"18054"</f>
        <v>18054</v>
      </c>
      <c r="B1634" s="14" t="str">
        <f>"01668"</f>
        <v>01668</v>
      </c>
      <c r="C1634" s="14" t="str">
        <f>"1100"</f>
        <v>1100</v>
      </c>
      <c r="D1634" s="14" t="str">
        <f>"01668"</f>
        <v>01668</v>
      </c>
      <c r="E1634" s="14" t="s">
        <v>615</v>
      </c>
      <c r="F1634" s="14" t="s">
        <v>621</v>
      </c>
      <c r="G1634" s="14" t="str">
        <f>""</f>
        <v/>
      </c>
      <c r="H1634" s="14" t="str">
        <f>" 10"</f>
        <v xml:space="preserve"> 10</v>
      </c>
      <c r="I1634" s="14">
        <v>0.01</v>
      </c>
      <c r="J1634" s="14">
        <v>500</v>
      </c>
      <c r="K1634" s="14" t="s">
        <v>146</v>
      </c>
      <c r="L1634" s="14" t="s">
        <v>147</v>
      </c>
      <c r="P1634" s="14" t="s">
        <v>39</v>
      </c>
      <c r="Q1634" s="14" t="s">
        <v>25</v>
      </c>
      <c r="R1634" s="14" t="s">
        <v>146</v>
      </c>
    </row>
    <row r="1635" spans="1:18" s="14" customFormat="1" x14ac:dyDescent="0.25">
      <c r="A1635" s="14" t="str">
        <f>"18054"</f>
        <v>18054</v>
      </c>
      <c r="B1635" s="14" t="str">
        <f>"01668"</f>
        <v>01668</v>
      </c>
      <c r="C1635" s="14" t="str">
        <f>"1100"</f>
        <v>1100</v>
      </c>
      <c r="D1635" s="14" t="str">
        <f>"01668"</f>
        <v>01668</v>
      </c>
      <c r="E1635" s="14" t="s">
        <v>615</v>
      </c>
      <c r="F1635" s="14" t="s">
        <v>621</v>
      </c>
      <c r="G1635" s="14" t="str">
        <f>""</f>
        <v/>
      </c>
      <c r="H1635" s="14" t="str">
        <f>" 20"</f>
        <v xml:space="preserve"> 20</v>
      </c>
      <c r="I1635" s="14">
        <v>500.01</v>
      </c>
      <c r="J1635" s="14">
        <v>9999999.9900000002</v>
      </c>
      <c r="K1635" s="14" t="s">
        <v>591</v>
      </c>
      <c r="L1635" s="14" t="s">
        <v>147</v>
      </c>
      <c r="P1635" s="14" t="s">
        <v>39</v>
      </c>
      <c r="Q1635" s="14" t="s">
        <v>25</v>
      </c>
      <c r="R1635" s="14" t="s">
        <v>146</v>
      </c>
    </row>
    <row r="1636" spans="1:18" s="14" customFormat="1" x14ac:dyDescent="0.25">
      <c r="A1636" s="14" t="str">
        <f>"18054"</f>
        <v>18054</v>
      </c>
      <c r="B1636" s="14" t="str">
        <f>"01669"</f>
        <v>01669</v>
      </c>
      <c r="C1636" s="14" t="str">
        <f>"1100"</f>
        <v>1100</v>
      </c>
      <c r="D1636" s="14" t="str">
        <f>"01669"</f>
        <v>01669</v>
      </c>
      <c r="E1636" s="14" t="s">
        <v>615</v>
      </c>
      <c r="F1636" s="14" t="s">
        <v>622</v>
      </c>
      <c r="G1636" s="14" t="str">
        <f>""</f>
        <v/>
      </c>
      <c r="H1636" s="14" t="str">
        <f>" 10"</f>
        <v xml:space="preserve"> 10</v>
      </c>
      <c r="I1636" s="14">
        <v>0.01</v>
      </c>
      <c r="J1636" s="14">
        <v>500</v>
      </c>
      <c r="K1636" s="14" t="s">
        <v>146</v>
      </c>
      <c r="L1636" s="14" t="s">
        <v>147</v>
      </c>
      <c r="P1636" s="14" t="s">
        <v>39</v>
      </c>
      <c r="Q1636" s="14" t="s">
        <v>25</v>
      </c>
      <c r="R1636" s="14" t="s">
        <v>146</v>
      </c>
    </row>
    <row r="1637" spans="1:18" s="14" customFormat="1" x14ac:dyDescent="0.25">
      <c r="A1637" s="14" t="str">
        <f>"18054"</f>
        <v>18054</v>
      </c>
      <c r="B1637" s="14" t="str">
        <f>"01669"</f>
        <v>01669</v>
      </c>
      <c r="C1637" s="14" t="str">
        <f>"1100"</f>
        <v>1100</v>
      </c>
      <c r="D1637" s="14" t="str">
        <f>"01669"</f>
        <v>01669</v>
      </c>
      <c r="E1637" s="14" t="s">
        <v>615</v>
      </c>
      <c r="F1637" s="14" t="s">
        <v>622</v>
      </c>
      <c r="G1637" s="14" t="str">
        <f>""</f>
        <v/>
      </c>
      <c r="H1637" s="14" t="str">
        <f>" 20"</f>
        <v xml:space="preserve"> 20</v>
      </c>
      <c r="I1637" s="14">
        <v>500.01</v>
      </c>
      <c r="J1637" s="14">
        <v>9999999.9900000002</v>
      </c>
      <c r="K1637" s="14" t="s">
        <v>591</v>
      </c>
      <c r="L1637" s="14" t="s">
        <v>147</v>
      </c>
      <c r="P1637" s="14" t="s">
        <v>39</v>
      </c>
      <c r="Q1637" s="14" t="s">
        <v>25</v>
      </c>
      <c r="R1637" s="14" t="s">
        <v>146</v>
      </c>
    </row>
    <row r="1638" spans="1:18" s="14" customFormat="1" x14ac:dyDescent="0.25">
      <c r="A1638" s="14" t="str">
        <f>"18054"</f>
        <v>18054</v>
      </c>
      <c r="B1638" s="14" t="str">
        <f>"01671"</f>
        <v>01671</v>
      </c>
      <c r="C1638" s="14" t="str">
        <f>"1100"</f>
        <v>1100</v>
      </c>
      <c r="D1638" s="14" t="str">
        <f>"01671"</f>
        <v>01671</v>
      </c>
      <c r="E1638" s="14" t="s">
        <v>615</v>
      </c>
      <c r="F1638" s="14" t="s">
        <v>623</v>
      </c>
      <c r="G1638" s="14" t="str">
        <f>""</f>
        <v/>
      </c>
      <c r="H1638" s="14" t="str">
        <f>" 10"</f>
        <v xml:space="preserve"> 10</v>
      </c>
      <c r="I1638" s="14">
        <v>0.01</v>
      </c>
      <c r="J1638" s="14">
        <v>500</v>
      </c>
      <c r="K1638" s="14" t="s">
        <v>146</v>
      </c>
      <c r="L1638" s="14" t="s">
        <v>147</v>
      </c>
      <c r="P1638" s="14" t="s">
        <v>39</v>
      </c>
      <c r="Q1638" s="14" t="s">
        <v>25</v>
      </c>
      <c r="R1638" s="14" t="s">
        <v>146</v>
      </c>
    </row>
    <row r="1639" spans="1:18" s="14" customFormat="1" x14ac:dyDescent="0.25">
      <c r="A1639" s="14" t="str">
        <f>"18054"</f>
        <v>18054</v>
      </c>
      <c r="B1639" s="14" t="str">
        <f>"01671"</f>
        <v>01671</v>
      </c>
      <c r="C1639" s="14" t="str">
        <f>"1100"</f>
        <v>1100</v>
      </c>
      <c r="D1639" s="14" t="str">
        <f>"01671"</f>
        <v>01671</v>
      </c>
      <c r="E1639" s="14" t="s">
        <v>615</v>
      </c>
      <c r="F1639" s="14" t="s">
        <v>623</v>
      </c>
      <c r="G1639" s="14" t="str">
        <f>""</f>
        <v/>
      </c>
      <c r="H1639" s="14" t="str">
        <f>" 20"</f>
        <v xml:space="preserve"> 20</v>
      </c>
      <c r="I1639" s="14">
        <v>500.01</v>
      </c>
      <c r="J1639" s="14">
        <v>9999999.9900000002</v>
      </c>
      <c r="K1639" s="14" t="s">
        <v>591</v>
      </c>
      <c r="L1639" s="14" t="s">
        <v>147</v>
      </c>
      <c r="P1639" s="14" t="s">
        <v>39</v>
      </c>
      <c r="Q1639" s="14" t="s">
        <v>25</v>
      </c>
      <c r="R1639" s="14" t="s">
        <v>146</v>
      </c>
    </row>
    <row r="1640" spans="1:18" s="14" customFormat="1" x14ac:dyDescent="0.25">
      <c r="A1640" s="14" t="str">
        <f>"18054"</f>
        <v>18054</v>
      </c>
      <c r="B1640" s="14" t="str">
        <f>"01672"</f>
        <v>01672</v>
      </c>
      <c r="C1640" s="14" t="str">
        <f>"1100"</f>
        <v>1100</v>
      </c>
      <c r="D1640" s="14" t="str">
        <f>"01672"</f>
        <v>01672</v>
      </c>
      <c r="E1640" s="14" t="s">
        <v>615</v>
      </c>
      <c r="F1640" s="14" t="s">
        <v>624</v>
      </c>
      <c r="G1640" s="14" t="str">
        <f>""</f>
        <v/>
      </c>
      <c r="H1640" s="14" t="str">
        <f>" 10"</f>
        <v xml:space="preserve"> 10</v>
      </c>
      <c r="I1640" s="14">
        <v>0.01</v>
      </c>
      <c r="J1640" s="14">
        <v>500</v>
      </c>
      <c r="K1640" s="14" t="s">
        <v>146</v>
      </c>
      <c r="L1640" s="14" t="s">
        <v>147</v>
      </c>
      <c r="P1640" s="14" t="s">
        <v>39</v>
      </c>
      <c r="Q1640" s="14" t="s">
        <v>25</v>
      </c>
      <c r="R1640" s="14" t="s">
        <v>146</v>
      </c>
    </row>
    <row r="1641" spans="1:18" s="14" customFormat="1" x14ac:dyDescent="0.25">
      <c r="A1641" s="14" t="str">
        <f>"18054"</f>
        <v>18054</v>
      </c>
      <c r="B1641" s="14" t="str">
        <f>"01672"</f>
        <v>01672</v>
      </c>
      <c r="C1641" s="14" t="str">
        <f>"1100"</f>
        <v>1100</v>
      </c>
      <c r="D1641" s="14" t="str">
        <f>"01672"</f>
        <v>01672</v>
      </c>
      <c r="E1641" s="14" t="s">
        <v>615</v>
      </c>
      <c r="F1641" s="14" t="s">
        <v>624</v>
      </c>
      <c r="G1641" s="14" t="str">
        <f>""</f>
        <v/>
      </c>
      <c r="H1641" s="14" t="str">
        <f>" 20"</f>
        <v xml:space="preserve"> 20</v>
      </c>
      <c r="I1641" s="14">
        <v>500.01</v>
      </c>
      <c r="J1641" s="14">
        <v>9999999.9900000002</v>
      </c>
      <c r="K1641" s="14" t="s">
        <v>591</v>
      </c>
      <c r="L1641" s="14" t="s">
        <v>147</v>
      </c>
      <c r="P1641" s="14" t="s">
        <v>39</v>
      </c>
      <c r="Q1641" s="14" t="s">
        <v>25</v>
      </c>
      <c r="R1641" s="14" t="s">
        <v>146</v>
      </c>
    </row>
    <row r="1642" spans="1:18" s="14" customFormat="1" x14ac:dyDescent="0.25">
      <c r="A1642" s="14" t="str">
        <f>"18054"</f>
        <v>18054</v>
      </c>
      <c r="B1642" s="14" t="str">
        <f>"01674"</f>
        <v>01674</v>
      </c>
      <c r="C1642" s="14" t="str">
        <f>"1100"</f>
        <v>1100</v>
      </c>
      <c r="D1642" s="14" t="str">
        <f>"01674"</f>
        <v>01674</v>
      </c>
      <c r="E1642" s="14" t="s">
        <v>615</v>
      </c>
      <c r="F1642" s="14" t="s">
        <v>625</v>
      </c>
      <c r="G1642" s="14" t="str">
        <f>""</f>
        <v/>
      </c>
      <c r="H1642" s="14" t="str">
        <f>" 10"</f>
        <v xml:space="preserve"> 10</v>
      </c>
      <c r="I1642" s="14">
        <v>0.01</v>
      </c>
      <c r="J1642" s="14">
        <v>500</v>
      </c>
      <c r="K1642" s="14" t="s">
        <v>146</v>
      </c>
      <c r="L1642" s="14" t="s">
        <v>147</v>
      </c>
      <c r="P1642" s="14" t="s">
        <v>39</v>
      </c>
      <c r="Q1642" s="14" t="s">
        <v>25</v>
      </c>
      <c r="R1642" s="14" t="s">
        <v>146</v>
      </c>
    </row>
    <row r="1643" spans="1:18" s="14" customFormat="1" x14ac:dyDescent="0.25">
      <c r="A1643" s="14" t="str">
        <f>"18054"</f>
        <v>18054</v>
      </c>
      <c r="B1643" s="14" t="str">
        <f>"01674"</f>
        <v>01674</v>
      </c>
      <c r="C1643" s="14" t="str">
        <f>"1100"</f>
        <v>1100</v>
      </c>
      <c r="D1643" s="14" t="str">
        <f>"01674"</f>
        <v>01674</v>
      </c>
      <c r="E1643" s="14" t="s">
        <v>615</v>
      </c>
      <c r="F1643" s="14" t="s">
        <v>625</v>
      </c>
      <c r="G1643" s="14" t="str">
        <f>""</f>
        <v/>
      </c>
      <c r="H1643" s="14" t="str">
        <f>" 20"</f>
        <v xml:space="preserve"> 20</v>
      </c>
      <c r="I1643" s="14">
        <v>500.01</v>
      </c>
      <c r="J1643" s="14">
        <v>9999999.9900000002</v>
      </c>
      <c r="K1643" s="14" t="s">
        <v>591</v>
      </c>
      <c r="L1643" s="14" t="s">
        <v>147</v>
      </c>
      <c r="P1643" s="14" t="s">
        <v>39</v>
      </c>
      <c r="Q1643" s="14" t="s">
        <v>25</v>
      </c>
      <c r="R1643" s="14" t="s">
        <v>146</v>
      </c>
    </row>
    <row r="1644" spans="1:18" s="14" customFormat="1" x14ac:dyDescent="0.25">
      <c r="A1644" s="14" t="str">
        <f>"18054"</f>
        <v>18054</v>
      </c>
      <c r="B1644" s="14" t="str">
        <f>"01675"</f>
        <v>01675</v>
      </c>
      <c r="C1644" s="14" t="str">
        <f>"1100"</f>
        <v>1100</v>
      </c>
      <c r="D1644" s="14" t="str">
        <f>"01675"</f>
        <v>01675</v>
      </c>
      <c r="E1644" s="14" t="s">
        <v>615</v>
      </c>
      <c r="F1644" s="14" t="s">
        <v>626</v>
      </c>
      <c r="G1644" s="14" t="str">
        <f>""</f>
        <v/>
      </c>
      <c r="H1644" s="14" t="str">
        <f>" 10"</f>
        <v xml:space="preserve"> 10</v>
      </c>
      <c r="I1644" s="14">
        <v>0.01</v>
      </c>
      <c r="J1644" s="14">
        <v>500</v>
      </c>
      <c r="K1644" s="14" t="s">
        <v>146</v>
      </c>
      <c r="L1644" s="14" t="s">
        <v>147</v>
      </c>
      <c r="P1644" s="14" t="s">
        <v>39</v>
      </c>
      <c r="Q1644" s="14" t="s">
        <v>25</v>
      </c>
      <c r="R1644" s="14" t="s">
        <v>146</v>
      </c>
    </row>
    <row r="1645" spans="1:18" s="14" customFormat="1" x14ac:dyDescent="0.25">
      <c r="A1645" s="14" t="str">
        <f>"18054"</f>
        <v>18054</v>
      </c>
      <c r="B1645" s="14" t="str">
        <f>"01675"</f>
        <v>01675</v>
      </c>
      <c r="C1645" s="14" t="str">
        <f>"1100"</f>
        <v>1100</v>
      </c>
      <c r="D1645" s="14" t="str">
        <f>"01675"</f>
        <v>01675</v>
      </c>
      <c r="E1645" s="14" t="s">
        <v>615</v>
      </c>
      <c r="F1645" s="14" t="s">
        <v>626</v>
      </c>
      <c r="G1645" s="14" t="str">
        <f>""</f>
        <v/>
      </c>
      <c r="H1645" s="14" t="str">
        <f>" 20"</f>
        <v xml:space="preserve"> 20</v>
      </c>
      <c r="I1645" s="14">
        <v>500.01</v>
      </c>
      <c r="J1645" s="14">
        <v>9999999.9900000002</v>
      </c>
      <c r="K1645" s="14" t="s">
        <v>591</v>
      </c>
      <c r="L1645" s="14" t="s">
        <v>147</v>
      </c>
      <c r="P1645" s="14" t="s">
        <v>39</v>
      </c>
      <c r="Q1645" s="14" t="s">
        <v>25</v>
      </c>
      <c r="R1645" s="14" t="s">
        <v>146</v>
      </c>
    </row>
    <row r="1646" spans="1:18" s="14" customFormat="1" x14ac:dyDescent="0.25">
      <c r="A1646" s="14" t="str">
        <f>"18054"</f>
        <v>18054</v>
      </c>
      <c r="B1646" s="14" t="str">
        <f>"01676"</f>
        <v>01676</v>
      </c>
      <c r="C1646" s="14" t="str">
        <f>"1100"</f>
        <v>1100</v>
      </c>
      <c r="D1646" s="14" t="str">
        <f>"01676"</f>
        <v>01676</v>
      </c>
      <c r="E1646" s="14" t="s">
        <v>615</v>
      </c>
      <c r="F1646" s="14" t="s">
        <v>627</v>
      </c>
      <c r="G1646" s="14" t="str">
        <f>""</f>
        <v/>
      </c>
      <c r="H1646" s="14" t="str">
        <f>" 10"</f>
        <v xml:space="preserve"> 10</v>
      </c>
      <c r="I1646" s="14">
        <v>0.01</v>
      </c>
      <c r="J1646" s="14">
        <v>500</v>
      </c>
      <c r="K1646" s="14" t="s">
        <v>146</v>
      </c>
      <c r="L1646" s="14" t="s">
        <v>147</v>
      </c>
      <c r="P1646" s="14" t="s">
        <v>39</v>
      </c>
      <c r="Q1646" s="14" t="s">
        <v>25</v>
      </c>
      <c r="R1646" s="14" t="s">
        <v>146</v>
      </c>
    </row>
    <row r="1647" spans="1:18" s="14" customFormat="1" x14ac:dyDescent="0.25">
      <c r="A1647" s="14" t="str">
        <f>"18054"</f>
        <v>18054</v>
      </c>
      <c r="B1647" s="14" t="str">
        <f>"01676"</f>
        <v>01676</v>
      </c>
      <c r="C1647" s="14" t="str">
        <f>"1100"</f>
        <v>1100</v>
      </c>
      <c r="D1647" s="14" t="str">
        <f>"01676"</f>
        <v>01676</v>
      </c>
      <c r="E1647" s="14" t="s">
        <v>615</v>
      </c>
      <c r="F1647" s="14" t="s">
        <v>627</v>
      </c>
      <c r="G1647" s="14" t="str">
        <f>""</f>
        <v/>
      </c>
      <c r="H1647" s="14" t="str">
        <f>" 20"</f>
        <v xml:space="preserve"> 20</v>
      </c>
      <c r="I1647" s="14">
        <v>500.01</v>
      </c>
      <c r="J1647" s="14">
        <v>9999999.9900000002</v>
      </c>
      <c r="K1647" s="14" t="s">
        <v>591</v>
      </c>
      <c r="L1647" s="14" t="s">
        <v>147</v>
      </c>
      <c r="P1647" s="14" t="s">
        <v>39</v>
      </c>
      <c r="Q1647" s="14" t="s">
        <v>25</v>
      </c>
      <c r="R1647" s="14" t="s">
        <v>146</v>
      </c>
    </row>
    <row r="1648" spans="1:18" s="14" customFormat="1" x14ac:dyDescent="0.25">
      <c r="A1648" s="14" t="str">
        <f>"18054"</f>
        <v>18054</v>
      </c>
      <c r="B1648" s="14" t="str">
        <f>"01678"</f>
        <v>01678</v>
      </c>
      <c r="C1648" s="14" t="str">
        <f>"1100"</f>
        <v>1100</v>
      </c>
      <c r="D1648" s="14" t="str">
        <f>"01678"</f>
        <v>01678</v>
      </c>
      <c r="E1648" s="14" t="s">
        <v>615</v>
      </c>
      <c r="F1648" s="14" t="s">
        <v>628</v>
      </c>
      <c r="G1648" s="14" t="str">
        <f>""</f>
        <v/>
      </c>
      <c r="H1648" s="14" t="str">
        <f>" 10"</f>
        <v xml:space="preserve"> 10</v>
      </c>
      <c r="I1648" s="14">
        <v>0.01</v>
      </c>
      <c r="J1648" s="14">
        <v>500</v>
      </c>
      <c r="K1648" s="14" t="s">
        <v>146</v>
      </c>
      <c r="L1648" s="14" t="s">
        <v>147</v>
      </c>
      <c r="P1648" s="14" t="s">
        <v>39</v>
      </c>
      <c r="Q1648" s="14" t="s">
        <v>25</v>
      </c>
      <c r="R1648" s="14" t="s">
        <v>146</v>
      </c>
    </row>
    <row r="1649" spans="1:18" s="14" customFormat="1" x14ac:dyDescent="0.25">
      <c r="A1649" s="14" t="str">
        <f>"18054"</f>
        <v>18054</v>
      </c>
      <c r="B1649" s="14" t="str">
        <f>"01678"</f>
        <v>01678</v>
      </c>
      <c r="C1649" s="14" t="str">
        <f>"1100"</f>
        <v>1100</v>
      </c>
      <c r="D1649" s="14" t="str">
        <f>"01678"</f>
        <v>01678</v>
      </c>
      <c r="E1649" s="14" t="s">
        <v>615</v>
      </c>
      <c r="F1649" s="14" t="s">
        <v>628</v>
      </c>
      <c r="G1649" s="14" t="str">
        <f>""</f>
        <v/>
      </c>
      <c r="H1649" s="14" t="str">
        <f>" 20"</f>
        <v xml:space="preserve"> 20</v>
      </c>
      <c r="I1649" s="14">
        <v>500.01</v>
      </c>
      <c r="J1649" s="14">
        <v>9999999.9900000002</v>
      </c>
      <c r="K1649" s="14" t="s">
        <v>591</v>
      </c>
      <c r="L1649" s="14" t="s">
        <v>147</v>
      </c>
      <c r="P1649" s="14" t="s">
        <v>39</v>
      </c>
      <c r="Q1649" s="14" t="s">
        <v>25</v>
      </c>
      <c r="R1649" s="14" t="s">
        <v>146</v>
      </c>
    </row>
    <row r="1650" spans="1:18" s="14" customFormat="1" x14ac:dyDescent="0.25">
      <c r="A1650" s="14" t="str">
        <f>"18054"</f>
        <v>18054</v>
      </c>
      <c r="B1650" s="14" t="str">
        <f>"01679"</f>
        <v>01679</v>
      </c>
      <c r="C1650" s="14" t="str">
        <f>"1100"</f>
        <v>1100</v>
      </c>
      <c r="D1650" s="14" t="str">
        <f>"01679"</f>
        <v>01679</v>
      </c>
      <c r="E1650" s="14" t="s">
        <v>615</v>
      </c>
      <c r="F1650" s="14" t="s">
        <v>629</v>
      </c>
      <c r="G1650" s="14" t="str">
        <f>""</f>
        <v/>
      </c>
      <c r="H1650" s="14" t="str">
        <f>" 10"</f>
        <v xml:space="preserve"> 10</v>
      </c>
      <c r="I1650" s="14">
        <v>0.01</v>
      </c>
      <c r="J1650" s="14">
        <v>500</v>
      </c>
      <c r="K1650" s="14" t="s">
        <v>146</v>
      </c>
      <c r="L1650" s="14" t="s">
        <v>147</v>
      </c>
      <c r="P1650" s="14" t="s">
        <v>39</v>
      </c>
      <c r="Q1650" s="14" t="s">
        <v>25</v>
      </c>
      <c r="R1650" s="14" t="s">
        <v>146</v>
      </c>
    </row>
    <row r="1651" spans="1:18" s="14" customFormat="1" x14ac:dyDescent="0.25">
      <c r="A1651" s="14" t="str">
        <f>"18054"</f>
        <v>18054</v>
      </c>
      <c r="B1651" s="14" t="str">
        <f>"01679"</f>
        <v>01679</v>
      </c>
      <c r="C1651" s="14" t="str">
        <f>"1100"</f>
        <v>1100</v>
      </c>
      <c r="D1651" s="14" t="str">
        <f>"01679"</f>
        <v>01679</v>
      </c>
      <c r="E1651" s="14" t="s">
        <v>615</v>
      </c>
      <c r="F1651" s="14" t="s">
        <v>629</v>
      </c>
      <c r="G1651" s="14" t="str">
        <f>""</f>
        <v/>
      </c>
      <c r="H1651" s="14" t="str">
        <f>" 20"</f>
        <v xml:space="preserve"> 20</v>
      </c>
      <c r="I1651" s="14">
        <v>500.01</v>
      </c>
      <c r="J1651" s="14">
        <v>9999999.9900000002</v>
      </c>
      <c r="K1651" s="14" t="s">
        <v>591</v>
      </c>
      <c r="L1651" s="14" t="s">
        <v>147</v>
      </c>
      <c r="P1651" s="14" t="s">
        <v>39</v>
      </c>
      <c r="Q1651" s="14" t="s">
        <v>25</v>
      </c>
      <c r="R1651" s="14" t="s">
        <v>146</v>
      </c>
    </row>
    <row r="1652" spans="1:18" s="14" customFormat="1" x14ac:dyDescent="0.25">
      <c r="A1652" s="14" t="str">
        <f>"18054"</f>
        <v>18054</v>
      </c>
      <c r="B1652" s="14" t="str">
        <f>"01681"</f>
        <v>01681</v>
      </c>
      <c r="C1652" s="14" t="str">
        <f>"1100"</f>
        <v>1100</v>
      </c>
      <c r="D1652" s="14" t="str">
        <f>"01681"</f>
        <v>01681</v>
      </c>
      <c r="E1652" s="14" t="s">
        <v>615</v>
      </c>
      <c r="F1652" s="14" t="s">
        <v>630</v>
      </c>
      <c r="G1652" s="14" t="str">
        <f>""</f>
        <v/>
      </c>
      <c r="H1652" s="14" t="str">
        <f>" 10"</f>
        <v xml:space="preserve"> 10</v>
      </c>
      <c r="I1652" s="14">
        <v>0.01</v>
      </c>
      <c r="J1652" s="14">
        <v>500</v>
      </c>
      <c r="K1652" s="14" t="s">
        <v>146</v>
      </c>
      <c r="L1652" s="14" t="s">
        <v>147</v>
      </c>
      <c r="P1652" s="14" t="s">
        <v>39</v>
      </c>
      <c r="Q1652" s="14" t="s">
        <v>25</v>
      </c>
      <c r="R1652" s="14" t="s">
        <v>146</v>
      </c>
    </row>
    <row r="1653" spans="1:18" s="14" customFormat="1" x14ac:dyDescent="0.25">
      <c r="A1653" s="14" t="str">
        <f>"18054"</f>
        <v>18054</v>
      </c>
      <c r="B1653" s="14" t="str">
        <f>"01681"</f>
        <v>01681</v>
      </c>
      <c r="C1653" s="14" t="str">
        <f>"1100"</f>
        <v>1100</v>
      </c>
      <c r="D1653" s="14" t="str">
        <f>"01681"</f>
        <v>01681</v>
      </c>
      <c r="E1653" s="14" t="s">
        <v>615</v>
      </c>
      <c r="F1653" s="14" t="s">
        <v>630</v>
      </c>
      <c r="G1653" s="14" t="str">
        <f>""</f>
        <v/>
      </c>
      <c r="H1653" s="14" t="str">
        <f>" 20"</f>
        <v xml:space="preserve"> 20</v>
      </c>
      <c r="I1653" s="14">
        <v>500.01</v>
      </c>
      <c r="J1653" s="14">
        <v>9999999.9900000002</v>
      </c>
      <c r="K1653" s="14" t="s">
        <v>591</v>
      </c>
      <c r="L1653" s="14" t="s">
        <v>147</v>
      </c>
      <c r="P1653" s="14" t="s">
        <v>39</v>
      </c>
      <c r="Q1653" s="14" t="s">
        <v>25</v>
      </c>
      <c r="R1653" s="14" t="s">
        <v>146</v>
      </c>
    </row>
    <row r="1654" spans="1:18" s="14" customFormat="1" x14ac:dyDescent="0.25">
      <c r="A1654" s="14" t="str">
        <f>"18054"</f>
        <v>18054</v>
      </c>
      <c r="B1654" s="14" t="str">
        <f>"01683"</f>
        <v>01683</v>
      </c>
      <c r="C1654" s="14" t="str">
        <f>"1100"</f>
        <v>1100</v>
      </c>
      <c r="D1654" s="14" t="str">
        <f>"01683"</f>
        <v>01683</v>
      </c>
      <c r="E1654" s="14" t="s">
        <v>615</v>
      </c>
      <c r="F1654" s="14" t="s">
        <v>631</v>
      </c>
      <c r="G1654" s="14" t="str">
        <f>""</f>
        <v/>
      </c>
      <c r="H1654" s="14" t="str">
        <f>" 10"</f>
        <v xml:space="preserve"> 10</v>
      </c>
      <c r="I1654" s="14">
        <v>0.01</v>
      </c>
      <c r="J1654" s="14">
        <v>500</v>
      </c>
      <c r="K1654" s="14" t="s">
        <v>146</v>
      </c>
      <c r="L1654" s="14" t="s">
        <v>147</v>
      </c>
      <c r="P1654" s="14" t="s">
        <v>39</v>
      </c>
      <c r="Q1654" s="14" t="s">
        <v>25</v>
      </c>
      <c r="R1654" s="14" t="s">
        <v>146</v>
      </c>
    </row>
    <row r="1655" spans="1:18" s="14" customFormat="1" x14ac:dyDescent="0.25">
      <c r="A1655" s="14" t="str">
        <f>"18054"</f>
        <v>18054</v>
      </c>
      <c r="B1655" s="14" t="str">
        <f>"01683"</f>
        <v>01683</v>
      </c>
      <c r="C1655" s="14" t="str">
        <f>"1100"</f>
        <v>1100</v>
      </c>
      <c r="D1655" s="14" t="str">
        <f>"01683"</f>
        <v>01683</v>
      </c>
      <c r="E1655" s="14" t="s">
        <v>615</v>
      </c>
      <c r="F1655" s="14" t="s">
        <v>631</v>
      </c>
      <c r="G1655" s="14" t="str">
        <f>""</f>
        <v/>
      </c>
      <c r="H1655" s="14" t="str">
        <f>" 20"</f>
        <v xml:space="preserve"> 20</v>
      </c>
      <c r="I1655" s="14">
        <v>500.01</v>
      </c>
      <c r="J1655" s="14">
        <v>9999999.9900000002</v>
      </c>
      <c r="K1655" s="14" t="s">
        <v>591</v>
      </c>
      <c r="L1655" s="14" t="s">
        <v>147</v>
      </c>
      <c r="P1655" s="14" t="s">
        <v>39</v>
      </c>
      <c r="Q1655" s="14" t="s">
        <v>25</v>
      </c>
      <c r="R1655" s="14" t="s">
        <v>146</v>
      </c>
    </row>
    <row r="1656" spans="1:18" s="14" customFormat="1" x14ac:dyDescent="0.25">
      <c r="A1656" s="14" t="str">
        <f>"18054"</f>
        <v>18054</v>
      </c>
      <c r="B1656" s="14" t="str">
        <f>"01684"</f>
        <v>01684</v>
      </c>
      <c r="C1656" s="14" t="str">
        <f>"1100"</f>
        <v>1100</v>
      </c>
      <c r="D1656" s="14" t="str">
        <f>"01684"</f>
        <v>01684</v>
      </c>
      <c r="E1656" s="14" t="s">
        <v>615</v>
      </c>
      <c r="F1656" s="14" t="s">
        <v>632</v>
      </c>
      <c r="G1656" s="14" t="str">
        <f>""</f>
        <v/>
      </c>
      <c r="H1656" s="14" t="str">
        <f>" 10"</f>
        <v xml:space="preserve"> 10</v>
      </c>
      <c r="I1656" s="14">
        <v>0.01</v>
      </c>
      <c r="J1656" s="14">
        <v>500</v>
      </c>
      <c r="K1656" s="14" t="s">
        <v>146</v>
      </c>
      <c r="L1656" s="14" t="s">
        <v>147</v>
      </c>
      <c r="P1656" s="14" t="s">
        <v>39</v>
      </c>
      <c r="Q1656" s="14" t="s">
        <v>25</v>
      </c>
      <c r="R1656" s="14" t="s">
        <v>146</v>
      </c>
    </row>
    <row r="1657" spans="1:18" s="14" customFormat="1" x14ac:dyDescent="0.25">
      <c r="A1657" s="14" t="str">
        <f>"18054"</f>
        <v>18054</v>
      </c>
      <c r="B1657" s="14" t="str">
        <f>"01684"</f>
        <v>01684</v>
      </c>
      <c r="C1657" s="14" t="str">
        <f>"1100"</f>
        <v>1100</v>
      </c>
      <c r="D1657" s="14" t="str">
        <f>"01684"</f>
        <v>01684</v>
      </c>
      <c r="E1657" s="14" t="s">
        <v>615</v>
      </c>
      <c r="F1657" s="14" t="s">
        <v>632</v>
      </c>
      <c r="G1657" s="14" t="str">
        <f>""</f>
        <v/>
      </c>
      <c r="H1657" s="14" t="str">
        <f>" 20"</f>
        <v xml:space="preserve"> 20</v>
      </c>
      <c r="I1657" s="14">
        <v>500.01</v>
      </c>
      <c r="J1657" s="14">
        <v>9999999.9900000002</v>
      </c>
      <c r="K1657" s="14" t="s">
        <v>591</v>
      </c>
      <c r="L1657" s="14" t="s">
        <v>147</v>
      </c>
      <c r="P1657" s="14" t="s">
        <v>39</v>
      </c>
      <c r="Q1657" s="14" t="s">
        <v>25</v>
      </c>
      <c r="R1657" s="14" t="s">
        <v>146</v>
      </c>
    </row>
    <row r="1658" spans="1:18" s="14" customFormat="1" x14ac:dyDescent="0.25">
      <c r="A1658" s="14" t="str">
        <f>"18054"</f>
        <v>18054</v>
      </c>
      <c r="B1658" s="14" t="str">
        <f>"01685"</f>
        <v>01685</v>
      </c>
      <c r="C1658" s="14" t="str">
        <f>"1100"</f>
        <v>1100</v>
      </c>
      <c r="D1658" s="14" t="str">
        <f>"01685"</f>
        <v>01685</v>
      </c>
      <c r="E1658" s="14" t="s">
        <v>615</v>
      </c>
      <c r="F1658" s="14" t="s">
        <v>633</v>
      </c>
      <c r="G1658" s="14" t="str">
        <f>""</f>
        <v/>
      </c>
      <c r="H1658" s="14" t="str">
        <f>" 10"</f>
        <v xml:space="preserve"> 10</v>
      </c>
      <c r="I1658" s="14">
        <v>0.01</v>
      </c>
      <c r="J1658" s="14">
        <v>500</v>
      </c>
      <c r="K1658" s="14" t="s">
        <v>146</v>
      </c>
      <c r="L1658" s="14" t="s">
        <v>147</v>
      </c>
      <c r="P1658" s="14" t="s">
        <v>39</v>
      </c>
      <c r="Q1658" s="14" t="s">
        <v>25</v>
      </c>
      <c r="R1658" s="14" t="s">
        <v>146</v>
      </c>
    </row>
    <row r="1659" spans="1:18" s="14" customFormat="1" x14ac:dyDescent="0.25">
      <c r="A1659" s="14" t="str">
        <f>"18054"</f>
        <v>18054</v>
      </c>
      <c r="B1659" s="14" t="str">
        <f>"01685"</f>
        <v>01685</v>
      </c>
      <c r="C1659" s="14" t="str">
        <f>"1100"</f>
        <v>1100</v>
      </c>
      <c r="D1659" s="14" t="str">
        <f>"01685"</f>
        <v>01685</v>
      </c>
      <c r="E1659" s="14" t="s">
        <v>615</v>
      </c>
      <c r="F1659" s="14" t="s">
        <v>633</v>
      </c>
      <c r="G1659" s="14" t="str">
        <f>""</f>
        <v/>
      </c>
      <c r="H1659" s="14" t="str">
        <f>" 20"</f>
        <v xml:space="preserve"> 20</v>
      </c>
      <c r="I1659" s="14">
        <v>500.01</v>
      </c>
      <c r="J1659" s="14">
        <v>9999999.9900000002</v>
      </c>
      <c r="K1659" s="14" t="s">
        <v>591</v>
      </c>
      <c r="L1659" s="14" t="s">
        <v>147</v>
      </c>
      <c r="P1659" s="14" t="s">
        <v>39</v>
      </c>
      <c r="Q1659" s="14" t="s">
        <v>25</v>
      </c>
      <c r="R1659" s="14" t="s">
        <v>146</v>
      </c>
    </row>
    <row r="1660" spans="1:18" s="14" customFormat="1" x14ac:dyDescent="0.25">
      <c r="A1660" s="14" t="str">
        <f>"18054"</f>
        <v>18054</v>
      </c>
      <c r="B1660" s="14" t="str">
        <f>"01688"</f>
        <v>01688</v>
      </c>
      <c r="C1660" s="14" t="str">
        <f>"1100"</f>
        <v>1100</v>
      </c>
      <c r="D1660" s="14" t="str">
        <f>"01688"</f>
        <v>01688</v>
      </c>
      <c r="E1660" s="14" t="s">
        <v>615</v>
      </c>
      <c r="F1660" s="14" t="s">
        <v>634</v>
      </c>
      <c r="G1660" s="14" t="str">
        <f>""</f>
        <v/>
      </c>
      <c r="H1660" s="14" t="str">
        <f>" 10"</f>
        <v xml:space="preserve"> 10</v>
      </c>
      <c r="I1660" s="14">
        <v>0.01</v>
      </c>
      <c r="J1660" s="14">
        <v>500</v>
      </c>
      <c r="K1660" s="14" t="s">
        <v>146</v>
      </c>
      <c r="L1660" s="14" t="s">
        <v>147</v>
      </c>
      <c r="P1660" s="14" t="s">
        <v>39</v>
      </c>
      <c r="Q1660" s="14" t="s">
        <v>25</v>
      </c>
      <c r="R1660" s="14" t="s">
        <v>146</v>
      </c>
    </row>
    <row r="1661" spans="1:18" s="14" customFormat="1" x14ac:dyDescent="0.25">
      <c r="A1661" s="14" t="str">
        <f>"18054"</f>
        <v>18054</v>
      </c>
      <c r="B1661" s="14" t="str">
        <f>"01688"</f>
        <v>01688</v>
      </c>
      <c r="C1661" s="14" t="str">
        <f>"1100"</f>
        <v>1100</v>
      </c>
      <c r="D1661" s="14" t="str">
        <f>"01688"</f>
        <v>01688</v>
      </c>
      <c r="E1661" s="14" t="s">
        <v>615</v>
      </c>
      <c r="F1661" s="14" t="s">
        <v>634</v>
      </c>
      <c r="G1661" s="14" t="str">
        <f>""</f>
        <v/>
      </c>
      <c r="H1661" s="14" t="str">
        <f>" 20"</f>
        <v xml:space="preserve"> 20</v>
      </c>
      <c r="I1661" s="14">
        <v>500.01</v>
      </c>
      <c r="J1661" s="14">
        <v>9999999.9900000002</v>
      </c>
      <c r="K1661" s="14" t="s">
        <v>591</v>
      </c>
      <c r="L1661" s="14" t="s">
        <v>147</v>
      </c>
      <c r="P1661" s="14" t="s">
        <v>39</v>
      </c>
      <c r="Q1661" s="14" t="s">
        <v>25</v>
      </c>
      <c r="R1661" s="14" t="s">
        <v>146</v>
      </c>
    </row>
    <row r="1662" spans="1:18" s="14" customFormat="1" x14ac:dyDescent="0.25">
      <c r="A1662" s="14" t="str">
        <f>"18054"</f>
        <v>18054</v>
      </c>
      <c r="B1662" s="14" t="str">
        <f>"01691"</f>
        <v>01691</v>
      </c>
      <c r="C1662" s="14" t="str">
        <f>"1100"</f>
        <v>1100</v>
      </c>
      <c r="D1662" s="14" t="str">
        <f>"01691"</f>
        <v>01691</v>
      </c>
      <c r="E1662" s="14" t="s">
        <v>615</v>
      </c>
      <c r="F1662" s="14" t="s">
        <v>635</v>
      </c>
      <c r="G1662" s="14" t="str">
        <f>""</f>
        <v/>
      </c>
      <c r="H1662" s="14" t="str">
        <f>" 10"</f>
        <v xml:space="preserve"> 10</v>
      </c>
      <c r="I1662" s="14">
        <v>0.01</v>
      </c>
      <c r="J1662" s="14">
        <v>500</v>
      </c>
      <c r="K1662" s="14" t="s">
        <v>146</v>
      </c>
      <c r="L1662" s="14" t="s">
        <v>147</v>
      </c>
      <c r="P1662" s="14" t="s">
        <v>39</v>
      </c>
      <c r="Q1662" s="14" t="s">
        <v>25</v>
      </c>
      <c r="R1662" s="14" t="s">
        <v>146</v>
      </c>
    </row>
    <row r="1663" spans="1:18" s="14" customFormat="1" x14ac:dyDescent="0.25">
      <c r="A1663" s="14" t="str">
        <f>"18054"</f>
        <v>18054</v>
      </c>
      <c r="B1663" s="14" t="str">
        <f>"01691"</f>
        <v>01691</v>
      </c>
      <c r="C1663" s="14" t="str">
        <f>"1100"</f>
        <v>1100</v>
      </c>
      <c r="D1663" s="14" t="str">
        <f>"01691"</f>
        <v>01691</v>
      </c>
      <c r="E1663" s="14" t="s">
        <v>615</v>
      </c>
      <c r="F1663" s="14" t="s">
        <v>635</v>
      </c>
      <c r="G1663" s="14" t="str">
        <f>""</f>
        <v/>
      </c>
      <c r="H1663" s="14" t="str">
        <f>" 20"</f>
        <v xml:space="preserve"> 20</v>
      </c>
      <c r="I1663" s="14">
        <v>500.01</v>
      </c>
      <c r="J1663" s="14">
        <v>9999999.9900000002</v>
      </c>
      <c r="K1663" s="14" t="s">
        <v>591</v>
      </c>
      <c r="L1663" s="14" t="s">
        <v>147</v>
      </c>
      <c r="P1663" s="14" t="s">
        <v>39</v>
      </c>
      <c r="Q1663" s="14" t="s">
        <v>25</v>
      </c>
      <c r="R1663" s="14" t="s">
        <v>146</v>
      </c>
    </row>
    <row r="1664" spans="1:18" s="14" customFormat="1" x14ac:dyDescent="0.25">
      <c r="A1664" s="14" t="str">
        <f>"18054"</f>
        <v>18054</v>
      </c>
      <c r="B1664" s="14" t="str">
        <f>"01692"</f>
        <v>01692</v>
      </c>
      <c r="C1664" s="14" t="str">
        <f>"1100"</f>
        <v>1100</v>
      </c>
      <c r="D1664" s="14" t="str">
        <f>"01692"</f>
        <v>01692</v>
      </c>
      <c r="E1664" s="14" t="s">
        <v>615</v>
      </c>
      <c r="F1664" s="14" t="s">
        <v>636</v>
      </c>
      <c r="G1664" s="14" t="str">
        <f>""</f>
        <v/>
      </c>
      <c r="H1664" s="14" t="str">
        <f>" 10"</f>
        <v xml:space="preserve"> 10</v>
      </c>
      <c r="I1664" s="14">
        <v>0.01</v>
      </c>
      <c r="J1664" s="14">
        <v>500</v>
      </c>
      <c r="K1664" s="14" t="s">
        <v>146</v>
      </c>
      <c r="L1664" s="14" t="s">
        <v>147</v>
      </c>
      <c r="P1664" s="14" t="s">
        <v>39</v>
      </c>
      <c r="Q1664" s="14" t="s">
        <v>25</v>
      </c>
      <c r="R1664" s="14" t="s">
        <v>146</v>
      </c>
    </row>
    <row r="1665" spans="1:18" s="14" customFormat="1" x14ac:dyDescent="0.25">
      <c r="A1665" s="14" t="str">
        <f>"18054"</f>
        <v>18054</v>
      </c>
      <c r="B1665" s="14" t="str">
        <f>"01692"</f>
        <v>01692</v>
      </c>
      <c r="C1665" s="14" t="str">
        <f>"1100"</f>
        <v>1100</v>
      </c>
      <c r="D1665" s="14" t="str">
        <f>"01692"</f>
        <v>01692</v>
      </c>
      <c r="E1665" s="14" t="s">
        <v>615</v>
      </c>
      <c r="F1665" s="14" t="s">
        <v>636</v>
      </c>
      <c r="G1665" s="14" t="str">
        <f>""</f>
        <v/>
      </c>
      <c r="H1665" s="14" t="str">
        <f>" 20"</f>
        <v xml:space="preserve"> 20</v>
      </c>
      <c r="I1665" s="14">
        <v>500.01</v>
      </c>
      <c r="J1665" s="14">
        <v>9999999.9900000002</v>
      </c>
      <c r="K1665" s="14" t="s">
        <v>591</v>
      </c>
      <c r="L1665" s="14" t="s">
        <v>147</v>
      </c>
      <c r="P1665" s="14" t="s">
        <v>39</v>
      </c>
      <c r="Q1665" s="14" t="s">
        <v>25</v>
      </c>
      <c r="R1665" s="14" t="s">
        <v>146</v>
      </c>
    </row>
    <row r="1666" spans="1:18" s="14" customFormat="1" x14ac:dyDescent="0.25">
      <c r="A1666" s="14" t="str">
        <f>"18054"</f>
        <v>18054</v>
      </c>
      <c r="B1666" s="14" t="str">
        <f>"01696"</f>
        <v>01696</v>
      </c>
      <c r="C1666" s="14" t="str">
        <f>"1100"</f>
        <v>1100</v>
      </c>
      <c r="D1666" s="14" t="str">
        <f>"01696"</f>
        <v>01696</v>
      </c>
      <c r="E1666" s="14" t="s">
        <v>615</v>
      </c>
      <c r="F1666" s="14" t="s">
        <v>637</v>
      </c>
      <c r="G1666" s="14" t="str">
        <f>""</f>
        <v/>
      </c>
      <c r="H1666" s="14" t="str">
        <f>" 10"</f>
        <v xml:space="preserve"> 10</v>
      </c>
      <c r="I1666" s="14">
        <v>0.01</v>
      </c>
      <c r="J1666" s="14">
        <v>500</v>
      </c>
      <c r="K1666" s="14" t="s">
        <v>146</v>
      </c>
      <c r="L1666" s="14" t="s">
        <v>147</v>
      </c>
      <c r="P1666" s="14" t="s">
        <v>39</v>
      </c>
      <c r="Q1666" s="14" t="s">
        <v>25</v>
      </c>
      <c r="R1666" s="14" t="s">
        <v>146</v>
      </c>
    </row>
    <row r="1667" spans="1:18" s="14" customFormat="1" x14ac:dyDescent="0.25">
      <c r="A1667" s="14" t="str">
        <f>"18054"</f>
        <v>18054</v>
      </c>
      <c r="B1667" s="14" t="str">
        <f>"01696"</f>
        <v>01696</v>
      </c>
      <c r="C1667" s="14" t="str">
        <f>"1100"</f>
        <v>1100</v>
      </c>
      <c r="D1667" s="14" t="str">
        <f>"01696"</f>
        <v>01696</v>
      </c>
      <c r="E1667" s="14" t="s">
        <v>615</v>
      </c>
      <c r="F1667" s="14" t="s">
        <v>637</v>
      </c>
      <c r="G1667" s="14" t="str">
        <f>""</f>
        <v/>
      </c>
      <c r="H1667" s="14" t="str">
        <f>" 20"</f>
        <v xml:space="preserve"> 20</v>
      </c>
      <c r="I1667" s="14">
        <v>500.01</v>
      </c>
      <c r="J1667" s="14">
        <v>9999999.9900000002</v>
      </c>
      <c r="K1667" s="14" t="s">
        <v>591</v>
      </c>
      <c r="L1667" s="14" t="s">
        <v>147</v>
      </c>
      <c r="P1667" s="14" t="s">
        <v>39</v>
      </c>
      <c r="Q1667" s="14" t="s">
        <v>25</v>
      </c>
      <c r="R1667" s="14" t="s">
        <v>146</v>
      </c>
    </row>
    <row r="1668" spans="1:18" s="14" customFormat="1" x14ac:dyDescent="0.25">
      <c r="A1668" s="14" t="str">
        <f>"18054"</f>
        <v>18054</v>
      </c>
      <c r="B1668" s="14" t="str">
        <f>"01697"</f>
        <v>01697</v>
      </c>
      <c r="C1668" s="14" t="str">
        <f>"1100"</f>
        <v>1100</v>
      </c>
      <c r="D1668" s="14" t="str">
        <f>"01697"</f>
        <v>01697</v>
      </c>
      <c r="E1668" s="14" t="s">
        <v>615</v>
      </c>
      <c r="F1668" s="14" t="s">
        <v>638</v>
      </c>
      <c r="G1668" s="14" t="str">
        <f>""</f>
        <v/>
      </c>
      <c r="H1668" s="14" t="str">
        <f>" 10"</f>
        <v xml:space="preserve"> 10</v>
      </c>
      <c r="I1668" s="14">
        <v>0.01</v>
      </c>
      <c r="J1668" s="14">
        <v>500</v>
      </c>
      <c r="K1668" s="14" t="s">
        <v>146</v>
      </c>
      <c r="L1668" s="14" t="s">
        <v>147</v>
      </c>
      <c r="P1668" s="14" t="s">
        <v>39</v>
      </c>
      <c r="Q1668" s="14" t="s">
        <v>25</v>
      </c>
      <c r="R1668" s="14" t="s">
        <v>146</v>
      </c>
    </row>
    <row r="1669" spans="1:18" s="14" customFormat="1" x14ac:dyDescent="0.25">
      <c r="A1669" s="14" t="str">
        <f>"18054"</f>
        <v>18054</v>
      </c>
      <c r="B1669" s="14" t="str">
        <f>"01697"</f>
        <v>01697</v>
      </c>
      <c r="C1669" s="14" t="str">
        <f>"1100"</f>
        <v>1100</v>
      </c>
      <c r="D1669" s="14" t="str">
        <f>"01697"</f>
        <v>01697</v>
      </c>
      <c r="E1669" s="14" t="s">
        <v>615</v>
      </c>
      <c r="F1669" s="14" t="s">
        <v>638</v>
      </c>
      <c r="G1669" s="14" t="str">
        <f>""</f>
        <v/>
      </c>
      <c r="H1669" s="14" t="str">
        <f>" 20"</f>
        <v xml:space="preserve"> 20</v>
      </c>
      <c r="I1669" s="14">
        <v>500.01</v>
      </c>
      <c r="J1669" s="14">
        <v>9999999.9900000002</v>
      </c>
      <c r="K1669" s="14" t="s">
        <v>591</v>
      </c>
      <c r="L1669" s="14" t="s">
        <v>147</v>
      </c>
      <c r="P1669" s="14" t="s">
        <v>39</v>
      </c>
      <c r="Q1669" s="14" t="s">
        <v>25</v>
      </c>
      <c r="R1669" s="14" t="s">
        <v>146</v>
      </c>
    </row>
    <row r="1670" spans="1:18" s="14" customFormat="1" x14ac:dyDescent="0.25">
      <c r="A1670" s="14" t="str">
        <f>"18054"</f>
        <v>18054</v>
      </c>
      <c r="B1670" s="14" t="str">
        <f>"01699"</f>
        <v>01699</v>
      </c>
      <c r="C1670" s="14" t="str">
        <f>"1100"</f>
        <v>1100</v>
      </c>
      <c r="D1670" s="14" t="str">
        <f>"01699"</f>
        <v>01699</v>
      </c>
      <c r="E1670" s="14" t="s">
        <v>615</v>
      </c>
      <c r="F1670" s="14" t="s">
        <v>639</v>
      </c>
      <c r="G1670" s="14" t="str">
        <f>""</f>
        <v/>
      </c>
      <c r="H1670" s="14" t="str">
        <f>" 10"</f>
        <v xml:space="preserve"> 10</v>
      </c>
      <c r="I1670" s="14">
        <v>0.01</v>
      </c>
      <c r="J1670" s="14">
        <v>500</v>
      </c>
      <c r="K1670" s="14" t="s">
        <v>146</v>
      </c>
      <c r="L1670" s="14" t="s">
        <v>147</v>
      </c>
      <c r="P1670" s="14" t="s">
        <v>39</v>
      </c>
      <c r="Q1670" s="14" t="s">
        <v>25</v>
      </c>
      <c r="R1670" s="14" t="s">
        <v>146</v>
      </c>
    </row>
    <row r="1671" spans="1:18" s="14" customFormat="1" x14ac:dyDescent="0.25">
      <c r="A1671" s="14" t="str">
        <f>"18054"</f>
        <v>18054</v>
      </c>
      <c r="B1671" s="14" t="str">
        <f>"01699"</f>
        <v>01699</v>
      </c>
      <c r="C1671" s="14" t="str">
        <f>"1100"</f>
        <v>1100</v>
      </c>
      <c r="D1671" s="14" t="str">
        <f>"01699"</f>
        <v>01699</v>
      </c>
      <c r="E1671" s="14" t="s">
        <v>615</v>
      </c>
      <c r="F1671" s="14" t="s">
        <v>639</v>
      </c>
      <c r="G1671" s="14" t="str">
        <f>""</f>
        <v/>
      </c>
      <c r="H1671" s="14" t="str">
        <f>" 20"</f>
        <v xml:space="preserve"> 20</v>
      </c>
      <c r="I1671" s="14">
        <v>500.01</v>
      </c>
      <c r="J1671" s="14">
        <v>9999999.9900000002</v>
      </c>
      <c r="K1671" s="14" t="s">
        <v>591</v>
      </c>
      <c r="L1671" s="14" t="s">
        <v>147</v>
      </c>
      <c r="P1671" s="14" t="s">
        <v>39</v>
      </c>
      <c r="Q1671" s="14" t="s">
        <v>25</v>
      </c>
      <c r="R1671" s="14" t="s">
        <v>146</v>
      </c>
    </row>
    <row r="1672" spans="1:18" s="14" customFormat="1" x14ac:dyDescent="0.25">
      <c r="A1672" s="14" t="str">
        <f>"18054"</f>
        <v>18054</v>
      </c>
      <c r="B1672" s="14" t="str">
        <f>"01712"</f>
        <v>01712</v>
      </c>
      <c r="C1672" s="14" t="str">
        <f>"1100"</f>
        <v>1100</v>
      </c>
      <c r="D1672" s="14" t="str">
        <f>"01712"</f>
        <v>01712</v>
      </c>
      <c r="E1672" s="14" t="s">
        <v>615</v>
      </c>
      <c r="F1672" s="14" t="s">
        <v>640</v>
      </c>
      <c r="G1672" s="14" t="str">
        <f>""</f>
        <v/>
      </c>
      <c r="H1672" s="14" t="str">
        <f>" 10"</f>
        <v xml:space="preserve"> 10</v>
      </c>
      <c r="I1672" s="14">
        <v>0.01</v>
      </c>
      <c r="J1672" s="14">
        <v>500</v>
      </c>
      <c r="K1672" s="14" t="s">
        <v>146</v>
      </c>
      <c r="L1672" s="14" t="s">
        <v>147</v>
      </c>
      <c r="P1672" s="14" t="s">
        <v>39</v>
      </c>
      <c r="Q1672" s="14" t="s">
        <v>25</v>
      </c>
      <c r="R1672" s="14" t="s">
        <v>146</v>
      </c>
    </row>
    <row r="1673" spans="1:18" s="14" customFormat="1" x14ac:dyDescent="0.25">
      <c r="A1673" s="14" t="str">
        <f>"18054"</f>
        <v>18054</v>
      </c>
      <c r="B1673" s="14" t="str">
        <f>"01712"</f>
        <v>01712</v>
      </c>
      <c r="C1673" s="14" t="str">
        <f>"1100"</f>
        <v>1100</v>
      </c>
      <c r="D1673" s="14" t="str">
        <f>"01712"</f>
        <v>01712</v>
      </c>
      <c r="E1673" s="14" t="s">
        <v>615</v>
      </c>
      <c r="F1673" s="14" t="s">
        <v>640</v>
      </c>
      <c r="G1673" s="14" t="str">
        <f>""</f>
        <v/>
      </c>
      <c r="H1673" s="14" t="str">
        <f>" 20"</f>
        <v xml:space="preserve"> 20</v>
      </c>
      <c r="I1673" s="14">
        <v>500.01</v>
      </c>
      <c r="J1673" s="14">
        <v>9999999.9900000002</v>
      </c>
      <c r="K1673" s="14" t="s">
        <v>591</v>
      </c>
      <c r="L1673" s="14" t="s">
        <v>147</v>
      </c>
      <c r="P1673" s="14" t="s">
        <v>39</v>
      </c>
      <c r="Q1673" s="14" t="s">
        <v>25</v>
      </c>
      <c r="R1673" s="14" t="s">
        <v>146</v>
      </c>
    </row>
    <row r="1674" spans="1:18" s="14" customFormat="1" x14ac:dyDescent="0.25">
      <c r="A1674" s="14" t="str">
        <f>"18054"</f>
        <v>18054</v>
      </c>
      <c r="B1674" s="14" t="str">
        <f>"01713"</f>
        <v>01713</v>
      </c>
      <c r="C1674" s="14" t="str">
        <f>"1100"</f>
        <v>1100</v>
      </c>
      <c r="D1674" s="14" t="str">
        <f>"01713"</f>
        <v>01713</v>
      </c>
      <c r="E1674" s="14" t="s">
        <v>615</v>
      </c>
      <c r="F1674" s="14" t="s">
        <v>641</v>
      </c>
      <c r="G1674" s="14" t="str">
        <f>""</f>
        <v/>
      </c>
      <c r="H1674" s="14" t="str">
        <f>" 10"</f>
        <v xml:space="preserve"> 10</v>
      </c>
      <c r="I1674" s="14">
        <v>0.01</v>
      </c>
      <c r="J1674" s="14">
        <v>500</v>
      </c>
      <c r="K1674" s="14" t="s">
        <v>146</v>
      </c>
      <c r="L1674" s="14" t="s">
        <v>147</v>
      </c>
      <c r="P1674" s="14" t="s">
        <v>39</v>
      </c>
      <c r="Q1674" s="14" t="s">
        <v>25</v>
      </c>
      <c r="R1674" s="14" t="s">
        <v>146</v>
      </c>
    </row>
    <row r="1675" spans="1:18" s="14" customFormat="1" x14ac:dyDescent="0.25">
      <c r="A1675" s="14" t="str">
        <f>"18054"</f>
        <v>18054</v>
      </c>
      <c r="B1675" s="14" t="str">
        <f>"01713"</f>
        <v>01713</v>
      </c>
      <c r="C1675" s="14" t="str">
        <f>"1100"</f>
        <v>1100</v>
      </c>
      <c r="D1675" s="14" t="str">
        <f>"01713"</f>
        <v>01713</v>
      </c>
      <c r="E1675" s="14" t="s">
        <v>615</v>
      </c>
      <c r="F1675" s="14" t="s">
        <v>641</v>
      </c>
      <c r="G1675" s="14" t="str">
        <f>""</f>
        <v/>
      </c>
      <c r="H1675" s="14" t="str">
        <f>" 20"</f>
        <v xml:space="preserve"> 20</v>
      </c>
      <c r="I1675" s="14">
        <v>500.01</v>
      </c>
      <c r="J1675" s="14">
        <v>9999999.9900000002</v>
      </c>
      <c r="K1675" s="14" t="s">
        <v>591</v>
      </c>
      <c r="L1675" s="14" t="s">
        <v>147</v>
      </c>
      <c r="P1675" s="14" t="s">
        <v>39</v>
      </c>
      <c r="Q1675" s="14" t="s">
        <v>25</v>
      </c>
      <c r="R1675" s="14" t="s">
        <v>146</v>
      </c>
    </row>
    <row r="1676" spans="1:18" s="14" customFormat="1" x14ac:dyDescent="0.25">
      <c r="A1676" s="14" t="str">
        <f>"18054"</f>
        <v>18054</v>
      </c>
      <c r="B1676" s="14" t="str">
        <f>"01714"</f>
        <v>01714</v>
      </c>
      <c r="C1676" s="14" t="str">
        <f>"1100"</f>
        <v>1100</v>
      </c>
      <c r="D1676" s="14" t="str">
        <f>"01714"</f>
        <v>01714</v>
      </c>
      <c r="E1676" s="14" t="s">
        <v>615</v>
      </c>
      <c r="F1676" s="14" t="s">
        <v>642</v>
      </c>
      <c r="G1676" s="14" t="str">
        <f>""</f>
        <v/>
      </c>
      <c r="H1676" s="14" t="str">
        <f>" 10"</f>
        <v xml:space="preserve"> 10</v>
      </c>
      <c r="I1676" s="14">
        <v>0.01</v>
      </c>
      <c r="J1676" s="14">
        <v>500</v>
      </c>
      <c r="K1676" s="14" t="s">
        <v>146</v>
      </c>
      <c r="L1676" s="14" t="s">
        <v>147</v>
      </c>
      <c r="P1676" s="14" t="s">
        <v>39</v>
      </c>
      <c r="Q1676" s="14" t="s">
        <v>25</v>
      </c>
      <c r="R1676" s="14" t="s">
        <v>146</v>
      </c>
    </row>
    <row r="1677" spans="1:18" s="14" customFormat="1" x14ac:dyDescent="0.25">
      <c r="A1677" s="14" t="str">
        <f>"18054"</f>
        <v>18054</v>
      </c>
      <c r="B1677" s="14" t="str">
        <f>"01714"</f>
        <v>01714</v>
      </c>
      <c r="C1677" s="14" t="str">
        <f>"1100"</f>
        <v>1100</v>
      </c>
      <c r="D1677" s="14" t="str">
        <f>"01714"</f>
        <v>01714</v>
      </c>
      <c r="E1677" s="14" t="s">
        <v>615</v>
      </c>
      <c r="F1677" s="14" t="s">
        <v>642</v>
      </c>
      <c r="G1677" s="14" t="str">
        <f>""</f>
        <v/>
      </c>
      <c r="H1677" s="14" t="str">
        <f>" 20"</f>
        <v xml:space="preserve"> 20</v>
      </c>
      <c r="I1677" s="14">
        <v>500.01</v>
      </c>
      <c r="J1677" s="14">
        <v>9999999.9900000002</v>
      </c>
      <c r="K1677" s="14" t="s">
        <v>591</v>
      </c>
      <c r="L1677" s="14" t="s">
        <v>147</v>
      </c>
      <c r="P1677" s="14" t="s">
        <v>39</v>
      </c>
      <c r="Q1677" s="14" t="s">
        <v>25</v>
      </c>
      <c r="R1677" s="14" t="s">
        <v>146</v>
      </c>
    </row>
    <row r="1678" spans="1:18" s="14" customFormat="1" x14ac:dyDescent="0.25">
      <c r="A1678" s="14" t="str">
        <f>"18054"</f>
        <v>18054</v>
      </c>
      <c r="B1678" s="14" t="str">
        <f>"01715"</f>
        <v>01715</v>
      </c>
      <c r="C1678" s="14" t="str">
        <f>"1100"</f>
        <v>1100</v>
      </c>
      <c r="D1678" s="14" t="str">
        <f>"01715"</f>
        <v>01715</v>
      </c>
      <c r="E1678" s="14" t="s">
        <v>615</v>
      </c>
      <c r="F1678" s="14" t="s">
        <v>643</v>
      </c>
      <c r="G1678" s="14" t="str">
        <f>""</f>
        <v/>
      </c>
      <c r="H1678" s="14" t="str">
        <f>" 10"</f>
        <v xml:space="preserve"> 10</v>
      </c>
      <c r="I1678" s="14">
        <v>0.01</v>
      </c>
      <c r="J1678" s="14">
        <v>500</v>
      </c>
      <c r="K1678" s="14" t="s">
        <v>146</v>
      </c>
      <c r="L1678" s="14" t="s">
        <v>147</v>
      </c>
      <c r="P1678" s="14" t="s">
        <v>39</v>
      </c>
      <c r="Q1678" s="14" t="s">
        <v>25</v>
      </c>
      <c r="R1678" s="14" t="s">
        <v>146</v>
      </c>
    </row>
    <row r="1679" spans="1:18" s="14" customFormat="1" x14ac:dyDescent="0.25">
      <c r="A1679" s="14" t="str">
        <f>"18054"</f>
        <v>18054</v>
      </c>
      <c r="B1679" s="14" t="str">
        <f>"01715"</f>
        <v>01715</v>
      </c>
      <c r="C1679" s="14" t="str">
        <f>"1100"</f>
        <v>1100</v>
      </c>
      <c r="D1679" s="14" t="str">
        <f>"01715"</f>
        <v>01715</v>
      </c>
      <c r="E1679" s="14" t="s">
        <v>615</v>
      </c>
      <c r="F1679" s="14" t="s">
        <v>643</v>
      </c>
      <c r="G1679" s="14" t="str">
        <f>""</f>
        <v/>
      </c>
      <c r="H1679" s="14" t="str">
        <f>" 20"</f>
        <v xml:space="preserve"> 20</v>
      </c>
      <c r="I1679" s="14">
        <v>500.01</v>
      </c>
      <c r="J1679" s="14">
        <v>9999999.9900000002</v>
      </c>
      <c r="K1679" s="14" t="s">
        <v>591</v>
      </c>
      <c r="L1679" s="14" t="s">
        <v>147</v>
      </c>
      <c r="P1679" s="14" t="s">
        <v>39</v>
      </c>
      <c r="Q1679" s="14" t="s">
        <v>25</v>
      </c>
      <c r="R1679" s="14" t="s">
        <v>146</v>
      </c>
    </row>
    <row r="1680" spans="1:18" s="14" customFormat="1" x14ac:dyDescent="0.25">
      <c r="A1680" s="14" t="str">
        <f>"18054"</f>
        <v>18054</v>
      </c>
      <c r="B1680" s="14" t="str">
        <f>"01716"</f>
        <v>01716</v>
      </c>
      <c r="C1680" s="14" t="str">
        <f>"1100"</f>
        <v>1100</v>
      </c>
      <c r="D1680" s="14" t="str">
        <f>"01716"</f>
        <v>01716</v>
      </c>
      <c r="E1680" s="14" t="s">
        <v>615</v>
      </c>
      <c r="F1680" s="14" t="s">
        <v>644</v>
      </c>
      <c r="G1680" s="14" t="str">
        <f>""</f>
        <v/>
      </c>
      <c r="H1680" s="14" t="str">
        <f>" 10"</f>
        <v xml:space="preserve"> 10</v>
      </c>
      <c r="I1680" s="14">
        <v>0.01</v>
      </c>
      <c r="J1680" s="14">
        <v>500</v>
      </c>
      <c r="K1680" s="14" t="s">
        <v>146</v>
      </c>
      <c r="L1680" s="14" t="s">
        <v>147</v>
      </c>
      <c r="P1680" s="14" t="s">
        <v>39</v>
      </c>
      <c r="Q1680" s="14" t="s">
        <v>25</v>
      </c>
      <c r="R1680" s="14" t="s">
        <v>146</v>
      </c>
    </row>
    <row r="1681" spans="1:18" s="14" customFormat="1" x14ac:dyDescent="0.25">
      <c r="A1681" s="14" t="str">
        <f>"18054"</f>
        <v>18054</v>
      </c>
      <c r="B1681" s="14" t="str">
        <f>"01716"</f>
        <v>01716</v>
      </c>
      <c r="C1681" s="14" t="str">
        <f>"1100"</f>
        <v>1100</v>
      </c>
      <c r="D1681" s="14" t="str">
        <f>"01716"</f>
        <v>01716</v>
      </c>
      <c r="E1681" s="14" t="s">
        <v>615</v>
      </c>
      <c r="F1681" s="14" t="s">
        <v>644</v>
      </c>
      <c r="G1681" s="14" t="str">
        <f>""</f>
        <v/>
      </c>
      <c r="H1681" s="14" t="str">
        <f>" 20"</f>
        <v xml:space="preserve"> 20</v>
      </c>
      <c r="I1681" s="14">
        <v>500.01</v>
      </c>
      <c r="J1681" s="14">
        <v>9999999.9900000002</v>
      </c>
      <c r="K1681" s="14" t="s">
        <v>591</v>
      </c>
      <c r="L1681" s="14" t="s">
        <v>147</v>
      </c>
      <c r="P1681" s="14" t="s">
        <v>39</v>
      </c>
      <c r="Q1681" s="14" t="s">
        <v>25</v>
      </c>
      <c r="R1681" s="14" t="s">
        <v>146</v>
      </c>
    </row>
    <row r="1682" spans="1:18" s="14" customFormat="1" x14ac:dyDescent="0.25">
      <c r="A1682" s="14" t="str">
        <f>"18054"</f>
        <v>18054</v>
      </c>
      <c r="B1682" s="14" t="str">
        <f>"01717"</f>
        <v>01717</v>
      </c>
      <c r="C1682" s="14" t="str">
        <f>"1100"</f>
        <v>1100</v>
      </c>
      <c r="D1682" s="14" t="str">
        <f>"01717"</f>
        <v>01717</v>
      </c>
      <c r="E1682" s="14" t="s">
        <v>615</v>
      </c>
      <c r="F1682" s="14" t="s">
        <v>645</v>
      </c>
      <c r="G1682" s="14" t="str">
        <f>""</f>
        <v/>
      </c>
      <c r="H1682" s="14" t="str">
        <f>" 10"</f>
        <v xml:space="preserve"> 10</v>
      </c>
      <c r="I1682" s="14">
        <v>0.01</v>
      </c>
      <c r="J1682" s="14">
        <v>500</v>
      </c>
      <c r="K1682" s="14" t="s">
        <v>146</v>
      </c>
      <c r="L1682" s="14" t="s">
        <v>147</v>
      </c>
      <c r="P1682" s="14" t="s">
        <v>39</v>
      </c>
      <c r="Q1682" s="14" t="s">
        <v>25</v>
      </c>
      <c r="R1682" s="14" t="s">
        <v>146</v>
      </c>
    </row>
    <row r="1683" spans="1:18" s="14" customFormat="1" x14ac:dyDescent="0.25">
      <c r="A1683" s="14" t="str">
        <f>"18054"</f>
        <v>18054</v>
      </c>
      <c r="B1683" s="14" t="str">
        <f>"01717"</f>
        <v>01717</v>
      </c>
      <c r="C1683" s="14" t="str">
        <f>"1100"</f>
        <v>1100</v>
      </c>
      <c r="D1683" s="14" t="str">
        <f>"01717"</f>
        <v>01717</v>
      </c>
      <c r="E1683" s="14" t="s">
        <v>615</v>
      </c>
      <c r="F1683" s="14" t="s">
        <v>645</v>
      </c>
      <c r="G1683" s="14" t="str">
        <f>""</f>
        <v/>
      </c>
      <c r="H1683" s="14" t="str">
        <f>" 20"</f>
        <v xml:space="preserve"> 20</v>
      </c>
      <c r="I1683" s="14">
        <v>500.01</v>
      </c>
      <c r="J1683" s="14">
        <v>9999999.9900000002</v>
      </c>
      <c r="K1683" s="14" t="s">
        <v>591</v>
      </c>
      <c r="L1683" s="14" t="s">
        <v>147</v>
      </c>
      <c r="P1683" s="14" t="s">
        <v>39</v>
      </c>
      <c r="Q1683" s="14" t="s">
        <v>25</v>
      </c>
      <c r="R1683" s="14" t="s">
        <v>146</v>
      </c>
    </row>
    <row r="1684" spans="1:18" s="14" customFormat="1" x14ac:dyDescent="0.25">
      <c r="A1684" s="14" t="str">
        <f>"18067"</f>
        <v>18067</v>
      </c>
      <c r="B1684" s="14" t="str">
        <f>"01000"</f>
        <v>01000</v>
      </c>
      <c r="C1684" s="14" t="str">
        <f>"1300"</f>
        <v>1300</v>
      </c>
      <c r="D1684" s="14" t="str">
        <f>"18067"</f>
        <v>18067</v>
      </c>
      <c r="E1684" s="14" t="s">
        <v>654</v>
      </c>
      <c r="F1684" s="14" t="s">
        <v>44</v>
      </c>
      <c r="G1684" s="14" t="str">
        <f>""</f>
        <v/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37</v>
      </c>
      <c r="L1684" s="14" t="s">
        <v>601</v>
      </c>
      <c r="P1684" s="14" t="s">
        <v>39</v>
      </c>
      <c r="Q1684" s="14" t="s">
        <v>25</v>
      </c>
      <c r="R1684" s="14" t="s">
        <v>38</v>
      </c>
    </row>
    <row r="1685" spans="1:18" s="14" customFormat="1" x14ac:dyDescent="0.25">
      <c r="A1685" s="14" t="str">
        <f>"18068"</f>
        <v>18068</v>
      </c>
      <c r="B1685" s="14" t="str">
        <f>"01000"</f>
        <v>01000</v>
      </c>
      <c r="C1685" s="14" t="str">
        <f>"1300"</f>
        <v>1300</v>
      </c>
      <c r="D1685" s="14" t="str">
        <f>"18068"</f>
        <v>18068</v>
      </c>
      <c r="E1685" s="14" t="s">
        <v>655</v>
      </c>
      <c r="F1685" s="14" t="s">
        <v>44</v>
      </c>
      <c r="G1685" s="14" t="str">
        <f>""</f>
        <v/>
      </c>
      <c r="H1685" s="14" t="str">
        <f>" 00"</f>
        <v xml:space="preserve"> 00</v>
      </c>
      <c r="I1685" s="14">
        <v>0.01</v>
      </c>
      <c r="J1685" s="14">
        <v>9999999.9900000002</v>
      </c>
      <c r="K1685" s="14" t="s">
        <v>37</v>
      </c>
      <c r="L1685" s="14" t="s">
        <v>601</v>
      </c>
      <c r="P1685" s="14" t="s">
        <v>39</v>
      </c>
      <c r="Q1685" s="14" t="s">
        <v>25</v>
      </c>
      <c r="R1685" s="14" t="s">
        <v>38</v>
      </c>
    </row>
    <row r="1686" spans="1:18" s="14" customFormat="1" x14ac:dyDescent="0.25">
      <c r="A1686" s="14" t="str">
        <f>"18076"</f>
        <v>18076</v>
      </c>
      <c r="B1686" s="14" t="str">
        <f>"01687"</f>
        <v>01687</v>
      </c>
      <c r="C1686" s="14" t="str">
        <f>"1600"</f>
        <v>1600</v>
      </c>
      <c r="D1686" s="14" t="str">
        <f>"18076"</f>
        <v>18076</v>
      </c>
      <c r="E1686" s="14" t="s">
        <v>658</v>
      </c>
      <c r="F1686" s="14" t="s">
        <v>590</v>
      </c>
      <c r="G1686" s="14" t="str">
        <f>"GN0018076"</f>
        <v>GN0018076</v>
      </c>
      <c r="H1686" s="14" t="str">
        <f>" 10"</f>
        <v xml:space="preserve"> 10</v>
      </c>
      <c r="I1686" s="14">
        <v>0.01</v>
      </c>
      <c r="J1686" s="14">
        <v>500</v>
      </c>
      <c r="K1686" s="14" t="s">
        <v>146</v>
      </c>
      <c r="L1686" s="14" t="s">
        <v>147</v>
      </c>
      <c r="P1686" s="14" t="s">
        <v>39</v>
      </c>
      <c r="Q1686" s="14" t="s">
        <v>25</v>
      </c>
      <c r="R1686" s="14" t="s">
        <v>146</v>
      </c>
    </row>
    <row r="1687" spans="1:18" s="14" customFormat="1" x14ac:dyDescent="0.25">
      <c r="A1687" s="14" t="str">
        <f>"18076"</f>
        <v>18076</v>
      </c>
      <c r="B1687" s="14" t="str">
        <f>"01687"</f>
        <v>01687</v>
      </c>
      <c r="C1687" s="14" t="str">
        <f>"1600"</f>
        <v>1600</v>
      </c>
      <c r="D1687" s="14" t="str">
        <f>"18076"</f>
        <v>18076</v>
      </c>
      <c r="E1687" s="14" t="s">
        <v>658</v>
      </c>
      <c r="F1687" s="14" t="s">
        <v>590</v>
      </c>
      <c r="G1687" s="14" t="str">
        <f>"GN0018076"</f>
        <v>GN0018076</v>
      </c>
      <c r="H1687" s="14" t="str">
        <f>" 20"</f>
        <v xml:space="preserve"> 20</v>
      </c>
      <c r="I1687" s="14">
        <v>500.01</v>
      </c>
      <c r="J1687" s="14">
        <v>9999999.9900000002</v>
      </c>
      <c r="K1687" s="14" t="s">
        <v>591</v>
      </c>
      <c r="L1687" s="14" t="s">
        <v>147</v>
      </c>
      <c r="P1687" s="14" t="s">
        <v>39</v>
      </c>
      <c r="Q1687" s="14" t="s">
        <v>25</v>
      </c>
      <c r="R1687" s="14" t="s">
        <v>146</v>
      </c>
    </row>
    <row r="1688" spans="1:18" s="14" customFormat="1" x14ac:dyDescent="0.25">
      <c r="A1688" s="14" t="str">
        <f>"18080"</f>
        <v>18080</v>
      </c>
      <c r="B1688" s="14" t="str">
        <f>"01285"</f>
        <v>01285</v>
      </c>
      <c r="C1688" s="14" t="str">
        <f>"1700"</f>
        <v>1700</v>
      </c>
      <c r="D1688" s="14" t="str">
        <f>"18080"</f>
        <v>18080</v>
      </c>
      <c r="E1688" s="14" t="s">
        <v>659</v>
      </c>
      <c r="F1688" s="14" t="s">
        <v>92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37</v>
      </c>
      <c r="L1688" s="14" t="s">
        <v>93</v>
      </c>
      <c r="P1688" s="14" t="s">
        <v>39</v>
      </c>
      <c r="Q1688" s="14" t="s">
        <v>25</v>
      </c>
      <c r="R1688" s="14" t="s">
        <v>38</v>
      </c>
    </row>
    <row r="1689" spans="1:18" s="14" customFormat="1" x14ac:dyDescent="0.25">
      <c r="A1689" s="14" t="str">
        <f>"18081"</f>
        <v>18081</v>
      </c>
      <c r="B1689" s="14" t="str">
        <f>"01670"</f>
        <v>01670</v>
      </c>
      <c r="C1689" s="14" t="str">
        <f>"1600"</f>
        <v>1600</v>
      </c>
      <c r="D1689" s="14" t="str">
        <f>"18081"</f>
        <v>18081</v>
      </c>
      <c r="E1689" s="14" t="s">
        <v>660</v>
      </c>
      <c r="F1689" s="14" t="s">
        <v>151</v>
      </c>
      <c r="G1689" s="14" t="str">
        <f>""</f>
        <v/>
      </c>
      <c r="H1689" s="14" t="str">
        <f>" 10"</f>
        <v xml:space="preserve"> 10</v>
      </c>
      <c r="I1689" s="14">
        <v>0.01</v>
      </c>
      <c r="J1689" s="14">
        <v>500</v>
      </c>
      <c r="K1689" s="14" t="s">
        <v>146</v>
      </c>
      <c r="L1689" s="14" t="s">
        <v>147</v>
      </c>
      <c r="P1689" s="14" t="s">
        <v>39</v>
      </c>
      <c r="Q1689" s="14" t="s">
        <v>25</v>
      </c>
      <c r="R1689" s="14" t="s">
        <v>146</v>
      </c>
    </row>
    <row r="1690" spans="1:18" s="14" customFormat="1" x14ac:dyDescent="0.25">
      <c r="A1690" s="14" t="str">
        <f>"18081"</f>
        <v>18081</v>
      </c>
      <c r="B1690" s="14" t="str">
        <f>"01670"</f>
        <v>01670</v>
      </c>
      <c r="C1690" s="14" t="str">
        <f>"1600"</f>
        <v>1600</v>
      </c>
      <c r="D1690" s="14" t="str">
        <f>"18081"</f>
        <v>18081</v>
      </c>
      <c r="E1690" s="14" t="s">
        <v>660</v>
      </c>
      <c r="F1690" s="14" t="s">
        <v>151</v>
      </c>
      <c r="G1690" s="14" t="str">
        <f>""</f>
        <v/>
      </c>
      <c r="H1690" s="14" t="str">
        <f>" 20"</f>
        <v xml:space="preserve"> 20</v>
      </c>
      <c r="I1690" s="14">
        <v>500.01</v>
      </c>
      <c r="J1690" s="14">
        <v>9999999.9900000002</v>
      </c>
      <c r="K1690" s="14" t="s">
        <v>147</v>
      </c>
      <c r="L1690" s="14" t="s">
        <v>661</v>
      </c>
      <c r="P1690" s="14" t="s">
        <v>39</v>
      </c>
      <c r="Q1690" s="14" t="s">
        <v>25</v>
      </c>
      <c r="R1690" s="14" t="s">
        <v>146</v>
      </c>
    </row>
    <row r="1691" spans="1:18" s="14" customFormat="1" x14ac:dyDescent="0.25">
      <c r="A1691" s="14" t="str">
        <f>"18082"</f>
        <v>18082</v>
      </c>
      <c r="B1691" s="14" t="str">
        <f>"01330"</f>
        <v>01330</v>
      </c>
      <c r="C1691" s="14" t="str">
        <f>"1200"</f>
        <v>1200</v>
      </c>
      <c r="D1691" s="14" t="str">
        <f>"18082"</f>
        <v>18082</v>
      </c>
      <c r="E1691" s="14" t="s">
        <v>662</v>
      </c>
      <c r="F1691" s="14" t="s">
        <v>105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48</v>
      </c>
      <c r="L1691" s="14" t="s">
        <v>97</v>
      </c>
      <c r="M1691" s="14" t="s">
        <v>98</v>
      </c>
      <c r="P1691" s="14" t="s">
        <v>39</v>
      </c>
      <c r="Q1691" s="14" t="s">
        <v>25</v>
      </c>
      <c r="R1691" s="14" t="s">
        <v>663</v>
      </c>
    </row>
    <row r="1692" spans="1:18" s="14" customFormat="1" x14ac:dyDescent="0.25">
      <c r="A1692" s="14" t="str">
        <f>"18092"</f>
        <v>18092</v>
      </c>
      <c r="B1692" s="14" t="str">
        <f>"05151"</f>
        <v>05151</v>
      </c>
      <c r="C1692" s="14" t="str">
        <f>"1100"</f>
        <v>1100</v>
      </c>
      <c r="D1692" s="14" t="str">
        <f>"05151A"</f>
        <v>05151A</v>
      </c>
      <c r="E1692" s="14" t="s">
        <v>666</v>
      </c>
      <c r="F1692" s="14" t="s">
        <v>666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404</v>
      </c>
      <c r="L1692" s="14" t="s">
        <v>405</v>
      </c>
      <c r="P1692" s="14" t="s">
        <v>39</v>
      </c>
      <c r="Q1692" s="14" t="s">
        <v>25</v>
      </c>
      <c r="R1692" s="14" t="s">
        <v>403</v>
      </c>
    </row>
    <row r="1693" spans="1:18" s="14" customFormat="1" x14ac:dyDescent="0.25">
      <c r="A1693" s="14" t="str">
        <f>"18092"</f>
        <v>18092</v>
      </c>
      <c r="B1693" s="14" t="str">
        <f>"05152"</f>
        <v>05152</v>
      </c>
      <c r="C1693" s="14" t="str">
        <f>"1700"</f>
        <v>1700</v>
      </c>
      <c r="D1693" s="14" t="str">
        <f>"05152A"</f>
        <v>05152A</v>
      </c>
      <c r="E1693" s="14" t="s">
        <v>666</v>
      </c>
      <c r="F1693" s="14" t="s">
        <v>667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404</v>
      </c>
      <c r="L1693" s="14" t="s">
        <v>405</v>
      </c>
      <c r="P1693" s="14" t="s">
        <v>39</v>
      </c>
      <c r="Q1693" s="14" t="s">
        <v>25</v>
      </c>
      <c r="R1693" s="14" t="s">
        <v>403</v>
      </c>
    </row>
    <row r="1694" spans="1:18" s="14" customFormat="1" x14ac:dyDescent="0.25">
      <c r="A1694" s="14" t="str">
        <f>"18102"</f>
        <v>18102</v>
      </c>
      <c r="B1694" s="14" t="str">
        <f>"01687"</f>
        <v>01687</v>
      </c>
      <c r="C1694" s="14" t="str">
        <f>"1600"</f>
        <v>1600</v>
      </c>
      <c r="D1694" s="14" t="str">
        <f>"18102"</f>
        <v>18102</v>
      </c>
      <c r="E1694" s="14" t="s">
        <v>671</v>
      </c>
      <c r="F1694" s="14" t="s">
        <v>590</v>
      </c>
      <c r="G1694" s="14" t="str">
        <f>""</f>
        <v/>
      </c>
      <c r="H1694" s="14" t="str">
        <f>" 10"</f>
        <v xml:space="preserve"> 10</v>
      </c>
      <c r="I1694" s="14">
        <v>0.01</v>
      </c>
      <c r="J1694" s="14">
        <v>500</v>
      </c>
      <c r="K1694" s="14" t="s">
        <v>146</v>
      </c>
      <c r="L1694" s="14" t="s">
        <v>147</v>
      </c>
      <c r="P1694" s="14" t="s">
        <v>39</v>
      </c>
      <c r="Q1694" s="14" t="s">
        <v>25</v>
      </c>
      <c r="R1694" s="14" t="s">
        <v>146</v>
      </c>
    </row>
    <row r="1695" spans="1:18" s="14" customFormat="1" x14ac:dyDescent="0.25">
      <c r="A1695" s="14" t="str">
        <f>"18102"</f>
        <v>18102</v>
      </c>
      <c r="B1695" s="14" t="str">
        <f>"01687"</f>
        <v>01687</v>
      </c>
      <c r="C1695" s="14" t="str">
        <f>"1600"</f>
        <v>1600</v>
      </c>
      <c r="D1695" s="14" t="str">
        <f>"18102"</f>
        <v>18102</v>
      </c>
      <c r="E1695" s="14" t="s">
        <v>671</v>
      </c>
      <c r="F1695" s="14" t="s">
        <v>590</v>
      </c>
      <c r="G1695" s="14" t="str">
        <f>""</f>
        <v/>
      </c>
      <c r="H1695" s="14" t="str">
        <f>" 20"</f>
        <v xml:space="preserve"> 20</v>
      </c>
      <c r="I1695" s="14">
        <v>500.01</v>
      </c>
      <c r="J1695" s="14">
        <v>9999999.9900000002</v>
      </c>
      <c r="K1695" s="14" t="s">
        <v>591</v>
      </c>
      <c r="L1695" s="14" t="s">
        <v>147</v>
      </c>
      <c r="P1695" s="14" t="s">
        <v>39</v>
      </c>
      <c r="Q1695" s="14" t="s">
        <v>25</v>
      </c>
      <c r="R1695" s="14" t="s">
        <v>146</v>
      </c>
    </row>
    <row r="1696" spans="1:18" s="14" customFormat="1" x14ac:dyDescent="0.25">
      <c r="A1696" s="14" t="str">
        <f>"18108"</f>
        <v>18108</v>
      </c>
      <c r="B1696" s="14" t="str">
        <f>"01682"</f>
        <v>01682</v>
      </c>
      <c r="C1696" s="14" t="str">
        <f>"1600"</f>
        <v>1600</v>
      </c>
      <c r="D1696" s="14" t="str">
        <f>"01682"</f>
        <v>01682</v>
      </c>
      <c r="E1696" s="14" t="s">
        <v>590</v>
      </c>
      <c r="F1696" s="14" t="s">
        <v>676</v>
      </c>
      <c r="G1696" s="14" t="str">
        <f>""</f>
        <v/>
      </c>
      <c r="H1696" s="14" t="str">
        <f>" 10"</f>
        <v xml:space="preserve"> 10</v>
      </c>
      <c r="I1696" s="14">
        <v>0.01</v>
      </c>
      <c r="J1696" s="14">
        <v>500</v>
      </c>
      <c r="K1696" s="14" t="s">
        <v>146</v>
      </c>
      <c r="L1696" s="14" t="s">
        <v>147</v>
      </c>
      <c r="P1696" s="14" t="s">
        <v>39</v>
      </c>
      <c r="Q1696" s="14" t="s">
        <v>25</v>
      </c>
      <c r="R1696" s="14" t="s">
        <v>146</v>
      </c>
    </row>
    <row r="1697" spans="1:18" s="14" customFormat="1" x14ac:dyDescent="0.25">
      <c r="A1697" s="14" t="str">
        <f>"18108"</f>
        <v>18108</v>
      </c>
      <c r="B1697" s="14" t="str">
        <f>"01682"</f>
        <v>01682</v>
      </c>
      <c r="C1697" s="14" t="str">
        <f>"1600"</f>
        <v>1600</v>
      </c>
      <c r="D1697" s="14" t="str">
        <f>"01682"</f>
        <v>01682</v>
      </c>
      <c r="E1697" s="14" t="s">
        <v>590</v>
      </c>
      <c r="F1697" s="14" t="s">
        <v>676</v>
      </c>
      <c r="G1697" s="14" t="str">
        <f>""</f>
        <v/>
      </c>
      <c r="H1697" s="14" t="str">
        <f>" 20"</f>
        <v xml:space="preserve"> 20</v>
      </c>
      <c r="I1697" s="14">
        <v>500.01</v>
      </c>
      <c r="J1697" s="14">
        <v>9999999.9900000002</v>
      </c>
      <c r="K1697" s="14" t="s">
        <v>591</v>
      </c>
      <c r="L1697" s="14" t="s">
        <v>147</v>
      </c>
      <c r="P1697" s="14" t="s">
        <v>39</v>
      </c>
      <c r="Q1697" s="14" t="s">
        <v>25</v>
      </c>
      <c r="R1697" s="14" t="s">
        <v>146</v>
      </c>
    </row>
    <row r="1698" spans="1:18" s="14" customFormat="1" x14ac:dyDescent="0.25">
      <c r="A1698" s="14" t="str">
        <f>"18108"</f>
        <v>18108</v>
      </c>
      <c r="B1698" s="14" t="str">
        <f>"01687"</f>
        <v>01687</v>
      </c>
      <c r="C1698" s="14" t="str">
        <f>"1600"</f>
        <v>1600</v>
      </c>
      <c r="D1698" s="14" t="str">
        <f>"01687"</f>
        <v>01687</v>
      </c>
      <c r="E1698" s="14" t="s">
        <v>590</v>
      </c>
      <c r="F1698" s="14" t="s">
        <v>590</v>
      </c>
      <c r="G1698" s="14" t="str">
        <f>""</f>
        <v/>
      </c>
      <c r="H1698" s="14" t="str">
        <f>" 10"</f>
        <v xml:space="preserve"> 10</v>
      </c>
      <c r="I1698" s="14">
        <v>0.01</v>
      </c>
      <c r="J1698" s="14">
        <v>500</v>
      </c>
      <c r="K1698" s="14" t="s">
        <v>146</v>
      </c>
      <c r="L1698" s="14" t="s">
        <v>147</v>
      </c>
      <c r="P1698" s="14" t="s">
        <v>39</v>
      </c>
      <c r="Q1698" s="14" t="s">
        <v>25</v>
      </c>
      <c r="R1698" s="14" t="s">
        <v>146</v>
      </c>
    </row>
    <row r="1699" spans="1:18" s="14" customFormat="1" x14ac:dyDescent="0.25">
      <c r="A1699" s="14" t="str">
        <f>"18108"</f>
        <v>18108</v>
      </c>
      <c r="B1699" s="14" t="str">
        <f>"01687"</f>
        <v>01687</v>
      </c>
      <c r="C1699" s="14" t="str">
        <f>"1600"</f>
        <v>1600</v>
      </c>
      <c r="D1699" s="14" t="str">
        <f>"01687"</f>
        <v>01687</v>
      </c>
      <c r="E1699" s="14" t="s">
        <v>590</v>
      </c>
      <c r="F1699" s="14" t="s">
        <v>590</v>
      </c>
      <c r="G1699" s="14" t="str">
        <f>""</f>
        <v/>
      </c>
      <c r="H1699" s="14" t="str">
        <f>" 20"</f>
        <v xml:space="preserve"> 20</v>
      </c>
      <c r="I1699" s="14">
        <v>500.01</v>
      </c>
      <c r="J1699" s="14">
        <v>9999999.9900000002</v>
      </c>
      <c r="K1699" s="14" t="s">
        <v>591</v>
      </c>
      <c r="L1699" s="14" t="s">
        <v>147</v>
      </c>
      <c r="P1699" s="14" t="s">
        <v>39</v>
      </c>
      <c r="Q1699" s="14" t="s">
        <v>25</v>
      </c>
      <c r="R1699" s="14" t="s">
        <v>146</v>
      </c>
    </row>
    <row r="1700" spans="1:18" s="14" customFormat="1" x14ac:dyDescent="0.25">
      <c r="A1700" s="14" t="str">
        <f>"18108"</f>
        <v>18108</v>
      </c>
      <c r="B1700" s="14" t="str">
        <f>"01689"</f>
        <v>01689</v>
      </c>
      <c r="C1700" s="14" t="str">
        <f>"1600"</f>
        <v>1600</v>
      </c>
      <c r="D1700" s="14" t="str">
        <f>"01689"</f>
        <v>01689</v>
      </c>
      <c r="E1700" s="14" t="s">
        <v>590</v>
      </c>
      <c r="F1700" s="14" t="s">
        <v>677</v>
      </c>
      <c r="G1700" s="14" t="str">
        <f>""</f>
        <v/>
      </c>
      <c r="H1700" s="14" t="str">
        <f>" 10"</f>
        <v xml:space="preserve"> 10</v>
      </c>
      <c r="I1700" s="14">
        <v>0.01</v>
      </c>
      <c r="J1700" s="14">
        <v>500</v>
      </c>
      <c r="K1700" s="14" t="s">
        <v>146</v>
      </c>
      <c r="L1700" s="14" t="s">
        <v>147</v>
      </c>
      <c r="P1700" s="14" t="s">
        <v>39</v>
      </c>
      <c r="Q1700" s="14" t="s">
        <v>25</v>
      </c>
      <c r="R1700" s="14" t="s">
        <v>146</v>
      </c>
    </row>
    <row r="1701" spans="1:18" s="14" customFormat="1" x14ac:dyDescent="0.25">
      <c r="A1701" s="14" t="str">
        <f>"18108"</f>
        <v>18108</v>
      </c>
      <c r="B1701" s="14" t="str">
        <f>"01689"</f>
        <v>01689</v>
      </c>
      <c r="C1701" s="14" t="str">
        <f>"1600"</f>
        <v>1600</v>
      </c>
      <c r="D1701" s="14" t="str">
        <f>"01689"</f>
        <v>01689</v>
      </c>
      <c r="E1701" s="14" t="s">
        <v>590</v>
      </c>
      <c r="F1701" s="14" t="s">
        <v>677</v>
      </c>
      <c r="G1701" s="14" t="str">
        <f>""</f>
        <v/>
      </c>
      <c r="H1701" s="14" t="str">
        <f>" 20"</f>
        <v xml:space="preserve"> 20</v>
      </c>
      <c r="I1701" s="14">
        <v>500.01</v>
      </c>
      <c r="J1701" s="14">
        <v>9999999.9900000002</v>
      </c>
      <c r="K1701" s="14" t="s">
        <v>591</v>
      </c>
      <c r="L1701" s="14" t="s">
        <v>147</v>
      </c>
      <c r="P1701" s="14" t="s">
        <v>39</v>
      </c>
      <c r="Q1701" s="14" t="s">
        <v>25</v>
      </c>
      <c r="R1701" s="14" t="s">
        <v>146</v>
      </c>
    </row>
    <row r="1702" spans="1:18" s="14" customFormat="1" x14ac:dyDescent="0.25">
      <c r="A1702" s="14" t="str">
        <f>"18108"</f>
        <v>18108</v>
      </c>
      <c r="B1702" s="14" t="str">
        <f>"01701"</f>
        <v>01701</v>
      </c>
      <c r="C1702" s="14" t="str">
        <f>"1600"</f>
        <v>1600</v>
      </c>
      <c r="D1702" s="14" t="str">
        <f>"01701"</f>
        <v>01701</v>
      </c>
      <c r="E1702" s="14" t="s">
        <v>590</v>
      </c>
      <c r="F1702" s="14" t="s">
        <v>678</v>
      </c>
      <c r="G1702" s="14" t="str">
        <f>""</f>
        <v/>
      </c>
      <c r="H1702" s="14" t="str">
        <f>" 10"</f>
        <v xml:space="preserve"> 10</v>
      </c>
      <c r="I1702" s="14">
        <v>0.01</v>
      </c>
      <c r="J1702" s="14">
        <v>500</v>
      </c>
      <c r="K1702" s="14" t="s">
        <v>146</v>
      </c>
      <c r="L1702" s="14" t="s">
        <v>147</v>
      </c>
      <c r="P1702" s="14" t="s">
        <v>39</v>
      </c>
      <c r="Q1702" s="14" t="s">
        <v>25</v>
      </c>
      <c r="R1702" s="14" t="s">
        <v>146</v>
      </c>
    </row>
    <row r="1703" spans="1:18" s="14" customFormat="1" x14ac:dyDescent="0.25">
      <c r="A1703" s="14" t="str">
        <f>"18108"</f>
        <v>18108</v>
      </c>
      <c r="B1703" s="14" t="str">
        <f>"01701"</f>
        <v>01701</v>
      </c>
      <c r="C1703" s="14" t="str">
        <f>"1600"</f>
        <v>1600</v>
      </c>
      <c r="D1703" s="14" t="str">
        <f>"01701"</f>
        <v>01701</v>
      </c>
      <c r="E1703" s="14" t="s">
        <v>590</v>
      </c>
      <c r="F1703" s="14" t="s">
        <v>678</v>
      </c>
      <c r="G1703" s="14" t="str">
        <f>""</f>
        <v/>
      </c>
      <c r="H1703" s="14" t="str">
        <f>" 20"</f>
        <v xml:space="preserve"> 20</v>
      </c>
      <c r="I1703" s="14">
        <v>500.01</v>
      </c>
      <c r="J1703" s="14">
        <v>9999999.9900000002</v>
      </c>
      <c r="K1703" s="14" t="s">
        <v>591</v>
      </c>
      <c r="L1703" s="14" t="s">
        <v>147</v>
      </c>
      <c r="P1703" s="14" t="s">
        <v>39</v>
      </c>
      <c r="Q1703" s="14" t="s">
        <v>25</v>
      </c>
      <c r="R1703" s="14" t="s">
        <v>146</v>
      </c>
    </row>
    <row r="1704" spans="1:18" s="14" customFormat="1" x14ac:dyDescent="0.25">
      <c r="A1704" s="14" t="str">
        <f>"18108"</f>
        <v>18108</v>
      </c>
      <c r="B1704" s="14" t="str">
        <f>"01703"</f>
        <v>01703</v>
      </c>
      <c r="C1704" s="14" t="str">
        <f>"1600"</f>
        <v>1600</v>
      </c>
      <c r="D1704" s="14" t="str">
        <f>"01703"</f>
        <v>01703</v>
      </c>
      <c r="E1704" s="14" t="s">
        <v>590</v>
      </c>
      <c r="F1704" s="14" t="s">
        <v>679</v>
      </c>
      <c r="G1704" s="14" t="str">
        <f>""</f>
        <v/>
      </c>
      <c r="H1704" s="14" t="str">
        <f>" 10"</f>
        <v xml:space="preserve"> 10</v>
      </c>
      <c r="I1704" s="14">
        <v>0.01</v>
      </c>
      <c r="J1704" s="14">
        <v>500</v>
      </c>
      <c r="K1704" s="14" t="s">
        <v>146</v>
      </c>
      <c r="L1704" s="14" t="s">
        <v>147</v>
      </c>
      <c r="P1704" s="14" t="s">
        <v>39</v>
      </c>
      <c r="Q1704" s="14" t="s">
        <v>25</v>
      </c>
      <c r="R1704" s="14" t="s">
        <v>146</v>
      </c>
    </row>
    <row r="1705" spans="1:18" s="14" customFormat="1" x14ac:dyDescent="0.25">
      <c r="A1705" s="14" t="str">
        <f>"18108"</f>
        <v>18108</v>
      </c>
      <c r="B1705" s="14" t="str">
        <f>"01703"</f>
        <v>01703</v>
      </c>
      <c r="C1705" s="14" t="str">
        <f>"1600"</f>
        <v>1600</v>
      </c>
      <c r="D1705" s="14" t="str">
        <f>"01703"</f>
        <v>01703</v>
      </c>
      <c r="E1705" s="14" t="s">
        <v>590</v>
      </c>
      <c r="F1705" s="14" t="s">
        <v>679</v>
      </c>
      <c r="G1705" s="14" t="str">
        <f>""</f>
        <v/>
      </c>
      <c r="H1705" s="14" t="str">
        <f>" 20"</f>
        <v xml:space="preserve"> 20</v>
      </c>
      <c r="I1705" s="14">
        <v>500.01</v>
      </c>
      <c r="J1705" s="14">
        <v>9999999.9900000002</v>
      </c>
      <c r="K1705" s="14" t="s">
        <v>591</v>
      </c>
      <c r="L1705" s="14" t="s">
        <v>147</v>
      </c>
      <c r="P1705" s="14" t="s">
        <v>39</v>
      </c>
      <c r="Q1705" s="14" t="s">
        <v>25</v>
      </c>
      <c r="R1705" s="14" t="s">
        <v>146</v>
      </c>
    </row>
    <row r="1706" spans="1:18" s="14" customFormat="1" x14ac:dyDescent="0.25">
      <c r="A1706" s="14" t="str">
        <f>"18108"</f>
        <v>18108</v>
      </c>
      <c r="B1706" s="14" t="str">
        <f>"01706"</f>
        <v>01706</v>
      </c>
      <c r="C1706" s="14" t="str">
        <f>"1600"</f>
        <v>1600</v>
      </c>
      <c r="D1706" s="14" t="str">
        <f>"01706"</f>
        <v>01706</v>
      </c>
      <c r="E1706" s="14" t="s">
        <v>590</v>
      </c>
      <c r="F1706" s="14" t="s">
        <v>680</v>
      </c>
      <c r="G1706" s="14" t="str">
        <f>""</f>
        <v/>
      </c>
      <c r="H1706" s="14" t="str">
        <f>" 10"</f>
        <v xml:space="preserve"> 10</v>
      </c>
      <c r="I1706" s="14">
        <v>0.01</v>
      </c>
      <c r="J1706" s="14">
        <v>500</v>
      </c>
      <c r="K1706" s="14" t="s">
        <v>146</v>
      </c>
      <c r="L1706" s="14" t="s">
        <v>147</v>
      </c>
      <c r="P1706" s="14" t="s">
        <v>39</v>
      </c>
      <c r="Q1706" s="14" t="s">
        <v>25</v>
      </c>
      <c r="R1706" s="14" t="s">
        <v>146</v>
      </c>
    </row>
    <row r="1707" spans="1:18" s="14" customFormat="1" x14ac:dyDescent="0.25">
      <c r="A1707" s="14" t="str">
        <f>"18108"</f>
        <v>18108</v>
      </c>
      <c r="B1707" s="14" t="str">
        <f>"01706"</f>
        <v>01706</v>
      </c>
      <c r="C1707" s="14" t="str">
        <f>"1600"</f>
        <v>1600</v>
      </c>
      <c r="D1707" s="14" t="str">
        <f>"01706"</f>
        <v>01706</v>
      </c>
      <c r="E1707" s="14" t="s">
        <v>590</v>
      </c>
      <c r="F1707" s="14" t="s">
        <v>680</v>
      </c>
      <c r="G1707" s="14" t="str">
        <f>""</f>
        <v/>
      </c>
      <c r="H1707" s="14" t="str">
        <f>" 20"</f>
        <v xml:space="preserve"> 20</v>
      </c>
      <c r="I1707" s="14">
        <v>500.01</v>
      </c>
      <c r="J1707" s="14">
        <v>9999999.9900000002</v>
      </c>
      <c r="K1707" s="14" t="s">
        <v>591</v>
      </c>
      <c r="L1707" s="14" t="s">
        <v>147</v>
      </c>
      <c r="P1707" s="14" t="s">
        <v>39</v>
      </c>
      <c r="Q1707" s="14" t="s">
        <v>25</v>
      </c>
      <c r="R1707" s="14" t="s">
        <v>146</v>
      </c>
    </row>
    <row r="1708" spans="1:18" s="14" customFormat="1" x14ac:dyDescent="0.25">
      <c r="A1708" s="14" t="str">
        <f>"18108"</f>
        <v>18108</v>
      </c>
      <c r="B1708" s="14" t="str">
        <f>"01707"</f>
        <v>01707</v>
      </c>
      <c r="C1708" s="14" t="str">
        <f>"1600"</f>
        <v>1600</v>
      </c>
      <c r="D1708" s="14" t="str">
        <f>"01707"</f>
        <v>01707</v>
      </c>
      <c r="E1708" s="14" t="s">
        <v>590</v>
      </c>
      <c r="F1708" s="14" t="s">
        <v>681</v>
      </c>
      <c r="G1708" s="14" t="str">
        <f>""</f>
        <v/>
      </c>
      <c r="H1708" s="14" t="str">
        <f>" 10"</f>
        <v xml:space="preserve"> 10</v>
      </c>
      <c r="I1708" s="14">
        <v>0.01</v>
      </c>
      <c r="J1708" s="14">
        <v>500</v>
      </c>
      <c r="K1708" s="14" t="s">
        <v>146</v>
      </c>
      <c r="L1708" s="14" t="s">
        <v>147</v>
      </c>
      <c r="P1708" s="14" t="s">
        <v>39</v>
      </c>
      <c r="Q1708" s="14" t="s">
        <v>25</v>
      </c>
      <c r="R1708" s="14" t="s">
        <v>146</v>
      </c>
    </row>
    <row r="1709" spans="1:18" s="14" customFormat="1" x14ac:dyDescent="0.25">
      <c r="A1709" s="14" t="str">
        <f>"18108"</f>
        <v>18108</v>
      </c>
      <c r="B1709" s="14" t="str">
        <f>"01707"</f>
        <v>01707</v>
      </c>
      <c r="C1709" s="14" t="str">
        <f>"1600"</f>
        <v>1600</v>
      </c>
      <c r="D1709" s="14" t="str">
        <f>"01707"</f>
        <v>01707</v>
      </c>
      <c r="E1709" s="14" t="s">
        <v>590</v>
      </c>
      <c r="F1709" s="14" t="s">
        <v>681</v>
      </c>
      <c r="G1709" s="14" t="str">
        <f>""</f>
        <v/>
      </c>
      <c r="H1709" s="14" t="str">
        <f>" 20"</f>
        <v xml:space="preserve"> 20</v>
      </c>
      <c r="I1709" s="14">
        <v>500.01</v>
      </c>
      <c r="J1709" s="14">
        <v>9999999.9900000002</v>
      </c>
      <c r="K1709" s="14" t="s">
        <v>591</v>
      </c>
      <c r="L1709" s="14" t="s">
        <v>147</v>
      </c>
      <c r="P1709" s="14" t="s">
        <v>39</v>
      </c>
      <c r="Q1709" s="14" t="s">
        <v>25</v>
      </c>
      <c r="R1709" s="14" t="s">
        <v>146</v>
      </c>
    </row>
    <row r="1710" spans="1:18" s="14" customFormat="1" x14ac:dyDescent="0.25">
      <c r="A1710" s="14" t="str">
        <f>"18108"</f>
        <v>18108</v>
      </c>
      <c r="B1710" s="14" t="str">
        <f>"01709"</f>
        <v>01709</v>
      </c>
      <c r="C1710" s="14" t="str">
        <f>"1600"</f>
        <v>1600</v>
      </c>
      <c r="D1710" s="14" t="str">
        <f>"01709"</f>
        <v>01709</v>
      </c>
      <c r="E1710" s="14" t="s">
        <v>590</v>
      </c>
      <c r="F1710" s="14" t="s">
        <v>682</v>
      </c>
      <c r="G1710" s="14" t="str">
        <f>""</f>
        <v/>
      </c>
      <c r="H1710" s="14" t="str">
        <f>" 10"</f>
        <v xml:space="preserve"> 10</v>
      </c>
      <c r="I1710" s="14">
        <v>0.01</v>
      </c>
      <c r="J1710" s="14">
        <v>500</v>
      </c>
      <c r="K1710" s="14" t="s">
        <v>146</v>
      </c>
      <c r="L1710" s="14" t="s">
        <v>147</v>
      </c>
      <c r="P1710" s="14" t="s">
        <v>39</v>
      </c>
      <c r="Q1710" s="14" t="s">
        <v>25</v>
      </c>
      <c r="R1710" s="14" t="s">
        <v>146</v>
      </c>
    </row>
    <row r="1711" spans="1:18" s="14" customFormat="1" x14ac:dyDescent="0.25">
      <c r="A1711" s="14" t="str">
        <f>"18108"</f>
        <v>18108</v>
      </c>
      <c r="B1711" s="14" t="str">
        <f>"01709"</f>
        <v>01709</v>
      </c>
      <c r="C1711" s="14" t="str">
        <f>"1600"</f>
        <v>1600</v>
      </c>
      <c r="D1711" s="14" t="str">
        <f>"01709"</f>
        <v>01709</v>
      </c>
      <c r="E1711" s="14" t="s">
        <v>590</v>
      </c>
      <c r="F1711" s="14" t="s">
        <v>682</v>
      </c>
      <c r="G1711" s="14" t="str">
        <f>""</f>
        <v/>
      </c>
      <c r="H1711" s="14" t="str">
        <f>" 20"</f>
        <v xml:space="preserve"> 20</v>
      </c>
      <c r="I1711" s="14">
        <v>500.01</v>
      </c>
      <c r="J1711" s="14">
        <v>9999999.9900000002</v>
      </c>
      <c r="K1711" s="14" t="s">
        <v>591</v>
      </c>
      <c r="L1711" s="14" t="s">
        <v>147</v>
      </c>
      <c r="P1711" s="14" t="s">
        <v>39</v>
      </c>
      <c r="Q1711" s="14" t="s">
        <v>25</v>
      </c>
      <c r="R1711" s="14" t="s">
        <v>146</v>
      </c>
    </row>
    <row r="1712" spans="1:18" s="14" customFormat="1" x14ac:dyDescent="0.25">
      <c r="A1712" s="14" t="str">
        <f>"18108"</f>
        <v>18108</v>
      </c>
      <c r="B1712" s="14" t="str">
        <f>"01711"</f>
        <v>01711</v>
      </c>
      <c r="C1712" s="14" t="str">
        <f>"1600"</f>
        <v>1600</v>
      </c>
      <c r="D1712" s="14" t="str">
        <f>"01711"</f>
        <v>01711</v>
      </c>
      <c r="E1712" s="14" t="s">
        <v>590</v>
      </c>
      <c r="F1712" s="14" t="s">
        <v>683</v>
      </c>
      <c r="G1712" s="14" t="str">
        <f>""</f>
        <v/>
      </c>
      <c r="H1712" s="14" t="str">
        <f>" 10"</f>
        <v xml:space="preserve"> 10</v>
      </c>
      <c r="I1712" s="14">
        <v>0.01</v>
      </c>
      <c r="J1712" s="14">
        <v>500</v>
      </c>
      <c r="K1712" s="14" t="s">
        <v>146</v>
      </c>
      <c r="L1712" s="14" t="s">
        <v>147</v>
      </c>
      <c r="P1712" s="14" t="s">
        <v>39</v>
      </c>
      <c r="Q1712" s="14" t="s">
        <v>25</v>
      </c>
      <c r="R1712" s="14" t="s">
        <v>146</v>
      </c>
    </row>
    <row r="1713" spans="1:18" s="14" customFormat="1" x14ac:dyDescent="0.25">
      <c r="A1713" s="14" t="str">
        <f>"18108"</f>
        <v>18108</v>
      </c>
      <c r="B1713" s="14" t="str">
        <f>"01711"</f>
        <v>01711</v>
      </c>
      <c r="C1713" s="14" t="str">
        <f>"1600"</f>
        <v>1600</v>
      </c>
      <c r="D1713" s="14" t="str">
        <f>"01711"</f>
        <v>01711</v>
      </c>
      <c r="E1713" s="14" t="s">
        <v>590</v>
      </c>
      <c r="F1713" s="14" t="s">
        <v>683</v>
      </c>
      <c r="G1713" s="14" t="str">
        <f>""</f>
        <v/>
      </c>
      <c r="H1713" s="14" t="str">
        <f>" 20"</f>
        <v xml:space="preserve"> 20</v>
      </c>
      <c r="I1713" s="14">
        <v>500.01</v>
      </c>
      <c r="J1713" s="14">
        <v>9999999.9900000002</v>
      </c>
      <c r="K1713" s="14" t="s">
        <v>591</v>
      </c>
      <c r="L1713" s="14" t="s">
        <v>147</v>
      </c>
      <c r="P1713" s="14" t="s">
        <v>39</v>
      </c>
      <c r="Q1713" s="14" t="s">
        <v>25</v>
      </c>
      <c r="R1713" s="14" t="s">
        <v>146</v>
      </c>
    </row>
    <row r="1714" spans="1:18" s="14" customFormat="1" x14ac:dyDescent="0.25">
      <c r="A1714" s="14" t="str">
        <f>"18110"</f>
        <v>18110</v>
      </c>
      <c r="B1714" s="14" t="str">
        <f>"01320"</f>
        <v>01320</v>
      </c>
      <c r="C1714" s="14" t="str">
        <f>"1600"</f>
        <v>1600</v>
      </c>
      <c r="D1714" s="14" t="str">
        <f>"18110"</f>
        <v>18110</v>
      </c>
      <c r="E1714" s="14" t="s">
        <v>684</v>
      </c>
      <c r="F1714" s="14" t="s">
        <v>103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48</v>
      </c>
      <c r="L1714" s="14" t="s">
        <v>97</v>
      </c>
      <c r="M1714" s="14" t="s">
        <v>98</v>
      </c>
      <c r="P1714" s="14" t="s">
        <v>39</v>
      </c>
      <c r="Q1714" s="14" t="s">
        <v>25</v>
      </c>
      <c r="R1714" s="14" t="s">
        <v>49</v>
      </c>
    </row>
    <row r="1715" spans="1:18" s="14" customFormat="1" x14ac:dyDescent="0.25">
      <c r="A1715" s="14" t="str">
        <f>"18122"</f>
        <v>18122</v>
      </c>
      <c r="B1715" s="14" t="str">
        <f>"01695"</f>
        <v>01695</v>
      </c>
      <c r="C1715" s="14" t="str">
        <f>"1600"</f>
        <v>1600</v>
      </c>
      <c r="D1715" s="14" t="str">
        <f>"18122"</f>
        <v>18122</v>
      </c>
      <c r="E1715" s="14" t="s">
        <v>687</v>
      </c>
      <c r="F1715" s="14" t="s">
        <v>155</v>
      </c>
      <c r="G1715" s="14" t="str">
        <f>""</f>
        <v/>
      </c>
      <c r="H1715" s="14" t="str">
        <f>" 10"</f>
        <v xml:space="preserve"> 10</v>
      </c>
      <c r="I1715" s="14">
        <v>0.01</v>
      </c>
      <c r="J1715" s="14">
        <v>500</v>
      </c>
      <c r="K1715" s="14" t="s">
        <v>146</v>
      </c>
      <c r="L1715" s="14" t="s">
        <v>147</v>
      </c>
      <c r="M1715" s="14" t="s">
        <v>156</v>
      </c>
      <c r="P1715" s="14" t="s">
        <v>39</v>
      </c>
      <c r="Q1715" s="14" t="s">
        <v>25</v>
      </c>
      <c r="R1715" s="14" t="s">
        <v>146</v>
      </c>
    </row>
    <row r="1716" spans="1:18" s="14" customFormat="1" x14ac:dyDescent="0.25">
      <c r="A1716" s="14" t="str">
        <f>"18122"</f>
        <v>18122</v>
      </c>
      <c r="B1716" s="14" t="str">
        <f>"01695"</f>
        <v>01695</v>
      </c>
      <c r="C1716" s="14" t="str">
        <f>"1600"</f>
        <v>1600</v>
      </c>
      <c r="D1716" s="14" t="str">
        <f>"18122"</f>
        <v>18122</v>
      </c>
      <c r="E1716" s="14" t="s">
        <v>687</v>
      </c>
      <c r="F1716" s="14" t="s">
        <v>155</v>
      </c>
      <c r="G1716" s="14" t="str">
        <f>""</f>
        <v/>
      </c>
      <c r="H1716" s="14" t="str">
        <f>" 20"</f>
        <v xml:space="preserve"> 20</v>
      </c>
      <c r="I1716" s="14">
        <v>500.01</v>
      </c>
      <c r="J1716" s="14">
        <v>9999999.9900000002</v>
      </c>
      <c r="K1716" s="14" t="s">
        <v>147</v>
      </c>
      <c r="L1716" s="14" t="s">
        <v>156</v>
      </c>
      <c r="P1716" s="14" t="s">
        <v>39</v>
      </c>
      <c r="Q1716" s="14" t="s">
        <v>25</v>
      </c>
      <c r="R1716" s="14" t="s">
        <v>146</v>
      </c>
    </row>
    <row r="1717" spans="1:18" s="14" customFormat="1" x14ac:dyDescent="0.25">
      <c r="A1717" s="14" t="str">
        <f>"18123"</f>
        <v>18123</v>
      </c>
      <c r="B1717" s="14" t="str">
        <f>"01695"</f>
        <v>01695</v>
      </c>
      <c r="C1717" s="14" t="str">
        <f>"1600"</f>
        <v>1600</v>
      </c>
      <c r="D1717" s="14" t="str">
        <f>"18123"</f>
        <v>18123</v>
      </c>
      <c r="E1717" s="14" t="s">
        <v>688</v>
      </c>
      <c r="F1717" s="14" t="s">
        <v>155</v>
      </c>
      <c r="G1717" s="14" t="str">
        <f>""</f>
        <v/>
      </c>
      <c r="H1717" s="14" t="str">
        <f>" 10"</f>
        <v xml:space="preserve"> 10</v>
      </c>
      <c r="I1717" s="14">
        <v>0.01</v>
      </c>
      <c r="J1717" s="14">
        <v>500</v>
      </c>
      <c r="K1717" s="14" t="s">
        <v>146</v>
      </c>
      <c r="L1717" s="14" t="s">
        <v>147</v>
      </c>
      <c r="M1717" s="14" t="s">
        <v>156</v>
      </c>
      <c r="P1717" s="14" t="s">
        <v>39</v>
      </c>
      <c r="Q1717" s="14" t="s">
        <v>25</v>
      </c>
      <c r="R1717" s="14" t="s">
        <v>146</v>
      </c>
    </row>
    <row r="1718" spans="1:18" s="14" customFormat="1" x14ac:dyDescent="0.25">
      <c r="A1718" s="14" t="str">
        <f>"18123"</f>
        <v>18123</v>
      </c>
      <c r="B1718" s="14" t="str">
        <f>"01695"</f>
        <v>01695</v>
      </c>
      <c r="C1718" s="14" t="str">
        <f>"1600"</f>
        <v>1600</v>
      </c>
      <c r="D1718" s="14" t="str">
        <f>"18123"</f>
        <v>18123</v>
      </c>
      <c r="E1718" s="14" t="s">
        <v>688</v>
      </c>
      <c r="F1718" s="14" t="s">
        <v>155</v>
      </c>
      <c r="G1718" s="14" t="str">
        <f>""</f>
        <v/>
      </c>
      <c r="H1718" s="14" t="str">
        <f>" 20"</f>
        <v xml:space="preserve"> 20</v>
      </c>
      <c r="I1718" s="14">
        <v>500.01</v>
      </c>
      <c r="J1718" s="14">
        <v>9999999.9900000002</v>
      </c>
      <c r="K1718" s="14" t="s">
        <v>156</v>
      </c>
      <c r="L1718" s="14" t="s">
        <v>147</v>
      </c>
      <c r="P1718" s="14" t="s">
        <v>39</v>
      </c>
      <c r="Q1718" s="14" t="s">
        <v>25</v>
      </c>
      <c r="R1718" s="14" t="s">
        <v>146</v>
      </c>
    </row>
    <row r="1719" spans="1:18" s="14" customFormat="1" x14ac:dyDescent="0.25">
      <c r="A1719" s="14" t="str">
        <f>"18124"</f>
        <v>18124</v>
      </c>
      <c r="B1719" s="14" t="str">
        <f>"01000"</f>
        <v>01000</v>
      </c>
      <c r="C1719" s="14" t="str">
        <f>"1600"</f>
        <v>1600</v>
      </c>
      <c r="D1719" s="14" t="str">
        <f>"18124"</f>
        <v>18124</v>
      </c>
      <c r="E1719" s="14" t="s">
        <v>689</v>
      </c>
      <c r="F1719" s="14" t="s">
        <v>44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37</v>
      </c>
      <c r="L1719" s="14" t="s">
        <v>34</v>
      </c>
      <c r="P1719" s="14" t="s">
        <v>39</v>
      </c>
      <c r="Q1719" s="14" t="s">
        <v>25</v>
      </c>
      <c r="R1719" s="14" t="s">
        <v>45</v>
      </c>
    </row>
    <row r="1720" spans="1:18" s="14" customFormat="1" x14ac:dyDescent="0.25">
      <c r="A1720" s="14" t="str">
        <f>"18126"</f>
        <v>18126</v>
      </c>
      <c r="B1720" s="14" t="str">
        <f>"01000"</f>
        <v>01000</v>
      </c>
      <c r="C1720" s="14" t="str">
        <f>"1100"</f>
        <v>1100</v>
      </c>
      <c r="D1720" s="14" t="str">
        <f>"18126"</f>
        <v>18126</v>
      </c>
      <c r="E1720" s="14" t="s">
        <v>691</v>
      </c>
      <c r="F1720" s="14" t="s">
        <v>44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37</v>
      </c>
      <c r="L1720" s="14" t="s">
        <v>34</v>
      </c>
      <c r="P1720" s="14" t="s">
        <v>39</v>
      </c>
      <c r="Q1720" s="14" t="s">
        <v>25</v>
      </c>
      <c r="R1720" s="14" t="s">
        <v>45</v>
      </c>
    </row>
    <row r="1721" spans="1:18" s="14" customFormat="1" x14ac:dyDescent="0.25">
      <c r="A1721" s="14" t="str">
        <f>"18130"</f>
        <v>18130</v>
      </c>
      <c r="B1721" s="14" t="str">
        <f>"05150"</f>
        <v>05150</v>
      </c>
      <c r="C1721" s="14" t="str">
        <f>"1400"</f>
        <v>1400</v>
      </c>
      <c r="D1721" s="14" t="str">
        <f>"18130"</f>
        <v>18130</v>
      </c>
      <c r="E1721" s="14" t="s">
        <v>695</v>
      </c>
      <c r="F1721" s="14" t="s">
        <v>402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404</v>
      </c>
      <c r="L1721" s="14" t="s">
        <v>696</v>
      </c>
      <c r="P1721" s="14" t="s">
        <v>39</v>
      </c>
      <c r="Q1721" s="14" t="s">
        <v>25</v>
      </c>
      <c r="R1721" s="14" t="s">
        <v>403</v>
      </c>
    </row>
    <row r="1722" spans="1:18" s="14" customFormat="1" x14ac:dyDescent="0.25">
      <c r="A1722" s="14" t="str">
        <f>"18603"</f>
        <v>18603</v>
      </c>
      <c r="B1722" s="14" t="str">
        <f>"01000"</f>
        <v>01000</v>
      </c>
      <c r="C1722" s="14" t="str">
        <f>"1800"</f>
        <v>1800</v>
      </c>
      <c r="D1722" s="14" t="str">
        <f>"18603"</f>
        <v>18603</v>
      </c>
      <c r="E1722" s="14" t="s">
        <v>738</v>
      </c>
      <c r="F1722" s="14" t="s">
        <v>44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37</v>
      </c>
      <c r="L1722" s="14" t="s">
        <v>34</v>
      </c>
      <c r="P1722" s="14" t="s">
        <v>39</v>
      </c>
      <c r="Q1722" s="14" t="s">
        <v>25</v>
      </c>
      <c r="R1722" s="14" t="s">
        <v>38</v>
      </c>
    </row>
    <row r="1723" spans="1:18" s="14" customFormat="1" x14ac:dyDescent="0.25">
      <c r="A1723" s="14" t="str">
        <f>"18609"</f>
        <v>18609</v>
      </c>
      <c r="B1723" s="14" t="str">
        <f>"05150"</f>
        <v>05150</v>
      </c>
      <c r="C1723" s="14" t="str">
        <f>"1800"</f>
        <v>1800</v>
      </c>
      <c r="D1723" s="14" t="str">
        <f>""</f>
        <v/>
      </c>
      <c r="E1723" s="14" t="s">
        <v>742</v>
      </c>
      <c r="F1723" s="14" t="s">
        <v>402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404</v>
      </c>
      <c r="L1723" s="14" t="s">
        <v>405</v>
      </c>
      <c r="P1723" s="14" t="s">
        <v>39</v>
      </c>
      <c r="Q1723" s="14" t="s">
        <v>25</v>
      </c>
      <c r="R1723" s="14" t="s">
        <v>403</v>
      </c>
    </row>
    <row r="1724" spans="1:18" s="14" customFormat="1" x14ac:dyDescent="0.25">
      <c r="A1724" s="14" t="str">
        <f>"19052"</f>
        <v>19052</v>
      </c>
      <c r="B1724" s="14" t="str">
        <f>"01000"</f>
        <v>01000</v>
      </c>
      <c r="C1724" s="14" t="str">
        <f>"1200"</f>
        <v>1200</v>
      </c>
      <c r="D1724" s="14" t="str">
        <f>""</f>
        <v/>
      </c>
      <c r="E1724" s="14" t="s">
        <v>749</v>
      </c>
      <c r="F1724" s="14" t="s">
        <v>44</v>
      </c>
      <c r="G1724" s="14" t="str">
        <f>"GR0019052"</f>
        <v>GR0019052</v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37</v>
      </c>
      <c r="L1724" s="14" t="s">
        <v>34</v>
      </c>
      <c r="O1724" s="14" t="s">
        <v>38</v>
      </c>
      <c r="P1724" s="14" t="s">
        <v>39</v>
      </c>
      <c r="Q1724" s="14" t="s">
        <v>39</v>
      </c>
      <c r="R1724" s="14" t="s">
        <v>38</v>
      </c>
    </row>
    <row r="1725" spans="1:18" s="14" customFormat="1" x14ac:dyDescent="0.25">
      <c r="A1725" s="14" t="str">
        <f>"19184"</f>
        <v>19184</v>
      </c>
      <c r="B1725" s="14" t="str">
        <f>"01320"</f>
        <v>01320</v>
      </c>
      <c r="C1725" s="14" t="str">
        <f>"1200"</f>
        <v>1200</v>
      </c>
      <c r="D1725" s="14" t="str">
        <f>"19184"</f>
        <v>19184</v>
      </c>
      <c r="E1725" s="14" t="s">
        <v>756</v>
      </c>
      <c r="F1725" s="14" t="s">
        <v>103</v>
      </c>
      <c r="G1725" s="14" t="str">
        <f>"GR0019184"</f>
        <v>GR0019184</v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48</v>
      </c>
      <c r="L1725" s="14" t="s">
        <v>97</v>
      </c>
      <c r="M1725" s="14" t="s">
        <v>98</v>
      </c>
      <c r="O1725" s="14" t="s">
        <v>757</v>
      </c>
      <c r="P1725" s="14" t="s">
        <v>39</v>
      </c>
      <c r="Q1725" s="14" t="s">
        <v>39</v>
      </c>
      <c r="R1725" s="14" t="s">
        <v>49</v>
      </c>
    </row>
    <row r="1726" spans="1:18" s="14" customFormat="1" x14ac:dyDescent="0.25">
      <c r="A1726" s="14" t="str">
        <f>"19200"</f>
        <v>19200</v>
      </c>
      <c r="B1726" s="14" t="str">
        <f>"01670"</f>
        <v>01670</v>
      </c>
      <c r="C1726" s="14" t="str">
        <f>"1300"</f>
        <v>1300</v>
      </c>
      <c r="D1726" s="14" t="str">
        <f>"19200"</f>
        <v>19200</v>
      </c>
      <c r="E1726" s="14" t="s">
        <v>758</v>
      </c>
      <c r="F1726" s="14" t="s">
        <v>151</v>
      </c>
      <c r="G1726" s="14" t="str">
        <f>"GR0019200"</f>
        <v>GR0019200</v>
      </c>
      <c r="H1726" s="14" t="str">
        <f>" 10"</f>
        <v xml:space="preserve"> 10</v>
      </c>
      <c r="I1726" s="14">
        <v>0.01</v>
      </c>
      <c r="J1726" s="14">
        <v>500</v>
      </c>
      <c r="K1726" s="14" t="s">
        <v>146</v>
      </c>
      <c r="L1726" s="14" t="s">
        <v>147</v>
      </c>
      <c r="O1726" s="14" t="s">
        <v>759</v>
      </c>
      <c r="P1726" s="14" t="s">
        <v>39</v>
      </c>
      <c r="Q1726" s="14" t="s">
        <v>39</v>
      </c>
      <c r="R1726" s="14" t="s">
        <v>146</v>
      </c>
    </row>
    <row r="1727" spans="1:18" s="14" customFormat="1" x14ac:dyDescent="0.25">
      <c r="A1727" s="14" t="str">
        <f>"19200"</f>
        <v>19200</v>
      </c>
      <c r="B1727" s="14" t="str">
        <f>"01670"</f>
        <v>01670</v>
      </c>
      <c r="C1727" s="14" t="str">
        <f>"1300"</f>
        <v>1300</v>
      </c>
      <c r="D1727" s="14" t="str">
        <f>"19200"</f>
        <v>19200</v>
      </c>
      <c r="E1727" s="14" t="s">
        <v>758</v>
      </c>
      <c r="F1727" s="14" t="s">
        <v>151</v>
      </c>
      <c r="G1727" s="14" t="str">
        <f>"GR0019200"</f>
        <v>GR0019200</v>
      </c>
      <c r="H1727" s="14" t="str">
        <f>" 20"</f>
        <v xml:space="preserve"> 20</v>
      </c>
      <c r="I1727" s="14">
        <v>500.01</v>
      </c>
      <c r="J1727" s="14">
        <v>9999999.9900000002</v>
      </c>
      <c r="K1727" s="14" t="s">
        <v>147</v>
      </c>
      <c r="L1727" s="14" t="s">
        <v>148</v>
      </c>
      <c r="O1727" s="14" t="s">
        <v>759</v>
      </c>
      <c r="P1727" s="14" t="s">
        <v>39</v>
      </c>
      <c r="Q1727" s="14" t="s">
        <v>39</v>
      </c>
      <c r="R1727" s="14" t="s">
        <v>146</v>
      </c>
    </row>
    <row r="1728" spans="1:18" s="14" customFormat="1" x14ac:dyDescent="0.25">
      <c r="A1728" s="14" t="str">
        <f>"19265"</f>
        <v>19265</v>
      </c>
      <c r="B1728" s="14" t="str">
        <f>"01710"</f>
        <v>01710</v>
      </c>
      <c r="C1728" s="14" t="str">
        <f>"1300"</f>
        <v>1300</v>
      </c>
      <c r="D1728" s="14" t="str">
        <f>"19265"</f>
        <v>19265</v>
      </c>
      <c r="E1728" s="14" t="s">
        <v>776</v>
      </c>
      <c r="F1728" s="14" t="s">
        <v>161</v>
      </c>
      <c r="G1728" s="14" t="str">
        <f>"GR0019265"</f>
        <v>GR0019265</v>
      </c>
      <c r="H1728" s="14" t="str">
        <f>" 10"</f>
        <v xml:space="preserve"> 10</v>
      </c>
      <c r="I1728" s="14">
        <v>0.01</v>
      </c>
      <c r="J1728" s="14">
        <v>500</v>
      </c>
      <c r="K1728" s="14" t="s">
        <v>146</v>
      </c>
      <c r="L1728" s="14" t="s">
        <v>162</v>
      </c>
      <c r="O1728" s="14" t="s">
        <v>777</v>
      </c>
      <c r="P1728" s="14" t="s">
        <v>39</v>
      </c>
      <c r="Q1728" s="14" t="s">
        <v>39</v>
      </c>
      <c r="R1728" s="14" t="s">
        <v>146</v>
      </c>
    </row>
    <row r="1729" spans="1:18" s="14" customFormat="1" x14ac:dyDescent="0.25">
      <c r="A1729" s="14" t="str">
        <f>"19265"</f>
        <v>19265</v>
      </c>
      <c r="B1729" s="14" t="str">
        <f>"01710"</f>
        <v>01710</v>
      </c>
      <c r="C1729" s="14" t="str">
        <f>"1300"</f>
        <v>1300</v>
      </c>
      <c r="D1729" s="14" t="str">
        <f>"19265"</f>
        <v>19265</v>
      </c>
      <c r="E1729" s="14" t="s">
        <v>776</v>
      </c>
      <c r="F1729" s="14" t="s">
        <v>161</v>
      </c>
      <c r="G1729" s="14" t="str">
        <f>"GR0019265"</f>
        <v>GR0019265</v>
      </c>
      <c r="H1729" s="14" t="str">
        <f>" 20"</f>
        <v xml:space="preserve"> 20</v>
      </c>
      <c r="I1729" s="14">
        <v>500.01</v>
      </c>
      <c r="J1729" s="14">
        <v>9999999.9900000002</v>
      </c>
      <c r="K1729" s="14" t="s">
        <v>162</v>
      </c>
      <c r="L1729" s="14" t="s">
        <v>147</v>
      </c>
      <c r="M1729" s="14" t="s">
        <v>154</v>
      </c>
      <c r="O1729" s="14" t="s">
        <v>777</v>
      </c>
      <c r="P1729" s="14" t="s">
        <v>39</v>
      </c>
      <c r="Q1729" s="14" t="s">
        <v>39</v>
      </c>
      <c r="R1729" s="14" t="s">
        <v>146</v>
      </c>
    </row>
    <row r="1730" spans="1:18" s="14" customFormat="1" x14ac:dyDescent="0.25">
      <c r="A1730" s="14" t="str">
        <f>"19270"</f>
        <v>19270</v>
      </c>
      <c r="B1730" s="14" t="str">
        <f>"01760"</f>
        <v>01760</v>
      </c>
      <c r="C1730" s="14" t="str">
        <f>"1300"</f>
        <v>1300</v>
      </c>
      <c r="D1730" s="14" t="str">
        <f>"19270"</f>
        <v>19270</v>
      </c>
      <c r="E1730" s="14" t="s">
        <v>780</v>
      </c>
      <c r="F1730" s="14" t="s">
        <v>168</v>
      </c>
      <c r="G1730" s="14" t="str">
        <f>"GR0019270"</f>
        <v>GR0019270</v>
      </c>
      <c r="H1730" s="14" t="str">
        <f>" 10"</f>
        <v xml:space="preserve"> 10</v>
      </c>
      <c r="I1730" s="14">
        <v>0.01</v>
      </c>
      <c r="J1730" s="14">
        <v>500</v>
      </c>
      <c r="K1730" s="14" t="s">
        <v>146</v>
      </c>
      <c r="L1730" s="14" t="s">
        <v>169</v>
      </c>
      <c r="O1730" s="14" t="s">
        <v>781</v>
      </c>
      <c r="P1730" s="14" t="s">
        <v>39</v>
      </c>
      <c r="Q1730" s="14" t="s">
        <v>39</v>
      </c>
      <c r="R1730" s="14" t="s">
        <v>146</v>
      </c>
    </row>
    <row r="1731" spans="1:18" s="14" customFormat="1" x14ac:dyDescent="0.25">
      <c r="A1731" s="14" t="str">
        <f>"19270"</f>
        <v>19270</v>
      </c>
      <c r="B1731" s="14" t="str">
        <f>"01760"</f>
        <v>01760</v>
      </c>
      <c r="C1731" s="14" t="str">
        <f>"1300"</f>
        <v>1300</v>
      </c>
      <c r="D1731" s="14" t="str">
        <f>"19270"</f>
        <v>19270</v>
      </c>
      <c r="E1731" s="14" t="s">
        <v>780</v>
      </c>
      <c r="F1731" s="14" t="s">
        <v>168</v>
      </c>
      <c r="G1731" s="14" t="str">
        <f>"GR0019270"</f>
        <v>GR0019270</v>
      </c>
      <c r="H1731" s="14" t="str">
        <f>" 20"</f>
        <v xml:space="preserve"> 20</v>
      </c>
      <c r="I1731" s="14">
        <v>500.01</v>
      </c>
      <c r="J1731" s="14">
        <v>9999999.9900000002</v>
      </c>
      <c r="K1731" s="14" t="s">
        <v>169</v>
      </c>
      <c r="L1731" s="14" t="s">
        <v>147</v>
      </c>
      <c r="M1731" s="14" t="s">
        <v>154</v>
      </c>
      <c r="O1731" s="14" t="s">
        <v>781</v>
      </c>
      <c r="P1731" s="14" t="s">
        <v>39</v>
      </c>
      <c r="Q1731" s="14" t="s">
        <v>39</v>
      </c>
      <c r="R1731" s="14" t="s">
        <v>146</v>
      </c>
    </row>
    <row r="1732" spans="1:18" s="14" customFormat="1" x14ac:dyDescent="0.25">
      <c r="A1732" s="14" t="str">
        <f>"19293"</f>
        <v>19293</v>
      </c>
      <c r="B1732" s="14" t="str">
        <f>"01670"</f>
        <v>01670</v>
      </c>
      <c r="C1732" s="14" t="str">
        <f>"1300"</f>
        <v>1300</v>
      </c>
      <c r="D1732" s="14" t="str">
        <f>"19293"</f>
        <v>19293</v>
      </c>
      <c r="E1732" s="14" t="s">
        <v>815</v>
      </c>
      <c r="F1732" s="14" t="s">
        <v>151</v>
      </c>
      <c r="G1732" s="14" t="str">
        <f>"GR0019293"</f>
        <v>GR0019293</v>
      </c>
      <c r="H1732" s="14" t="str">
        <f>" 10"</f>
        <v xml:space="preserve"> 10</v>
      </c>
      <c r="I1732" s="14">
        <v>0.01</v>
      </c>
      <c r="J1732" s="14">
        <v>500</v>
      </c>
      <c r="K1732" s="14" t="s">
        <v>146</v>
      </c>
      <c r="L1732" s="14" t="s">
        <v>147</v>
      </c>
      <c r="O1732" s="14" t="s">
        <v>816</v>
      </c>
      <c r="P1732" s="14" t="s">
        <v>39</v>
      </c>
      <c r="Q1732" s="14" t="s">
        <v>39</v>
      </c>
      <c r="R1732" s="14" t="s">
        <v>146</v>
      </c>
    </row>
    <row r="1733" spans="1:18" s="14" customFormat="1" x14ac:dyDescent="0.25">
      <c r="A1733" s="14" t="str">
        <f>"19293"</f>
        <v>19293</v>
      </c>
      <c r="B1733" s="14" t="str">
        <f>"01670"</f>
        <v>01670</v>
      </c>
      <c r="C1733" s="14" t="str">
        <f>"1300"</f>
        <v>1300</v>
      </c>
      <c r="D1733" s="14" t="str">
        <f>"19293"</f>
        <v>19293</v>
      </c>
      <c r="E1733" s="14" t="s">
        <v>815</v>
      </c>
      <c r="F1733" s="14" t="s">
        <v>151</v>
      </c>
      <c r="G1733" s="14" t="str">
        <f>"GR0019293"</f>
        <v>GR0019293</v>
      </c>
      <c r="H1733" s="14" t="str">
        <f>" 20"</f>
        <v xml:space="preserve"> 20</v>
      </c>
      <c r="I1733" s="14">
        <v>500.01</v>
      </c>
      <c r="J1733" s="14">
        <v>9999999.9900000002</v>
      </c>
      <c r="K1733" s="14" t="s">
        <v>147</v>
      </c>
      <c r="L1733" s="14" t="s">
        <v>148</v>
      </c>
      <c r="O1733" s="14" t="s">
        <v>816</v>
      </c>
      <c r="P1733" s="14" t="s">
        <v>39</v>
      </c>
      <c r="Q1733" s="14" t="s">
        <v>39</v>
      </c>
      <c r="R1733" s="14" t="s">
        <v>146</v>
      </c>
    </row>
    <row r="1734" spans="1:18" s="14" customFormat="1" x14ac:dyDescent="0.25">
      <c r="A1734" s="14" t="str">
        <f>"19294"</f>
        <v>19294</v>
      </c>
      <c r="B1734" s="14" t="str">
        <f>"01765"</f>
        <v>01765</v>
      </c>
      <c r="C1734" s="14" t="str">
        <f>"1300"</f>
        <v>1300</v>
      </c>
      <c r="D1734" s="14" t="str">
        <f>"19294"</f>
        <v>19294</v>
      </c>
      <c r="E1734" s="14" t="s">
        <v>817</v>
      </c>
      <c r="F1734" s="14" t="s">
        <v>170</v>
      </c>
      <c r="G1734" s="14" t="str">
        <f>"GR0019294"</f>
        <v>GR0019294</v>
      </c>
      <c r="H1734" s="14" t="str">
        <f>" 10"</f>
        <v xml:space="preserve"> 10</v>
      </c>
      <c r="I1734" s="14">
        <v>0.01</v>
      </c>
      <c r="J1734" s="14">
        <v>500</v>
      </c>
      <c r="K1734" s="14" t="s">
        <v>146</v>
      </c>
      <c r="L1734" s="14" t="s">
        <v>147</v>
      </c>
      <c r="O1734" s="14" t="s">
        <v>818</v>
      </c>
      <c r="P1734" s="14" t="s">
        <v>39</v>
      </c>
      <c r="Q1734" s="14" t="s">
        <v>39</v>
      </c>
      <c r="R1734" s="14" t="s">
        <v>146</v>
      </c>
    </row>
    <row r="1735" spans="1:18" s="14" customFormat="1" x14ac:dyDescent="0.25">
      <c r="A1735" s="14" t="str">
        <f>"19294"</f>
        <v>19294</v>
      </c>
      <c r="B1735" s="14" t="str">
        <f>"01765"</f>
        <v>01765</v>
      </c>
      <c r="C1735" s="14" t="str">
        <f>"1300"</f>
        <v>1300</v>
      </c>
      <c r="D1735" s="14" t="str">
        <f>"19294"</f>
        <v>19294</v>
      </c>
      <c r="E1735" s="14" t="s">
        <v>817</v>
      </c>
      <c r="F1735" s="14" t="s">
        <v>170</v>
      </c>
      <c r="G1735" s="14" t="str">
        <f>"GR0019294"</f>
        <v>GR0019294</v>
      </c>
      <c r="H1735" s="14" t="str">
        <f>" 20"</f>
        <v xml:space="preserve"> 20</v>
      </c>
      <c r="I1735" s="14">
        <v>500.01</v>
      </c>
      <c r="J1735" s="14">
        <v>9999999.9900000002</v>
      </c>
      <c r="K1735" s="14" t="s">
        <v>147</v>
      </c>
      <c r="L1735" s="14" t="s">
        <v>171</v>
      </c>
      <c r="O1735" s="14" t="s">
        <v>818</v>
      </c>
      <c r="P1735" s="14" t="s">
        <v>39</v>
      </c>
      <c r="Q1735" s="14" t="s">
        <v>39</v>
      </c>
      <c r="R1735" s="14" t="s">
        <v>146</v>
      </c>
    </row>
    <row r="1736" spans="1:18" s="14" customFormat="1" x14ac:dyDescent="0.25">
      <c r="A1736" s="14" t="str">
        <f>"19295"</f>
        <v>19295</v>
      </c>
      <c r="B1736" s="14" t="str">
        <f>"01320"</f>
        <v>01320</v>
      </c>
      <c r="C1736" s="14" t="str">
        <f>"1200"</f>
        <v>1200</v>
      </c>
      <c r="D1736" s="14" t="str">
        <f>"19295"</f>
        <v>19295</v>
      </c>
      <c r="E1736" s="14" t="s">
        <v>819</v>
      </c>
      <c r="F1736" s="14" t="s">
        <v>103</v>
      </c>
      <c r="G1736" s="14" t="str">
        <f>"GR0019295"</f>
        <v>GR0019295</v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48</v>
      </c>
      <c r="L1736" s="14" t="s">
        <v>97</v>
      </c>
      <c r="M1736" s="14" t="s">
        <v>98</v>
      </c>
      <c r="O1736" s="14" t="s">
        <v>820</v>
      </c>
      <c r="P1736" s="14" t="s">
        <v>39</v>
      </c>
      <c r="Q1736" s="14" t="s">
        <v>39</v>
      </c>
      <c r="R1736" s="14" t="s">
        <v>49</v>
      </c>
    </row>
    <row r="1737" spans="1:18" s="14" customFormat="1" x14ac:dyDescent="0.25">
      <c r="A1737" s="14" t="str">
        <f>"30003"</f>
        <v>30003</v>
      </c>
      <c r="B1737" s="14" t="str">
        <f>"06000"</f>
        <v>06000</v>
      </c>
      <c r="C1737" s="14" t="str">
        <f>"1700"</f>
        <v>1700</v>
      </c>
      <c r="D1737" s="14" t="str">
        <f>""</f>
        <v/>
      </c>
      <c r="E1737" s="14" t="s">
        <v>946</v>
      </c>
      <c r="F1737" s="14" t="s">
        <v>409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414</v>
      </c>
      <c r="L1737" s="14" t="s">
        <v>411</v>
      </c>
      <c r="M1737" s="14" t="s">
        <v>412</v>
      </c>
      <c r="P1737" s="14" t="s">
        <v>39</v>
      </c>
      <c r="Q1737" s="14" t="s">
        <v>25</v>
      </c>
      <c r="R1737" s="14" t="s">
        <v>410</v>
      </c>
    </row>
    <row r="1738" spans="1:18" s="14" customFormat="1" x14ac:dyDescent="0.25">
      <c r="A1738" s="14" t="str">
        <f>"30003"</f>
        <v>30003</v>
      </c>
      <c r="B1738" s="14" t="str">
        <f>"06030"</f>
        <v>06030</v>
      </c>
      <c r="C1738" s="14" t="str">
        <f>"1700"</f>
        <v>1700</v>
      </c>
      <c r="D1738" s="14" t="str">
        <f>""</f>
        <v/>
      </c>
      <c r="E1738" s="14" t="s">
        <v>946</v>
      </c>
      <c r="F1738" s="14" t="s">
        <v>420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414</v>
      </c>
      <c r="L1738" s="14" t="s">
        <v>411</v>
      </c>
      <c r="M1738" s="14" t="s">
        <v>412</v>
      </c>
      <c r="P1738" s="14" t="s">
        <v>39</v>
      </c>
      <c r="Q1738" s="14" t="s">
        <v>25</v>
      </c>
      <c r="R1738" s="14" t="s">
        <v>410</v>
      </c>
    </row>
    <row r="1739" spans="1:18" s="14" customFormat="1" x14ac:dyDescent="0.25">
      <c r="A1739" s="14" t="str">
        <f>"30003"</f>
        <v>30003</v>
      </c>
      <c r="B1739" s="14" t="str">
        <f>"06040"</f>
        <v>06040</v>
      </c>
      <c r="C1739" s="14" t="str">
        <f>"1700"</f>
        <v>1700</v>
      </c>
      <c r="D1739" s="14" t="str">
        <f>""</f>
        <v/>
      </c>
      <c r="E1739" s="14" t="s">
        <v>946</v>
      </c>
      <c r="F1739" s="14" t="s">
        <v>421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414</v>
      </c>
      <c r="L1739" s="14" t="s">
        <v>411</v>
      </c>
      <c r="M1739" s="14" t="s">
        <v>412</v>
      </c>
      <c r="P1739" s="14" t="s">
        <v>39</v>
      </c>
      <c r="Q1739" s="14" t="s">
        <v>25</v>
      </c>
      <c r="R1739" s="14" t="s">
        <v>410</v>
      </c>
    </row>
    <row r="1740" spans="1:18" s="14" customFormat="1" x14ac:dyDescent="0.25">
      <c r="A1740" s="14" t="str">
        <f>"30003"</f>
        <v>30003</v>
      </c>
      <c r="B1740" s="14" t="str">
        <f>"06050"</f>
        <v>06050</v>
      </c>
      <c r="C1740" s="14" t="str">
        <f>"1700"</f>
        <v>1700</v>
      </c>
      <c r="D1740" s="14" t="str">
        <f>""</f>
        <v/>
      </c>
      <c r="E1740" s="14" t="s">
        <v>946</v>
      </c>
      <c r="F1740" s="14" t="s">
        <v>422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414</v>
      </c>
      <c r="L1740" s="14" t="s">
        <v>411</v>
      </c>
      <c r="M1740" s="14" t="s">
        <v>412</v>
      </c>
      <c r="P1740" s="14" t="s">
        <v>39</v>
      </c>
      <c r="Q1740" s="14" t="s">
        <v>25</v>
      </c>
      <c r="R1740" s="14" t="s">
        <v>410</v>
      </c>
    </row>
    <row r="1741" spans="1:18" s="14" customFormat="1" x14ac:dyDescent="0.25">
      <c r="A1741" s="14" t="str">
        <f>"30003"</f>
        <v>30003</v>
      </c>
      <c r="B1741" s="14" t="str">
        <f>"06060"</f>
        <v>06060</v>
      </c>
      <c r="C1741" s="14" t="str">
        <f>"1700"</f>
        <v>1700</v>
      </c>
      <c r="D1741" s="14" t="str">
        <f>""</f>
        <v/>
      </c>
      <c r="E1741" s="14" t="s">
        <v>946</v>
      </c>
      <c r="F1741" s="14" t="s">
        <v>423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414</v>
      </c>
      <c r="L1741" s="14" t="s">
        <v>411</v>
      </c>
      <c r="M1741" s="14" t="s">
        <v>412</v>
      </c>
      <c r="P1741" s="14" t="s">
        <v>39</v>
      </c>
      <c r="Q1741" s="14" t="s">
        <v>25</v>
      </c>
      <c r="R1741" s="14" t="s">
        <v>410</v>
      </c>
    </row>
    <row r="1742" spans="1:18" s="14" customFormat="1" x14ac:dyDescent="0.25">
      <c r="A1742" s="14" t="str">
        <f>"30003"</f>
        <v>30003</v>
      </c>
      <c r="B1742" s="14" t="str">
        <f>"06070"</f>
        <v>06070</v>
      </c>
      <c r="C1742" s="14" t="str">
        <f>"1700"</f>
        <v>1700</v>
      </c>
      <c r="D1742" s="14" t="str">
        <f>""</f>
        <v/>
      </c>
      <c r="E1742" s="14" t="s">
        <v>946</v>
      </c>
      <c r="F1742" s="14" t="s">
        <v>424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414</v>
      </c>
      <c r="L1742" s="14" t="s">
        <v>411</v>
      </c>
      <c r="M1742" s="14" t="s">
        <v>412</v>
      </c>
      <c r="P1742" s="14" t="s">
        <v>39</v>
      </c>
      <c r="Q1742" s="14" t="s">
        <v>25</v>
      </c>
      <c r="R1742" s="14" t="s">
        <v>410</v>
      </c>
    </row>
    <row r="1743" spans="1:18" s="14" customFormat="1" x14ac:dyDescent="0.25">
      <c r="A1743" s="14" t="str">
        <f>"30003"</f>
        <v>30003</v>
      </c>
      <c r="B1743" s="14" t="str">
        <f>"06080"</f>
        <v>06080</v>
      </c>
      <c r="C1743" s="14" t="str">
        <f>"1700"</f>
        <v>1700</v>
      </c>
      <c r="D1743" s="14" t="str">
        <f>""</f>
        <v/>
      </c>
      <c r="E1743" s="14" t="s">
        <v>946</v>
      </c>
      <c r="F1743" s="14" t="s">
        <v>425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414</v>
      </c>
      <c r="L1743" s="14" t="s">
        <v>411</v>
      </c>
      <c r="M1743" s="14" t="s">
        <v>412</v>
      </c>
      <c r="P1743" s="14" t="s">
        <v>39</v>
      </c>
      <c r="Q1743" s="14" t="s">
        <v>25</v>
      </c>
      <c r="R1743" s="14" t="s">
        <v>410</v>
      </c>
    </row>
    <row r="1744" spans="1:18" s="14" customFormat="1" x14ac:dyDescent="0.25">
      <c r="A1744" s="14" t="str">
        <f>"30003"</f>
        <v>30003</v>
      </c>
      <c r="B1744" s="14" t="str">
        <f>"06090"</f>
        <v>06090</v>
      </c>
      <c r="C1744" s="14" t="str">
        <f>"1700"</f>
        <v>1700</v>
      </c>
      <c r="D1744" s="14" t="str">
        <f>""</f>
        <v/>
      </c>
      <c r="E1744" s="14" t="s">
        <v>946</v>
      </c>
      <c r="F1744" s="14" t="s">
        <v>426</v>
      </c>
      <c r="G1744" s="14" t="str">
        <f>""</f>
        <v/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414</v>
      </c>
      <c r="L1744" s="14" t="s">
        <v>411</v>
      </c>
      <c r="M1744" s="14" t="s">
        <v>412</v>
      </c>
      <c r="P1744" s="14" t="s">
        <v>39</v>
      </c>
      <c r="Q1744" s="14" t="s">
        <v>25</v>
      </c>
      <c r="R1744" s="14" t="s">
        <v>410</v>
      </c>
    </row>
    <row r="1745" spans="1:18" s="14" customFormat="1" x14ac:dyDescent="0.25">
      <c r="A1745" s="14" t="str">
        <f>"30003"</f>
        <v>30003</v>
      </c>
      <c r="B1745" s="14" t="str">
        <f>"06100"</f>
        <v>06100</v>
      </c>
      <c r="C1745" s="14" t="str">
        <f>"1700"</f>
        <v>1700</v>
      </c>
      <c r="D1745" s="14" t="str">
        <f>""</f>
        <v/>
      </c>
      <c r="E1745" s="14" t="s">
        <v>946</v>
      </c>
      <c r="F1745" s="14" t="s">
        <v>427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414</v>
      </c>
      <c r="L1745" s="14" t="s">
        <v>411</v>
      </c>
      <c r="M1745" s="14" t="s">
        <v>412</v>
      </c>
      <c r="P1745" s="14" t="s">
        <v>39</v>
      </c>
      <c r="Q1745" s="14" t="s">
        <v>25</v>
      </c>
      <c r="R1745" s="14" t="s">
        <v>410</v>
      </c>
    </row>
    <row r="1746" spans="1:18" s="14" customFormat="1" x14ac:dyDescent="0.25">
      <c r="A1746" s="14" t="str">
        <f>"30003"</f>
        <v>30003</v>
      </c>
      <c r="B1746" s="14" t="str">
        <f>"06110"</f>
        <v>06110</v>
      </c>
      <c r="C1746" s="14" t="str">
        <f>"1700"</f>
        <v>1700</v>
      </c>
      <c r="D1746" s="14" t="str">
        <f>""</f>
        <v/>
      </c>
      <c r="E1746" s="14" t="s">
        <v>946</v>
      </c>
      <c r="F1746" s="14" t="s">
        <v>428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414</v>
      </c>
      <c r="L1746" s="14" t="s">
        <v>411</v>
      </c>
      <c r="M1746" s="14" t="s">
        <v>412</v>
      </c>
      <c r="P1746" s="14" t="s">
        <v>39</v>
      </c>
      <c r="Q1746" s="14" t="s">
        <v>25</v>
      </c>
      <c r="R1746" s="14" t="s">
        <v>410</v>
      </c>
    </row>
    <row r="1747" spans="1:18" s="14" customFormat="1" x14ac:dyDescent="0.25">
      <c r="A1747" s="14" t="str">
        <f>"30003"</f>
        <v>30003</v>
      </c>
      <c r="B1747" s="14" t="str">
        <f>"06120"</f>
        <v>06120</v>
      </c>
      <c r="C1747" s="14" t="str">
        <f>"1700"</f>
        <v>1700</v>
      </c>
      <c r="D1747" s="14" t="str">
        <f>""</f>
        <v/>
      </c>
      <c r="E1747" s="14" t="s">
        <v>946</v>
      </c>
      <c r="F1747" s="14" t="s">
        <v>429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414</v>
      </c>
      <c r="L1747" s="14" t="s">
        <v>411</v>
      </c>
      <c r="M1747" s="14" t="s">
        <v>412</v>
      </c>
      <c r="P1747" s="14" t="s">
        <v>39</v>
      </c>
      <c r="Q1747" s="14" t="s">
        <v>25</v>
      </c>
      <c r="R1747" s="14" t="s">
        <v>410</v>
      </c>
    </row>
    <row r="1748" spans="1:18" s="14" customFormat="1" x14ac:dyDescent="0.25">
      <c r="A1748" s="14" t="str">
        <f>"30003"</f>
        <v>30003</v>
      </c>
      <c r="B1748" s="14" t="str">
        <f>"06130"</f>
        <v>06130</v>
      </c>
      <c r="C1748" s="14" t="str">
        <f>"1700"</f>
        <v>1700</v>
      </c>
      <c r="D1748" s="14" t="str">
        <f>""</f>
        <v/>
      </c>
      <c r="E1748" s="14" t="s">
        <v>946</v>
      </c>
      <c r="F1748" s="14" t="s">
        <v>430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414</v>
      </c>
      <c r="L1748" s="14" t="s">
        <v>411</v>
      </c>
      <c r="M1748" s="14" t="s">
        <v>412</v>
      </c>
      <c r="P1748" s="14" t="s">
        <v>39</v>
      </c>
      <c r="Q1748" s="14" t="s">
        <v>25</v>
      </c>
      <c r="R1748" s="14" t="s">
        <v>410</v>
      </c>
    </row>
    <row r="1749" spans="1:18" s="14" customFormat="1" x14ac:dyDescent="0.25">
      <c r="A1749" s="14" t="str">
        <f>"30003"</f>
        <v>30003</v>
      </c>
      <c r="B1749" s="14" t="str">
        <f>"06140"</f>
        <v>06140</v>
      </c>
      <c r="C1749" s="14" t="str">
        <f>"1700"</f>
        <v>1700</v>
      </c>
      <c r="D1749" s="14" t="str">
        <f>""</f>
        <v/>
      </c>
      <c r="E1749" s="14" t="s">
        <v>946</v>
      </c>
      <c r="F1749" s="14" t="s">
        <v>431</v>
      </c>
      <c r="G1749" s="14" t="str">
        <f>""</f>
        <v/>
      </c>
      <c r="H1749" s="14" t="str">
        <f>" 00"</f>
        <v xml:space="preserve"> 00</v>
      </c>
      <c r="I1749" s="14">
        <v>0.01</v>
      </c>
      <c r="J1749" s="14">
        <v>9999999.9900000002</v>
      </c>
      <c r="K1749" s="14" t="s">
        <v>414</v>
      </c>
      <c r="L1749" s="14" t="s">
        <v>411</v>
      </c>
      <c r="M1749" s="14" t="s">
        <v>412</v>
      </c>
      <c r="P1749" s="14" t="s">
        <v>39</v>
      </c>
      <c r="Q1749" s="14" t="s">
        <v>25</v>
      </c>
      <c r="R1749" s="14" t="s">
        <v>410</v>
      </c>
    </row>
    <row r="1750" spans="1:18" s="14" customFormat="1" x14ac:dyDescent="0.25">
      <c r="A1750" s="14" t="str">
        <f>"30003"</f>
        <v>30003</v>
      </c>
      <c r="B1750" s="14" t="str">
        <f>"06150"</f>
        <v>06150</v>
      </c>
      <c r="C1750" s="14" t="str">
        <f>"1700"</f>
        <v>1700</v>
      </c>
      <c r="D1750" s="14" t="str">
        <f>""</f>
        <v/>
      </c>
      <c r="E1750" s="14" t="s">
        <v>946</v>
      </c>
      <c r="F1750" s="14" t="s">
        <v>432</v>
      </c>
      <c r="G1750" s="14" t="str">
        <f>""</f>
        <v/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414</v>
      </c>
      <c r="L1750" s="14" t="s">
        <v>411</v>
      </c>
      <c r="M1750" s="14" t="s">
        <v>412</v>
      </c>
      <c r="P1750" s="14" t="s">
        <v>39</v>
      </c>
      <c r="Q1750" s="14" t="s">
        <v>25</v>
      </c>
      <c r="R1750" s="14" t="s">
        <v>410</v>
      </c>
    </row>
    <row r="1751" spans="1:18" s="14" customFormat="1" x14ac:dyDescent="0.25">
      <c r="A1751" s="14" t="str">
        <f>"30005"</f>
        <v>30005</v>
      </c>
      <c r="B1751" s="14" t="str">
        <f>"06000"</f>
        <v>06000</v>
      </c>
      <c r="C1751" s="14" t="str">
        <f>"1700"</f>
        <v>1700</v>
      </c>
      <c r="D1751" s="14" t="str">
        <f>"06000B"</f>
        <v>06000B</v>
      </c>
      <c r="E1751" s="14" t="s">
        <v>947</v>
      </c>
      <c r="F1751" s="14" t="s">
        <v>409</v>
      </c>
      <c r="G1751" s="14" t="str">
        <f>""</f>
        <v/>
      </c>
      <c r="H1751" s="14" t="str">
        <f>" 10"</f>
        <v xml:space="preserve"> 10</v>
      </c>
      <c r="I1751" s="14">
        <v>0.01</v>
      </c>
      <c r="J1751" s="14">
        <v>500</v>
      </c>
      <c r="K1751" s="14" t="s">
        <v>410</v>
      </c>
      <c r="L1751" s="14" t="s">
        <v>411</v>
      </c>
      <c r="M1751" s="14" t="s">
        <v>412</v>
      </c>
      <c r="N1751" s="14" t="s">
        <v>413</v>
      </c>
      <c r="P1751" s="14" t="s">
        <v>39</v>
      </c>
      <c r="Q1751" s="14" t="s">
        <v>25</v>
      </c>
      <c r="R1751" s="14" t="s">
        <v>410</v>
      </c>
    </row>
    <row r="1752" spans="1:18" s="14" customFormat="1" x14ac:dyDescent="0.25">
      <c r="A1752" s="14" t="str">
        <f>"30005"</f>
        <v>30005</v>
      </c>
      <c r="B1752" s="14" t="str">
        <f>"06000"</f>
        <v>06000</v>
      </c>
      <c r="C1752" s="14" t="str">
        <f>"1700"</f>
        <v>1700</v>
      </c>
      <c r="D1752" s="14" t="str">
        <f>"06000B"</f>
        <v>06000B</v>
      </c>
      <c r="E1752" s="14" t="s">
        <v>947</v>
      </c>
      <c r="F1752" s="14" t="s">
        <v>409</v>
      </c>
      <c r="G1752" s="14" t="str">
        <f>""</f>
        <v/>
      </c>
      <c r="H1752" s="14" t="str">
        <f>" 20"</f>
        <v xml:space="preserve"> 20</v>
      </c>
      <c r="I1752" s="14">
        <v>500.01</v>
      </c>
      <c r="J1752" s="14">
        <v>9999999.9900000002</v>
      </c>
      <c r="K1752" s="14" t="s">
        <v>414</v>
      </c>
      <c r="L1752" s="14" t="s">
        <v>411</v>
      </c>
      <c r="M1752" s="14" t="s">
        <v>412</v>
      </c>
      <c r="P1752" s="14" t="s">
        <v>39</v>
      </c>
      <c r="Q1752" s="14" t="s">
        <v>25</v>
      </c>
      <c r="R1752" s="14" t="s">
        <v>410</v>
      </c>
    </row>
    <row r="1753" spans="1:18" s="14" customFormat="1" x14ac:dyDescent="0.25">
      <c r="A1753" s="14" t="str">
        <f>"30005"</f>
        <v>30005</v>
      </c>
      <c r="B1753" s="14" t="str">
        <f>"06010"</f>
        <v>06010</v>
      </c>
      <c r="C1753" s="14" t="str">
        <f>"1700"</f>
        <v>1700</v>
      </c>
      <c r="D1753" s="14" t="str">
        <f>"06010A"</f>
        <v>06010A</v>
      </c>
      <c r="E1753" s="14" t="s">
        <v>947</v>
      </c>
      <c r="F1753" s="14" t="s">
        <v>416</v>
      </c>
      <c r="G1753" s="14" t="str">
        <f>""</f>
        <v/>
      </c>
      <c r="H1753" s="14" t="str">
        <f>" 10"</f>
        <v xml:space="preserve"> 10</v>
      </c>
      <c r="I1753" s="14">
        <v>0.01</v>
      </c>
      <c r="J1753" s="14">
        <v>500</v>
      </c>
      <c r="K1753" s="14" t="s">
        <v>410</v>
      </c>
      <c r="L1753" s="14" t="s">
        <v>411</v>
      </c>
      <c r="M1753" s="14" t="s">
        <v>412</v>
      </c>
      <c r="N1753" s="14" t="s">
        <v>413</v>
      </c>
      <c r="P1753" s="14" t="s">
        <v>39</v>
      </c>
      <c r="Q1753" s="14" t="s">
        <v>25</v>
      </c>
      <c r="R1753" s="14" t="s">
        <v>410</v>
      </c>
    </row>
    <row r="1754" spans="1:18" s="14" customFormat="1" x14ac:dyDescent="0.25">
      <c r="A1754" s="14" t="str">
        <f>"30005"</f>
        <v>30005</v>
      </c>
      <c r="B1754" s="14" t="str">
        <f>"06010"</f>
        <v>06010</v>
      </c>
      <c r="C1754" s="14" t="str">
        <f>"1700"</f>
        <v>1700</v>
      </c>
      <c r="D1754" s="14" t="str">
        <f>"06010A"</f>
        <v>06010A</v>
      </c>
      <c r="E1754" s="14" t="s">
        <v>947</v>
      </c>
      <c r="F1754" s="14" t="s">
        <v>416</v>
      </c>
      <c r="G1754" s="14" t="str">
        <f>""</f>
        <v/>
      </c>
      <c r="H1754" s="14" t="str">
        <f>" 20"</f>
        <v xml:space="preserve"> 20</v>
      </c>
      <c r="I1754" s="14">
        <v>500.01</v>
      </c>
      <c r="J1754" s="14">
        <v>9999999.9900000002</v>
      </c>
      <c r="K1754" s="14" t="s">
        <v>414</v>
      </c>
      <c r="L1754" s="14" t="s">
        <v>411</v>
      </c>
      <c r="M1754" s="14" t="s">
        <v>412</v>
      </c>
      <c r="P1754" s="14" t="s">
        <v>39</v>
      </c>
      <c r="Q1754" s="14" t="s">
        <v>25</v>
      </c>
      <c r="R1754" s="14" t="s">
        <v>410</v>
      </c>
    </row>
    <row r="1755" spans="1:18" s="14" customFormat="1" x14ac:dyDescent="0.25">
      <c r="A1755" s="14" t="str">
        <f>"30005"</f>
        <v>30005</v>
      </c>
      <c r="B1755" s="14" t="str">
        <f>"06030"</f>
        <v>06030</v>
      </c>
      <c r="C1755" s="14" t="str">
        <f>"1700"</f>
        <v>1700</v>
      </c>
      <c r="D1755" s="14" t="str">
        <f>"06030A"</f>
        <v>06030A</v>
      </c>
      <c r="E1755" s="14" t="s">
        <v>947</v>
      </c>
      <c r="F1755" s="14" t="s">
        <v>420</v>
      </c>
      <c r="G1755" s="14" t="str">
        <f>""</f>
        <v/>
      </c>
      <c r="H1755" s="14" t="str">
        <f>" 10"</f>
        <v xml:space="preserve"> 10</v>
      </c>
      <c r="I1755" s="14">
        <v>0.01</v>
      </c>
      <c r="J1755" s="14">
        <v>500</v>
      </c>
      <c r="K1755" s="14" t="s">
        <v>410</v>
      </c>
      <c r="L1755" s="14" t="s">
        <v>411</v>
      </c>
      <c r="M1755" s="14" t="s">
        <v>412</v>
      </c>
      <c r="N1755" s="14" t="s">
        <v>413</v>
      </c>
      <c r="P1755" s="14" t="s">
        <v>39</v>
      </c>
      <c r="Q1755" s="14" t="s">
        <v>25</v>
      </c>
      <c r="R1755" s="14" t="s">
        <v>410</v>
      </c>
    </row>
    <row r="1756" spans="1:18" s="14" customFormat="1" x14ac:dyDescent="0.25">
      <c r="A1756" s="14" t="str">
        <f>"30005"</f>
        <v>30005</v>
      </c>
      <c r="B1756" s="14" t="str">
        <f>"06030"</f>
        <v>06030</v>
      </c>
      <c r="C1756" s="14" t="str">
        <f>"1700"</f>
        <v>1700</v>
      </c>
      <c r="D1756" s="14" t="str">
        <f>"06030A"</f>
        <v>06030A</v>
      </c>
      <c r="E1756" s="14" t="s">
        <v>947</v>
      </c>
      <c r="F1756" s="14" t="s">
        <v>420</v>
      </c>
      <c r="G1756" s="14" t="str">
        <f>""</f>
        <v/>
      </c>
      <c r="H1756" s="14" t="str">
        <f>" 20"</f>
        <v xml:space="preserve"> 20</v>
      </c>
      <c r="I1756" s="14">
        <v>500.01</v>
      </c>
      <c r="J1756" s="14">
        <v>9999999.9900000002</v>
      </c>
      <c r="K1756" s="14" t="s">
        <v>414</v>
      </c>
      <c r="L1756" s="14" t="s">
        <v>411</v>
      </c>
      <c r="M1756" s="14" t="s">
        <v>412</v>
      </c>
      <c r="P1756" s="14" t="s">
        <v>39</v>
      </c>
      <c r="Q1756" s="14" t="s">
        <v>25</v>
      </c>
      <c r="R1756" s="14" t="s">
        <v>410</v>
      </c>
    </row>
    <row r="1757" spans="1:18" s="14" customFormat="1" x14ac:dyDescent="0.25">
      <c r="A1757" s="14" t="str">
        <f>"30005"</f>
        <v>30005</v>
      </c>
      <c r="B1757" s="14" t="str">
        <f>"06040"</f>
        <v>06040</v>
      </c>
      <c r="C1757" s="14" t="str">
        <f>"1700"</f>
        <v>1700</v>
      </c>
      <c r="D1757" s="14" t="str">
        <f>"06040A"</f>
        <v>06040A</v>
      </c>
      <c r="E1757" s="14" t="s">
        <v>947</v>
      </c>
      <c r="F1757" s="14" t="s">
        <v>421</v>
      </c>
      <c r="G1757" s="14" t="str">
        <f>""</f>
        <v/>
      </c>
      <c r="H1757" s="14" t="str">
        <f>" 10"</f>
        <v xml:space="preserve"> 10</v>
      </c>
      <c r="I1757" s="14">
        <v>0.01</v>
      </c>
      <c r="J1757" s="14">
        <v>500</v>
      </c>
      <c r="K1757" s="14" t="s">
        <v>410</v>
      </c>
      <c r="L1757" s="14" t="s">
        <v>411</v>
      </c>
      <c r="M1757" s="14" t="s">
        <v>412</v>
      </c>
      <c r="N1757" s="14" t="s">
        <v>413</v>
      </c>
      <c r="P1757" s="14" t="s">
        <v>39</v>
      </c>
      <c r="Q1757" s="14" t="s">
        <v>25</v>
      </c>
      <c r="R1757" s="14" t="s">
        <v>410</v>
      </c>
    </row>
    <row r="1758" spans="1:18" s="14" customFormat="1" x14ac:dyDescent="0.25">
      <c r="A1758" s="14" t="str">
        <f>"30005"</f>
        <v>30005</v>
      </c>
      <c r="B1758" s="14" t="str">
        <f>"06040"</f>
        <v>06040</v>
      </c>
      <c r="C1758" s="14" t="str">
        <f>"1700"</f>
        <v>1700</v>
      </c>
      <c r="D1758" s="14" t="str">
        <f>"06040A"</f>
        <v>06040A</v>
      </c>
      <c r="E1758" s="14" t="s">
        <v>947</v>
      </c>
      <c r="F1758" s="14" t="s">
        <v>421</v>
      </c>
      <c r="G1758" s="14" t="str">
        <f>""</f>
        <v/>
      </c>
      <c r="H1758" s="14" t="str">
        <f>" 20"</f>
        <v xml:space="preserve"> 20</v>
      </c>
      <c r="I1758" s="14">
        <v>500.01</v>
      </c>
      <c r="J1758" s="14">
        <v>9999999.9900000002</v>
      </c>
      <c r="K1758" s="14" t="s">
        <v>414</v>
      </c>
      <c r="L1758" s="14" t="s">
        <v>411</v>
      </c>
      <c r="M1758" s="14" t="s">
        <v>412</v>
      </c>
      <c r="P1758" s="14" t="s">
        <v>39</v>
      </c>
      <c r="Q1758" s="14" t="s">
        <v>25</v>
      </c>
      <c r="R1758" s="14" t="s">
        <v>410</v>
      </c>
    </row>
    <row r="1759" spans="1:18" s="14" customFormat="1" x14ac:dyDescent="0.25">
      <c r="A1759" s="14" t="str">
        <f>"30005"</f>
        <v>30005</v>
      </c>
      <c r="B1759" s="14" t="str">
        <f>"06050"</f>
        <v>06050</v>
      </c>
      <c r="C1759" s="14" t="str">
        <f>"1700"</f>
        <v>1700</v>
      </c>
      <c r="D1759" s="14" t="str">
        <f>"06050A"</f>
        <v>06050A</v>
      </c>
      <c r="E1759" s="14" t="s">
        <v>947</v>
      </c>
      <c r="F1759" s="14" t="s">
        <v>422</v>
      </c>
      <c r="G1759" s="14" t="str">
        <f>""</f>
        <v/>
      </c>
      <c r="H1759" s="14" t="str">
        <f>" 10"</f>
        <v xml:space="preserve"> 10</v>
      </c>
      <c r="I1759" s="14">
        <v>0.01</v>
      </c>
      <c r="J1759" s="14">
        <v>500</v>
      </c>
      <c r="K1759" s="14" t="s">
        <v>410</v>
      </c>
      <c r="L1759" s="14" t="s">
        <v>411</v>
      </c>
      <c r="M1759" s="14" t="s">
        <v>412</v>
      </c>
      <c r="N1759" s="14" t="s">
        <v>413</v>
      </c>
      <c r="P1759" s="14" t="s">
        <v>39</v>
      </c>
      <c r="Q1759" s="14" t="s">
        <v>25</v>
      </c>
      <c r="R1759" s="14" t="s">
        <v>410</v>
      </c>
    </row>
    <row r="1760" spans="1:18" s="14" customFormat="1" x14ac:dyDescent="0.25">
      <c r="A1760" s="14" t="str">
        <f>"30005"</f>
        <v>30005</v>
      </c>
      <c r="B1760" s="14" t="str">
        <f>"06050"</f>
        <v>06050</v>
      </c>
      <c r="C1760" s="14" t="str">
        <f>"1700"</f>
        <v>1700</v>
      </c>
      <c r="D1760" s="14" t="str">
        <f>"06050A"</f>
        <v>06050A</v>
      </c>
      <c r="E1760" s="14" t="s">
        <v>947</v>
      </c>
      <c r="F1760" s="14" t="s">
        <v>422</v>
      </c>
      <c r="G1760" s="14" t="str">
        <f>""</f>
        <v/>
      </c>
      <c r="H1760" s="14" t="str">
        <f>" 20"</f>
        <v xml:space="preserve"> 20</v>
      </c>
      <c r="I1760" s="14">
        <v>500.01</v>
      </c>
      <c r="J1760" s="14">
        <v>9999999.9900000002</v>
      </c>
      <c r="K1760" s="14" t="s">
        <v>414</v>
      </c>
      <c r="L1760" s="14" t="s">
        <v>411</v>
      </c>
      <c r="M1760" s="14" t="s">
        <v>412</v>
      </c>
      <c r="P1760" s="14" t="s">
        <v>39</v>
      </c>
      <c r="Q1760" s="14" t="s">
        <v>25</v>
      </c>
      <c r="R1760" s="14" t="s">
        <v>410</v>
      </c>
    </row>
    <row r="1761" spans="1:18" s="14" customFormat="1" x14ac:dyDescent="0.25">
      <c r="A1761" s="14" t="str">
        <f>"30005"</f>
        <v>30005</v>
      </c>
      <c r="B1761" s="14" t="str">
        <f>"06060"</f>
        <v>06060</v>
      </c>
      <c r="C1761" s="14" t="str">
        <f>"1700"</f>
        <v>1700</v>
      </c>
      <c r="D1761" s="14" t="str">
        <f>"06060A"</f>
        <v>06060A</v>
      </c>
      <c r="E1761" s="14" t="s">
        <v>947</v>
      </c>
      <c r="F1761" s="14" t="s">
        <v>423</v>
      </c>
      <c r="G1761" s="14" t="str">
        <f>""</f>
        <v/>
      </c>
      <c r="H1761" s="14" t="str">
        <f>" 10"</f>
        <v xml:space="preserve"> 10</v>
      </c>
      <c r="I1761" s="14">
        <v>0.01</v>
      </c>
      <c r="J1761" s="14">
        <v>500</v>
      </c>
      <c r="K1761" s="14" t="s">
        <v>410</v>
      </c>
      <c r="L1761" s="14" t="s">
        <v>411</v>
      </c>
      <c r="M1761" s="14" t="s">
        <v>412</v>
      </c>
      <c r="N1761" s="14" t="s">
        <v>413</v>
      </c>
      <c r="P1761" s="14" t="s">
        <v>39</v>
      </c>
      <c r="Q1761" s="14" t="s">
        <v>25</v>
      </c>
      <c r="R1761" s="14" t="s">
        <v>410</v>
      </c>
    </row>
    <row r="1762" spans="1:18" s="14" customFormat="1" x14ac:dyDescent="0.25">
      <c r="A1762" s="14" t="str">
        <f>"30005"</f>
        <v>30005</v>
      </c>
      <c r="B1762" s="14" t="str">
        <f>"06060"</f>
        <v>06060</v>
      </c>
      <c r="C1762" s="14" t="str">
        <f>"1700"</f>
        <v>1700</v>
      </c>
      <c r="D1762" s="14" t="str">
        <f>"06060A"</f>
        <v>06060A</v>
      </c>
      <c r="E1762" s="14" t="s">
        <v>947</v>
      </c>
      <c r="F1762" s="14" t="s">
        <v>423</v>
      </c>
      <c r="G1762" s="14" t="str">
        <f>""</f>
        <v/>
      </c>
      <c r="H1762" s="14" t="str">
        <f>" 20"</f>
        <v xml:space="preserve"> 20</v>
      </c>
      <c r="I1762" s="14">
        <v>500.01</v>
      </c>
      <c r="J1762" s="14">
        <v>9999999.9900000002</v>
      </c>
      <c r="K1762" s="14" t="s">
        <v>414</v>
      </c>
      <c r="L1762" s="14" t="s">
        <v>411</v>
      </c>
      <c r="M1762" s="14" t="s">
        <v>412</v>
      </c>
      <c r="P1762" s="14" t="s">
        <v>39</v>
      </c>
      <c r="Q1762" s="14" t="s">
        <v>25</v>
      </c>
      <c r="R1762" s="14" t="s">
        <v>410</v>
      </c>
    </row>
    <row r="1763" spans="1:18" s="14" customFormat="1" x14ac:dyDescent="0.25">
      <c r="A1763" s="14" t="str">
        <f>"30005"</f>
        <v>30005</v>
      </c>
      <c r="B1763" s="14" t="str">
        <f>"06070"</f>
        <v>06070</v>
      </c>
      <c r="C1763" s="14" t="str">
        <f>"1700"</f>
        <v>1700</v>
      </c>
      <c r="D1763" s="14" t="str">
        <f>"06070A"</f>
        <v>06070A</v>
      </c>
      <c r="E1763" s="14" t="s">
        <v>947</v>
      </c>
      <c r="F1763" s="14" t="s">
        <v>424</v>
      </c>
      <c r="G1763" s="14" t="str">
        <f>""</f>
        <v/>
      </c>
      <c r="H1763" s="14" t="str">
        <f>" 10"</f>
        <v xml:space="preserve"> 10</v>
      </c>
      <c r="I1763" s="14">
        <v>0.01</v>
      </c>
      <c r="J1763" s="14">
        <v>500</v>
      </c>
      <c r="K1763" s="14" t="s">
        <v>410</v>
      </c>
      <c r="L1763" s="14" t="s">
        <v>411</v>
      </c>
      <c r="M1763" s="14" t="s">
        <v>412</v>
      </c>
      <c r="N1763" s="14" t="s">
        <v>413</v>
      </c>
      <c r="P1763" s="14" t="s">
        <v>39</v>
      </c>
      <c r="Q1763" s="14" t="s">
        <v>25</v>
      </c>
      <c r="R1763" s="14" t="s">
        <v>410</v>
      </c>
    </row>
    <row r="1764" spans="1:18" s="14" customFormat="1" x14ac:dyDescent="0.25">
      <c r="A1764" s="14" t="str">
        <f>"30005"</f>
        <v>30005</v>
      </c>
      <c r="B1764" s="14" t="str">
        <f>"06070"</f>
        <v>06070</v>
      </c>
      <c r="C1764" s="14" t="str">
        <f>"1700"</f>
        <v>1700</v>
      </c>
      <c r="D1764" s="14" t="str">
        <f>"06070A"</f>
        <v>06070A</v>
      </c>
      <c r="E1764" s="14" t="s">
        <v>947</v>
      </c>
      <c r="F1764" s="14" t="s">
        <v>424</v>
      </c>
      <c r="G1764" s="14" t="str">
        <f>""</f>
        <v/>
      </c>
      <c r="H1764" s="14" t="str">
        <f>" 20"</f>
        <v xml:space="preserve"> 20</v>
      </c>
      <c r="I1764" s="14">
        <v>500.01</v>
      </c>
      <c r="J1764" s="14">
        <v>9999999.9900000002</v>
      </c>
      <c r="K1764" s="14" t="s">
        <v>414</v>
      </c>
      <c r="L1764" s="14" t="s">
        <v>411</v>
      </c>
      <c r="M1764" s="14" t="s">
        <v>412</v>
      </c>
      <c r="P1764" s="14" t="s">
        <v>39</v>
      </c>
      <c r="Q1764" s="14" t="s">
        <v>25</v>
      </c>
      <c r="R1764" s="14" t="s">
        <v>410</v>
      </c>
    </row>
    <row r="1765" spans="1:18" s="14" customFormat="1" x14ac:dyDescent="0.25">
      <c r="A1765" s="14" t="str">
        <f>"30005"</f>
        <v>30005</v>
      </c>
      <c r="B1765" s="14" t="str">
        <f>"06080"</f>
        <v>06080</v>
      </c>
      <c r="C1765" s="14" t="str">
        <f>"1700"</f>
        <v>1700</v>
      </c>
      <c r="D1765" s="14" t="str">
        <f>"06080A"</f>
        <v>06080A</v>
      </c>
      <c r="E1765" s="14" t="s">
        <v>947</v>
      </c>
      <c r="F1765" s="14" t="s">
        <v>425</v>
      </c>
      <c r="G1765" s="14" t="str">
        <f>""</f>
        <v/>
      </c>
      <c r="H1765" s="14" t="str">
        <f>" 10"</f>
        <v xml:space="preserve"> 10</v>
      </c>
      <c r="I1765" s="14">
        <v>0.01</v>
      </c>
      <c r="J1765" s="14">
        <v>500</v>
      </c>
      <c r="K1765" s="14" t="s">
        <v>410</v>
      </c>
      <c r="L1765" s="14" t="s">
        <v>411</v>
      </c>
      <c r="M1765" s="14" t="s">
        <v>412</v>
      </c>
      <c r="N1765" s="14" t="s">
        <v>413</v>
      </c>
      <c r="P1765" s="14" t="s">
        <v>39</v>
      </c>
      <c r="Q1765" s="14" t="s">
        <v>25</v>
      </c>
      <c r="R1765" s="14" t="s">
        <v>410</v>
      </c>
    </row>
    <row r="1766" spans="1:18" s="14" customFormat="1" x14ac:dyDescent="0.25">
      <c r="A1766" s="14" t="str">
        <f>"30005"</f>
        <v>30005</v>
      </c>
      <c r="B1766" s="14" t="str">
        <f>"06080"</f>
        <v>06080</v>
      </c>
      <c r="C1766" s="14" t="str">
        <f>"1700"</f>
        <v>1700</v>
      </c>
      <c r="D1766" s="14" t="str">
        <f>"06080A"</f>
        <v>06080A</v>
      </c>
      <c r="E1766" s="14" t="s">
        <v>947</v>
      </c>
      <c r="F1766" s="14" t="s">
        <v>425</v>
      </c>
      <c r="G1766" s="14" t="str">
        <f>""</f>
        <v/>
      </c>
      <c r="H1766" s="14" t="str">
        <f>" 20"</f>
        <v xml:space="preserve"> 20</v>
      </c>
      <c r="I1766" s="14">
        <v>500.01</v>
      </c>
      <c r="J1766" s="14">
        <v>9999999.9900000002</v>
      </c>
      <c r="K1766" s="14" t="s">
        <v>414</v>
      </c>
      <c r="L1766" s="14" t="s">
        <v>411</v>
      </c>
      <c r="M1766" s="14" t="s">
        <v>412</v>
      </c>
      <c r="P1766" s="14" t="s">
        <v>39</v>
      </c>
      <c r="Q1766" s="14" t="s">
        <v>25</v>
      </c>
      <c r="R1766" s="14" t="s">
        <v>410</v>
      </c>
    </row>
    <row r="1767" spans="1:18" s="14" customFormat="1" x14ac:dyDescent="0.25">
      <c r="A1767" s="14" t="str">
        <f>"30005"</f>
        <v>30005</v>
      </c>
      <c r="B1767" s="14" t="str">
        <f>"06090"</f>
        <v>06090</v>
      </c>
      <c r="C1767" s="14" t="str">
        <f>"1700"</f>
        <v>1700</v>
      </c>
      <c r="D1767" s="14" t="str">
        <f>"06090A"</f>
        <v>06090A</v>
      </c>
      <c r="E1767" s="14" t="s">
        <v>947</v>
      </c>
      <c r="F1767" s="14" t="s">
        <v>426</v>
      </c>
      <c r="G1767" s="14" t="str">
        <f>""</f>
        <v/>
      </c>
      <c r="H1767" s="14" t="str">
        <f>" 10"</f>
        <v xml:space="preserve"> 10</v>
      </c>
      <c r="I1767" s="14">
        <v>0.01</v>
      </c>
      <c r="J1767" s="14">
        <v>500</v>
      </c>
      <c r="K1767" s="14" t="s">
        <v>410</v>
      </c>
      <c r="L1767" s="14" t="s">
        <v>411</v>
      </c>
      <c r="M1767" s="14" t="s">
        <v>412</v>
      </c>
      <c r="N1767" s="14" t="s">
        <v>413</v>
      </c>
      <c r="P1767" s="14" t="s">
        <v>39</v>
      </c>
      <c r="Q1767" s="14" t="s">
        <v>25</v>
      </c>
      <c r="R1767" s="14" t="s">
        <v>410</v>
      </c>
    </row>
    <row r="1768" spans="1:18" s="14" customFormat="1" x14ac:dyDescent="0.25">
      <c r="A1768" s="14" t="str">
        <f>"30005"</f>
        <v>30005</v>
      </c>
      <c r="B1768" s="14" t="str">
        <f>"06090"</f>
        <v>06090</v>
      </c>
      <c r="C1768" s="14" t="str">
        <f>"1700"</f>
        <v>1700</v>
      </c>
      <c r="D1768" s="14" t="str">
        <f>"06090A"</f>
        <v>06090A</v>
      </c>
      <c r="E1768" s="14" t="s">
        <v>947</v>
      </c>
      <c r="F1768" s="14" t="s">
        <v>426</v>
      </c>
      <c r="G1768" s="14" t="str">
        <f>""</f>
        <v/>
      </c>
      <c r="H1768" s="14" t="str">
        <f>" 20"</f>
        <v xml:space="preserve"> 20</v>
      </c>
      <c r="I1768" s="14">
        <v>500.01</v>
      </c>
      <c r="J1768" s="14">
        <v>9999999.9900000002</v>
      </c>
      <c r="K1768" s="14" t="s">
        <v>414</v>
      </c>
      <c r="L1768" s="14" t="s">
        <v>411</v>
      </c>
      <c r="M1768" s="14" t="s">
        <v>412</v>
      </c>
      <c r="P1768" s="14" t="s">
        <v>39</v>
      </c>
      <c r="Q1768" s="14" t="s">
        <v>25</v>
      </c>
      <c r="R1768" s="14" t="s">
        <v>410</v>
      </c>
    </row>
    <row r="1769" spans="1:18" s="14" customFormat="1" x14ac:dyDescent="0.25">
      <c r="A1769" s="14" t="str">
        <f>"30005"</f>
        <v>30005</v>
      </c>
      <c r="B1769" s="14" t="str">
        <f>"06100"</f>
        <v>06100</v>
      </c>
      <c r="C1769" s="14" t="str">
        <f>"1700"</f>
        <v>1700</v>
      </c>
      <c r="D1769" s="14" t="str">
        <f>"06100A"</f>
        <v>06100A</v>
      </c>
      <c r="E1769" s="14" t="s">
        <v>947</v>
      </c>
      <c r="F1769" s="14" t="s">
        <v>427</v>
      </c>
      <c r="G1769" s="14" t="str">
        <f>""</f>
        <v/>
      </c>
      <c r="H1769" s="14" t="str">
        <f>" 10"</f>
        <v xml:space="preserve"> 10</v>
      </c>
      <c r="I1769" s="14">
        <v>0.01</v>
      </c>
      <c r="J1769" s="14">
        <v>500</v>
      </c>
      <c r="K1769" s="14" t="s">
        <v>410</v>
      </c>
      <c r="L1769" s="14" t="s">
        <v>411</v>
      </c>
      <c r="M1769" s="14" t="s">
        <v>412</v>
      </c>
      <c r="N1769" s="14" t="s">
        <v>413</v>
      </c>
      <c r="P1769" s="14" t="s">
        <v>39</v>
      </c>
      <c r="Q1769" s="14" t="s">
        <v>25</v>
      </c>
      <c r="R1769" s="14" t="s">
        <v>410</v>
      </c>
    </row>
    <row r="1770" spans="1:18" s="14" customFormat="1" x14ac:dyDescent="0.25">
      <c r="A1770" s="14" t="str">
        <f>"30005"</f>
        <v>30005</v>
      </c>
      <c r="B1770" s="14" t="str">
        <f>"06100"</f>
        <v>06100</v>
      </c>
      <c r="C1770" s="14" t="str">
        <f>"1700"</f>
        <v>1700</v>
      </c>
      <c r="D1770" s="14" t="str">
        <f>"06100A"</f>
        <v>06100A</v>
      </c>
      <c r="E1770" s="14" t="s">
        <v>947</v>
      </c>
      <c r="F1770" s="14" t="s">
        <v>427</v>
      </c>
      <c r="G1770" s="14" t="str">
        <f>""</f>
        <v/>
      </c>
      <c r="H1770" s="14" t="str">
        <f>" 20"</f>
        <v xml:space="preserve"> 20</v>
      </c>
      <c r="I1770" s="14">
        <v>500.01</v>
      </c>
      <c r="J1770" s="14">
        <v>9999999.9900000002</v>
      </c>
      <c r="K1770" s="14" t="s">
        <v>414</v>
      </c>
      <c r="L1770" s="14" t="s">
        <v>411</v>
      </c>
      <c r="M1770" s="14" t="s">
        <v>412</v>
      </c>
      <c r="P1770" s="14" t="s">
        <v>39</v>
      </c>
      <c r="Q1770" s="14" t="s">
        <v>25</v>
      </c>
      <c r="R1770" s="14" t="s">
        <v>410</v>
      </c>
    </row>
    <row r="1771" spans="1:18" s="14" customFormat="1" x14ac:dyDescent="0.25">
      <c r="A1771" s="14" t="str">
        <f>"30005"</f>
        <v>30005</v>
      </c>
      <c r="B1771" s="14" t="str">
        <f>"06110"</f>
        <v>06110</v>
      </c>
      <c r="C1771" s="14" t="str">
        <f>"1700"</f>
        <v>1700</v>
      </c>
      <c r="D1771" s="14" t="str">
        <f>"06110A"</f>
        <v>06110A</v>
      </c>
      <c r="E1771" s="14" t="s">
        <v>947</v>
      </c>
      <c r="F1771" s="14" t="s">
        <v>428</v>
      </c>
      <c r="G1771" s="14" t="str">
        <f>""</f>
        <v/>
      </c>
      <c r="H1771" s="14" t="str">
        <f>" 10"</f>
        <v xml:space="preserve"> 10</v>
      </c>
      <c r="I1771" s="14">
        <v>0.01</v>
      </c>
      <c r="J1771" s="14">
        <v>500</v>
      </c>
      <c r="K1771" s="14" t="s">
        <v>410</v>
      </c>
      <c r="L1771" s="14" t="s">
        <v>411</v>
      </c>
      <c r="M1771" s="14" t="s">
        <v>412</v>
      </c>
      <c r="N1771" s="14" t="s">
        <v>413</v>
      </c>
      <c r="P1771" s="14" t="s">
        <v>39</v>
      </c>
      <c r="Q1771" s="14" t="s">
        <v>25</v>
      </c>
      <c r="R1771" s="14" t="s">
        <v>410</v>
      </c>
    </row>
    <row r="1772" spans="1:18" s="14" customFormat="1" x14ac:dyDescent="0.25">
      <c r="A1772" s="14" t="str">
        <f>"30005"</f>
        <v>30005</v>
      </c>
      <c r="B1772" s="14" t="str">
        <f>"06110"</f>
        <v>06110</v>
      </c>
      <c r="C1772" s="14" t="str">
        <f>"1700"</f>
        <v>1700</v>
      </c>
      <c r="D1772" s="14" t="str">
        <f>"06110A"</f>
        <v>06110A</v>
      </c>
      <c r="E1772" s="14" t="s">
        <v>947</v>
      </c>
      <c r="F1772" s="14" t="s">
        <v>428</v>
      </c>
      <c r="G1772" s="14" t="str">
        <f>""</f>
        <v/>
      </c>
      <c r="H1772" s="14" t="str">
        <f>" 20"</f>
        <v xml:space="preserve"> 20</v>
      </c>
      <c r="I1772" s="14">
        <v>500.01</v>
      </c>
      <c r="J1772" s="14">
        <v>9999999.9900000002</v>
      </c>
      <c r="K1772" s="14" t="s">
        <v>414</v>
      </c>
      <c r="L1772" s="14" t="s">
        <v>411</v>
      </c>
      <c r="M1772" s="14" t="s">
        <v>412</v>
      </c>
      <c r="P1772" s="14" t="s">
        <v>39</v>
      </c>
      <c r="Q1772" s="14" t="s">
        <v>25</v>
      </c>
      <c r="R1772" s="14" t="s">
        <v>410</v>
      </c>
    </row>
    <row r="1773" spans="1:18" s="14" customFormat="1" x14ac:dyDescent="0.25">
      <c r="A1773" s="14" t="str">
        <f>"30005"</f>
        <v>30005</v>
      </c>
      <c r="B1773" s="14" t="str">
        <f>"06120"</f>
        <v>06120</v>
      </c>
      <c r="C1773" s="14" t="str">
        <f>"1700"</f>
        <v>1700</v>
      </c>
      <c r="D1773" s="14" t="str">
        <f>"06120A"</f>
        <v>06120A</v>
      </c>
      <c r="E1773" s="14" t="s">
        <v>947</v>
      </c>
      <c r="F1773" s="14" t="s">
        <v>429</v>
      </c>
      <c r="G1773" s="14" t="str">
        <f>""</f>
        <v/>
      </c>
      <c r="H1773" s="14" t="str">
        <f>" 10"</f>
        <v xml:space="preserve"> 10</v>
      </c>
      <c r="I1773" s="14">
        <v>0.01</v>
      </c>
      <c r="J1773" s="14">
        <v>500</v>
      </c>
      <c r="K1773" s="14" t="s">
        <v>410</v>
      </c>
      <c r="L1773" s="14" t="s">
        <v>411</v>
      </c>
      <c r="M1773" s="14" t="s">
        <v>412</v>
      </c>
      <c r="N1773" s="14" t="s">
        <v>413</v>
      </c>
      <c r="P1773" s="14" t="s">
        <v>39</v>
      </c>
      <c r="Q1773" s="14" t="s">
        <v>25</v>
      </c>
      <c r="R1773" s="14" t="s">
        <v>410</v>
      </c>
    </row>
    <row r="1774" spans="1:18" s="14" customFormat="1" x14ac:dyDescent="0.25">
      <c r="A1774" s="14" t="str">
        <f>"30005"</f>
        <v>30005</v>
      </c>
      <c r="B1774" s="14" t="str">
        <f>"06120"</f>
        <v>06120</v>
      </c>
      <c r="C1774" s="14" t="str">
        <f>"1700"</f>
        <v>1700</v>
      </c>
      <c r="D1774" s="14" t="str">
        <f>"06120A"</f>
        <v>06120A</v>
      </c>
      <c r="E1774" s="14" t="s">
        <v>947</v>
      </c>
      <c r="F1774" s="14" t="s">
        <v>429</v>
      </c>
      <c r="G1774" s="14" t="str">
        <f>""</f>
        <v/>
      </c>
      <c r="H1774" s="14" t="str">
        <f>" 20"</f>
        <v xml:space="preserve"> 20</v>
      </c>
      <c r="I1774" s="14">
        <v>500.01</v>
      </c>
      <c r="J1774" s="14">
        <v>9999999.9900000002</v>
      </c>
      <c r="K1774" s="14" t="s">
        <v>414</v>
      </c>
      <c r="L1774" s="14" t="s">
        <v>411</v>
      </c>
      <c r="M1774" s="14" t="s">
        <v>412</v>
      </c>
      <c r="P1774" s="14" t="s">
        <v>39</v>
      </c>
      <c r="Q1774" s="14" t="s">
        <v>25</v>
      </c>
      <c r="R1774" s="14" t="s">
        <v>410</v>
      </c>
    </row>
    <row r="1775" spans="1:18" s="14" customFormat="1" x14ac:dyDescent="0.25">
      <c r="A1775" s="14" t="str">
        <f>"30005"</f>
        <v>30005</v>
      </c>
      <c r="B1775" s="14" t="str">
        <f>"06130"</f>
        <v>06130</v>
      </c>
      <c r="C1775" s="14" t="str">
        <f>"1700"</f>
        <v>1700</v>
      </c>
      <c r="D1775" s="14" t="str">
        <f>"06130A"</f>
        <v>06130A</v>
      </c>
      <c r="E1775" s="14" t="s">
        <v>947</v>
      </c>
      <c r="F1775" s="14" t="s">
        <v>430</v>
      </c>
      <c r="G1775" s="14" t="str">
        <f>""</f>
        <v/>
      </c>
      <c r="H1775" s="14" t="str">
        <f>" 10"</f>
        <v xml:space="preserve"> 10</v>
      </c>
      <c r="I1775" s="14">
        <v>0.01</v>
      </c>
      <c r="J1775" s="14">
        <v>500</v>
      </c>
      <c r="K1775" s="14" t="s">
        <v>410</v>
      </c>
      <c r="L1775" s="14" t="s">
        <v>411</v>
      </c>
      <c r="M1775" s="14" t="s">
        <v>412</v>
      </c>
      <c r="N1775" s="14" t="s">
        <v>413</v>
      </c>
      <c r="P1775" s="14" t="s">
        <v>39</v>
      </c>
      <c r="Q1775" s="14" t="s">
        <v>25</v>
      </c>
      <c r="R1775" s="14" t="s">
        <v>410</v>
      </c>
    </row>
    <row r="1776" spans="1:18" s="14" customFormat="1" x14ac:dyDescent="0.25">
      <c r="A1776" s="14" t="str">
        <f>"30005"</f>
        <v>30005</v>
      </c>
      <c r="B1776" s="14" t="str">
        <f>"06130"</f>
        <v>06130</v>
      </c>
      <c r="C1776" s="14" t="str">
        <f>"1700"</f>
        <v>1700</v>
      </c>
      <c r="D1776" s="14" t="str">
        <f>"06130A"</f>
        <v>06130A</v>
      </c>
      <c r="E1776" s="14" t="s">
        <v>947</v>
      </c>
      <c r="F1776" s="14" t="s">
        <v>430</v>
      </c>
      <c r="G1776" s="14" t="str">
        <f>""</f>
        <v/>
      </c>
      <c r="H1776" s="14" t="str">
        <f>" 20"</f>
        <v xml:space="preserve"> 20</v>
      </c>
      <c r="I1776" s="14">
        <v>500.01</v>
      </c>
      <c r="J1776" s="14">
        <v>9999999.9900000002</v>
      </c>
      <c r="K1776" s="14" t="s">
        <v>414</v>
      </c>
      <c r="L1776" s="14" t="s">
        <v>411</v>
      </c>
      <c r="M1776" s="14" t="s">
        <v>412</v>
      </c>
      <c r="P1776" s="14" t="s">
        <v>39</v>
      </c>
      <c r="Q1776" s="14" t="s">
        <v>25</v>
      </c>
      <c r="R1776" s="14" t="s">
        <v>410</v>
      </c>
    </row>
    <row r="1777" spans="1:18" s="14" customFormat="1" x14ac:dyDescent="0.25">
      <c r="A1777" s="14" t="str">
        <f>"30005"</f>
        <v>30005</v>
      </c>
      <c r="B1777" s="14" t="str">
        <f>"06140"</f>
        <v>06140</v>
      </c>
      <c r="C1777" s="14" t="str">
        <f>"1700"</f>
        <v>1700</v>
      </c>
      <c r="D1777" s="14" t="str">
        <f>"06140A"</f>
        <v>06140A</v>
      </c>
      <c r="E1777" s="14" t="s">
        <v>947</v>
      </c>
      <c r="F1777" s="14" t="s">
        <v>431</v>
      </c>
      <c r="G1777" s="14" t="str">
        <f>""</f>
        <v/>
      </c>
      <c r="H1777" s="14" t="str">
        <f>" 10"</f>
        <v xml:space="preserve"> 10</v>
      </c>
      <c r="I1777" s="14">
        <v>0.01</v>
      </c>
      <c r="J1777" s="14">
        <v>500</v>
      </c>
      <c r="K1777" s="14" t="s">
        <v>410</v>
      </c>
      <c r="L1777" s="14" t="s">
        <v>411</v>
      </c>
      <c r="M1777" s="14" t="s">
        <v>412</v>
      </c>
      <c r="N1777" s="14" t="s">
        <v>413</v>
      </c>
      <c r="P1777" s="14" t="s">
        <v>39</v>
      </c>
      <c r="Q1777" s="14" t="s">
        <v>25</v>
      </c>
      <c r="R1777" s="14" t="s">
        <v>410</v>
      </c>
    </row>
    <row r="1778" spans="1:18" s="14" customFormat="1" x14ac:dyDescent="0.25">
      <c r="A1778" s="14" t="str">
        <f>"30005"</f>
        <v>30005</v>
      </c>
      <c r="B1778" s="14" t="str">
        <f>"06140"</f>
        <v>06140</v>
      </c>
      <c r="C1778" s="14" t="str">
        <f>"1700"</f>
        <v>1700</v>
      </c>
      <c r="D1778" s="14" t="str">
        <f>"06140A"</f>
        <v>06140A</v>
      </c>
      <c r="E1778" s="14" t="s">
        <v>947</v>
      </c>
      <c r="F1778" s="14" t="s">
        <v>431</v>
      </c>
      <c r="G1778" s="14" t="str">
        <f>""</f>
        <v/>
      </c>
      <c r="H1778" s="14" t="str">
        <f>" 20"</f>
        <v xml:space="preserve"> 20</v>
      </c>
      <c r="I1778" s="14">
        <v>500.01</v>
      </c>
      <c r="J1778" s="14">
        <v>9999999.9900000002</v>
      </c>
      <c r="K1778" s="14" t="s">
        <v>414</v>
      </c>
      <c r="L1778" s="14" t="s">
        <v>411</v>
      </c>
      <c r="M1778" s="14" t="s">
        <v>412</v>
      </c>
      <c r="P1778" s="14" t="s">
        <v>39</v>
      </c>
      <c r="Q1778" s="14" t="s">
        <v>25</v>
      </c>
      <c r="R1778" s="14" t="s">
        <v>410</v>
      </c>
    </row>
    <row r="1779" spans="1:18" s="14" customFormat="1" x14ac:dyDescent="0.25">
      <c r="A1779" s="14" t="str">
        <f>"30005"</f>
        <v>30005</v>
      </c>
      <c r="B1779" s="14" t="str">
        <f>"06150"</f>
        <v>06150</v>
      </c>
      <c r="C1779" s="14" t="str">
        <f>"1700"</f>
        <v>1700</v>
      </c>
      <c r="D1779" s="14" t="str">
        <f>"06150A"</f>
        <v>06150A</v>
      </c>
      <c r="E1779" s="14" t="s">
        <v>947</v>
      </c>
      <c r="F1779" s="14" t="s">
        <v>432</v>
      </c>
      <c r="G1779" s="14" t="str">
        <f>""</f>
        <v/>
      </c>
      <c r="H1779" s="14" t="str">
        <f>" 10"</f>
        <v xml:space="preserve"> 10</v>
      </c>
      <c r="I1779" s="14">
        <v>0.01</v>
      </c>
      <c r="J1779" s="14">
        <v>500</v>
      </c>
      <c r="K1779" s="14" t="s">
        <v>410</v>
      </c>
      <c r="L1779" s="14" t="s">
        <v>411</v>
      </c>
      <c r="M1779" s="14" t="s">
        <v>412</v>
      </c>
      <c r="N1779" s="14" t="s">
        <v>413</v>
      </c>
      <c r="P1779" s="14" t="s">
        <v>39</v>
      </c>
      <c r="Q1779" s="14" t="s">
        <v>25</v>
      </c>
      <c r="R1779" s="14" t="s">
        <v>410</v>
      </c>
    </row>
    <row r="1780" spans="1:18" s="14" customFormat="1" x14ac:dyDescent="0.25">
      <c r="A1780" s="14" t="str">
        <f>"30005"</f>
        <v>30005</v>
      </c>
      <c r="B1780" s="14" t="str">
        <f>"06150"</f>
        <v>06150</v>
      </c>
      <c r="C1780" s="14" t="str">
        <f>"1700"</f>
        <v>1700</v>
      </c>
      <c r="D1780" s="14" t="str">
        <f>"06150A"</f>
        <v>06150A</v>
      </c>
      <c r="E1780" s="14" t="s">
        <v>947</v>
      </c>
      <c r="F1780" s="14" t="s">
        <v>432</v>
      </c>
      <c r="G1780" s="14" t="str">
        <f>""</f>
        <v/>
      </c>
      <c r="H1780" s="14" t="str">
        <f>" 20"</f>
        <v xml:space="preserve"> 20</v>
      </c>
      <c r="I1780" s="14">
        <v>500.01</v>
      </c>
      <c r="J1780" s="14">
        <v>9999999.9900000002</v>
      </c>
      <c r="K1780" s="14" t="s">
        <v>414</v>
      </c>
      <c r="L1780" s="14" t="s">
        <v>411</v>
      </c>
      <c r="M1780" s="14" t="s">
        <v>412</v>
      </c>
      <c r="P1780" s="14" t="s">
        <v>39</v>
      </c>
      <c r="Q1780" s="14" t="s">
        <v>25</v>
      </c>
      <c r="R1780" s="14" t="s">
        <v>410</v>
      </c>
    </row>
    <row r="1781" spans="1:18" s="14" customFormat="1" x14ac:dyDescent="0.25">
      <c r="A1781" s="14" t="str">
        <f>"30005"</f>
        <v>30005</v>
      </c>
      <c r="B1781" s="14" t="str">
        <f>"06151"</f>
        <v>06151</v>
      </c>
      <c r="C1781" s="14" t="str">
        <f>"1700"</f>
        <v>1700</v>
      </c>
      <c r="D1781" s="14" t="str">
        <f>"06151A"</f>
        <v>06151A</v>
      </c>
      <c r="E1781" s="14" t="s">
        <v>947</v>
      </c>
      <c r="F1781" s="14" t="s">
        <v>433</v>
      </c>
      <c r="G1781" s="14" t="str">
        <f>""</f>
        <v/>
      </c>
      <c r="H1781" s="14" t="str">
        <f>" 10"</f>
        <v xml:space="preserve"> 10</v>
      </c>
      <c r="I1781" s="14">
        <v>0.01</v>
      </c>
      <c r="J1781" s="14">
        <v>500</v>
      </c>
      <c r="K1781" s="14" t="s">
        <v>410</v>
      </c>
      <c r="L1781" s="14" t="s">
        <v>411</v>
      </c>
      <c r="M1781" s="14" t="s">
        <v>412</v>
      </c>
      <c r="N1781" s="14" t="s">
        <v>413</v>
      </c>
      <c r="P1781" s="14" t="s">
        <v>39</v>
      </c>
      <c r="Q1781" s="14" t="s">
        <v>25</v>
      </c>
      <c r="R1781" s="14" t="s">
        <v>410</v>
      </c>
    </row>
    <row r="1782" spans="1:18" s="14" customFormat="1" x14ac:dyDescent="0.25">
      <c r="A1782" s="14" t="str">
        <f>"30005"</f>
        <v>30005</v>
      </c>
      <c r="B1782" s="14" t="str">
        <f>"06151"</f>
        <v>06151</v>
      </c>
      <c r="C1782" s="14" t="str">
        <f>"1700"</f>
        <v>1700</v>
      </c>
      <c r="D1782" s="14" t="str">
        <f>"06151A"</f>
        <v>06151A</v>
      </c>
      <c r="E1782" s="14" t="s">
        <v>947</v>
      </c>
      <c r="F1782" s="14" t="s">
        <v>433</v>
      </c>
      <c r="G1782" s="14" t="str">
        <f>""</f>
        <v/>
      </c>
      <c r="H1782" s="14" t="str">
        <f>" 20"</f>
        <v xml:space="preserve"> 20</v>
      </c>
      <c r="I1782" s="14">
        <v>500.01</v>
      </c>
      <c r="J1782" s="14">
        <v>9999999.9900000002</v>
      </c>
      <c r="K1782" s="14" t="s">
        <v>414</v>
      </c>
      <c r="L1782" s="14" t="s">
        <v>411</v>
      </c>
      <c r="M1782" s="14" t="s">
        <v>412</v>
      </c>
      <c r="P1782" s="14" t="s">
        <v>39</v>
      </c>
      <c r="Q1782" s="14" t="s">
        <v>25</v>
      </c>
      <c r="R1782" s="14" t="s">
        <v>410</v>
      </c>
    </row>
    <row r="1783" spans="1:18" s="14" customFormat="1" x14ac:dyDescent="0.25">
      <c r="A1783" s="14" t="str">
        <f>"30005"</f>
        <v>30005</v>
      </c>
      <c r="B1783" s="14" t="str">
        <f>"06152"</f>
        <v>06152</v>
      </c>
      <c r="C1783" s="14" t="str">
        <f>"1700"</f>
        <v>1700</v>
      </c>
      <c r="D1783" s="14" t="str">
        <f>"06152A"</f>
        <v>06152A</v>
      </c>
      <c r="E1783" s="14" t="s">
        <v>947</v>
      </c>
      <c r="F1783" s="14" t="s">
        <v>434</v>
      </c>
      <c r="G1783" s="14" t="str">
        <f>""</f>
        <v/>
      </c>
      <c r="H1783" s="14" t="str">
        <f>" 10"</f>
        <v xml:space="preserve"> 10</v>
      </c>
      <c r="I1783" s="14">
        <v>0.01</v>
      </c>
      <c r="J1783" s="14">
        <v>500</v>
      </c>
      <c r="K1783" s="14" t="s">
        <v>410</v>
      </c>
      <c r="L1783" s="14" t="s">
        <v>411</v>
      </c>
      <c r="M1783" s="14" t="s">
        <v>412</v>
      </c>
      <c r="N1783" s="14" t="s">
        <v>413</v>
      </c>
      <c r="P1783" s="14" t="s">
        <v>39</v>
      </c>
      <c r="Q1783" s="14" t="s">
        <v>25</v>
      </c>
      <c r="R1783" s="14" t="s">
        <v>410</v>
      </c>
    </row>
    <row r="1784" spans="1:18" s="14" customFormat="1" x14ac:dyDescent="0.25">
      <c r="A1784" s="14" t="str">
        <f>"30005"</f>
        <v>30005</v>
      </c>
      <c r="B1784" s="14" t="str">
        <f>"06152"</f>
        <v>06152</v>
      </c>
      <c r="C1784" s="14" t="str">
        <f>"1700"</f>
        <v>1700</v>
      </c>
      <c r="D1784" s="14" t="str">
        <f>"06152A"</f>
        <v>06152A</v>
      </c>
      <c r="E1784" s="14" t="s">
        <v>947</v>
      </c>
      <c r="F1784" s="14" t="s">
        <v>434</v>
      </c>
      <c r="G1784" s="14" t="str">
        <f>""</f>
        <v/>
      </c>
      <c r="H1784" s="14" t="str">
        <f>" 20"</f>
        <v xml:space="preserve"> 20</v>
      </c>
      <c r="I1784" s="14">
        <v>500.01</v>
      </c>
      <c r="J1784" s="14">
        <v>9999999.9900000002</v>
      </c>
      <c r="K1784" s="14" t="s">
        <v>414</v>
      </c>
      <c r="L1784" s="14" t="s">
        <v>411</v>
      </c>
      <c r="M1784" s="14" t="s">
        <v>412</v>
      </c>
      <c r="P1784" s="14" t="s">
        <v>39</v>
      </c>
      <c r="Q1784" s="14" t="s">
        <v>25</v>
      </c>
      <c r="R1784" s="14" t="s">
        <v>410</v>
      </c>
    </row>
    <row r="1785" spans="1:18" s="14" customFormat="1" x14ac:dyDescent="0.25">
      <c r="A1785" s="14" t="str">
        <f>"30006"</f>
        <v>30006</v>
      </c>
      <c r="B1785" s="14" t="str">
        <f>"06000"</f>
        <v>06000</v>
      </c>
      <c r="C1785" s="14" t="str">
        <f>"1700"</f>
        <v>1700</v>
      </c>
      <c r="D1785" s="14" t="str">
        <f>"06000D"</f>
        <v>06000D</v>
      </c>
      <c r="E1785" s="14" t="s">
        <v>948</v>
      </c>
      <c r="F1785" s="14" t="s">
        <v>409</v>
      </c>
      <c r="G1785" s="14" t="str">
        <f>""</f>
        <v/>
      </c>
      <c r="H1785" s="14" t="str">
        <f>" 10"</f>
        <v xml:space="preserve"> 10</v>
      </c>
      <c r="I1785" s="14">
        <v>0.01</v>
      </c>
      <c r="J1785" s="14">
        <v>500</v>
      </c>
      <c r="K1785" s="14" t="s">
        <v>410</v>
      </c>
      <c r="L1785" s="14" t="s">
        <v>411</v>
      </c>
      <c r="M1785" s="14" t="s">
        <v>412</v>
      </c>
      <c r="N1785" s="14" t="s">
        <v>413</v>
      </c>
      <c r="P1785" s="14" t="s">
        <v>39</v>
      </c>
      <c r="Q1785" s="14" t="s">
        <v>25</v>
      </c>
      <c r="R1785" s="14" t="s">
        <v>410</v>
      </c>
    </row>
    <row r="1786" spans="1:18" s="14" customFormat="1" x14ac:dyDescent="0.25">
      <c r="A1786" s="14" t="str">
        <f>"30006"</f>
        <v>30006</v>
      </c>
      <c r="B1786" s="14" t="str">
        <f>"06000"</f>
        <v>06000</v>
      </c>
      <c r="C1786" s="14" t="str">
        <f>"1700"</f>
        <v>1700</v>
      </c>
      <c r="D1786" s="14" t="str">
        <f>"06000D"</f>
        <v>06000D</v>
      </c>
      <c r="E1786" s="14" t="s">
        <v>948</v>
      </c>
      <c r="F1786" s="14" t="s">
        <v>409</v>
      </c>
      <c r="G1786" s="14" t="str">
        <f>""</f>
        <v/>
      </c>
      <c r="H1786" s="14" t="str">
        <f>" 20"</f>
        <v xml:space="preserve"> 20</v>
      </c>
      <c r="I1786" s="14">
        <v>500.01</v>
      </c>
      <c r="J1786" s="14">
        <v>9999999.9900000002</v>
      </c>
      <c r="K1786" s="14" t="s">
        <v>414</v>
      </c>
      <c r="L1786" s="14" t="s">
        <v>411</v>
      </c>
      <c r="M1786" s="14" t="s">
        <v>412</v>
      </c>
      <c r="P1786" s="14" t="s">
        <v>39</v>
      </c>
      <c r="Q1786" s="14" t="s">
        <v>25</v>
      </c>
      <c r="R1786" s="14" t="s">
        <v>410</v>
      </c>
    </row>
    <row r="1787" spans="1:18" s="14" customFormat="1" x14ac:dyDescent="0.25">
      <c r="A1787" s="14" t="str">
        <f>"30006"</f>
        <v>30006</v>
      </c>
      <c r="B1787" s="14" t="str">
        <f>"06030"</f>
        <v>06030</v>
      </c>
      <c r="C1787" s="14" t="str">
        <f>"1700"</f>
        <v>1700</v>
      </c>
      <c r="D1787" s="14" t="str">
        <f>"06030D"</f>
        <v>06030D</v>
      </c>
      <c r="E1787" s="14" t="s">
        <v>948</v>
      </c>
      <c r="F1787" s="14" t="s">
        <v>420</v>
      </c>
      <c r="G1787" s="14" t="str">
        <f>""</f>
        <v/>
      </c>
      <c r="H1787" s="14" t="str">
        <f>" 10"</f>
        <v xml:space="preserve"> 10</v>
      </c>
      <c r="I1787" s="14">
        <v>0.01</v>
      </c>
      <c r="J1787" s="14">
        <v>500</v>
      </c>
      <c r="K1787" s="14" t="s">
        <v>410</v>
      </c>
      <c r="L1787" s="14" t="s">
        <v>411</v>
      </c>
      <c r="M1787" s="14" t="s">
        <v>412</v>
      </c>
      <c r="N1787" s="14" t="s">
        <v>413</v>
      </c>
      <c r="P1787" s="14" t="s">
        <v>39</v>
      </c>
      <c r="Q1787" s="14" t="s">
        <v>25</v>
      </c>
      <c r="R1787" s="14" t="s">
        <v>410</v>
      </c>
    </row>
    <row r="1788" spans="1:18" s="14" customFormat="1" x14ac:dyDescent="0.25">
      <c r="A1788" s="14" t="str">
        <f>"30006"</f>
        <v>30006</v>
      </c>
      <c r="B1788" s="14" t="str">
        <f>"06030"</f>
        <v>06030</v>
      </c>
      <c r="C1788" s="14" t="str">
        <f>"1700"</f>
        <v>1700</v>
      </c>
      <c r="D1788" s="14" t="str">
        <f>"06030D"</f>
        <v>06030D</v>
      </c>
      <c r="E1788" s="14" t="s">
        <v>948</v>
      </c>
      <c r="F1788" s="14" t="s">
        <v>420</v>
      </c>
      <c r="G1788" s="14" t="str">
        <f>""</f>
        <v/>
      </c>
      <c r="H1788" s="14" t="str">
        <f>" 20"</f>
        <v xml:space="preserve"> 20</v>
      </c>
      <c r="I1788" s="14">
        <v>500.01</v>
      </c>
      <c r="J1788" s="14">
        <v>9999999.9900000002</v>
      </c>
      <c r="K1788" s="14" t="s">
        <v>414</v>
      </c>
      <c r="L1788" s="14" t="s">
        <v>411</v>
      </c>
      <c r="M1788" s="14" t="s">
        <v>412</v>
      </c>
      <c r="P1788" s="14" t="s">
        <v>39</v>
      </c>
      <c r="Q1788" s="14" t="s">
        <v>25</v>
      </c>
      <c r="R1788" s="14" t="s">
        <v>410</v>
      </c>
    </row>
    <row r="1789" spans="1:18" s="14" customFormat="1" x14ac:dyDescent="0.25">
      <c r="A1789" s="14" t="str">
        <f>"30006"</f>
        <v>30006</v>
      </c>
      <c r="B1789" s="14" t="str">
        <f>"06040"</f>
        <v>06040</v>
      </c>
      <c r="C1789" s="14" t="str">
        <f>"1700"</f>
        <v>1700</v>
      </c>
      <c r="D1789" s="14" t="str">
        <f>"06040D"</f>
        <v>06040D</v>
      </c>
      <c r="E1789" s="14" t="s">
        <v>948</v>
      </c>
      <c r="F1789" s="14" t="s">
        <v>421</v>
      </c>
      <c r="G1789" s="14" t="str">
        <f>""</f>
        <v/>
      </c>
      <c r="H1789" s="14" t="str">
        <f>" 10"</f>
        <v xml:space="preserve"> 10</v>
      </c>
      <c r="I1789" s="14">
        <v>0.01</v>
      </c>
      <c r="J1789" s="14">
        <v>500</v>
      </c>
      <c r="K1789" s="14" t="s">
        <v>410</v>
      </c>
      <c r="L1789" s="14" t="s">
        <v>411</v>
      </c>
      <c r="M1789" s="14" t="s">
        <v>412</v>
      </c>
      <c r="N1789" s="14" t="s">
        <v>413</v>
      </c>
      <c r="P1789" s="14" t="s">
        <v>39</v>
      </c>
      <c r="Q1789" s="14" t="s">
        <v>25</v>
      </c>
      <c r="R1789" s="14" t="s">
        <v>410</v>
      </c>
    </row>
    <row r="1790" spans="1:18" s="14" customFormat="1" x14ac:dyDescent="0.25">
      <c r="A1790" s="14" t="str">
        <f>"30006"</f>
        <v>30006</v>
      </c>
      <c r="B1790" s="14" t="str">
        <f>"06040"</f>
        <v>06040</v>
      </c>
      <c r="C1790" s="14" t="str">
        <f>"1700"</f>
        <v>1700</v>
      </c>
      <c r="D1790" s="14" t="str">
        <f>"06040D"</f>
        <v>06040D</v>
      </c>
      <c r="E1790" s="14" t="s">
        <v>948</v>
      </c>
      <c r="F1790" s="14" t="s">
        <v>421</v>
      </c>
      <c r="G1790" s="14" t="str">
        <f>""</f>
        <v/>
      </c>
      <c r="H1790" s="14" t="str">
        <f>" 20"</f>
        <v xml:space="preserve"> 20</v>
      </c>
      <c r="I1790" s="14">
        <v>500.01</v>
      </c>
      <c r="J1790" s="14">
        <v>9999999.9900000002</v>
      </c>
      <c r="K1790" s="14" t="s">
        <v>414</v>
      </c>
      <c r="L1790" s="14" t="s">
        <v>411</v>
      </c>
      <c r="M1790" s="14" t="s">
        <v>412</v>
      </c>
      <c r="P1790" s="14" t="s">
        <v>39</v>
      </c>
      <c r="Q1790" s="14" t="s">
        <v>25</v>
      </c>
      <c r="R1790" s="14" t="s">
        <v>410</v>
      </c>
    </row>
    <row r="1791" spans="1:18" s="14" customFormat="1" x14ac:dyDescent="0.25">
      <c r="A1791" s="14" t="str">
        <f>"30006"</f>
        <v>30006</v>
      </c>
      <c r="B1791" s="14" t="str">
        <f>"06050"</f>
        <v>06050</v>
      </c>
      <c r="C1791" s="14" t="str">
        <f>"1700"</f>
        <v>1700</v>
      </c>
      <c r="D1791" s="14" t="str">
        <f>"06050D"</f>
        <v>06050D</v>
      </c>
      <c r="E1791" s="14" t="s">
        <v>948</v>
      </c>
      <c r="F1791" s="14" t="s">
        <v>422</v>
      </c>
      <c r="G1791" s="14" t="str">
        <f>""</f>
        <v/>
      </c>
      <c r="H1791" s="14" t="str">
        <f>" 10"</f>
        <v xml:space="preserve"> 10</v>
      </c>
      <c r="I1791" s="14">
        <v>0.01</v>
      </c>
      <c r="J1791" s="14">
        <v>500</v>
      </c>
      <c r="K1791" s="14" t="s">
        <v>410</v>
      </c>
      <c r="L1791" s="14" t="s">
        <v>411</v>
      </c>
      <c r="M1791" s="14" t="s">
        <v>412</v>
      </c>
      <c r="N1791" s="14" t="s">
        <v>413</v>
      </c>
      <c r="P1791" s="14" t="s">
        <v>39</v>
      </c>
      <c r="Q1791" s="14" t="s">
        <v>25</v>
      </c>
      <c r="R1791" s="14" t="s">
        <v>410</v>
      </c>
    </row>
    <row r="1792" spans="1:18" s="14" customFormat="1" x14ac:dyDescent="0.25">
      <c r="A1792" s="14" t="str">
        <f>"30006"</f>
        <v>30006</v>
      </c>
      <c r="B1792" s="14" t="str">
        <f>"06050"</f>
        <v>06050</v>
      </c>
      <c r="C1792" s="14" t="str">
        <f>"1700"</f>
        <v>1700</v>
      </c>
      <c r="D1792" s="14" t="str">
        <f>"06050D"</f>
        <v>06050D</v>
      </c>
      <c r="E1792" s="14" t="s">
        <v>948</v>
      </c>
      <c r="F1792" s="14" t="s">
        <v>422</v>
      </c>
      <c r="G1792" s="14" t="str">
        <f>""</f>
        <v/>
      </c>
      <c r="H1792" s="14" t="str">
        <f>" 20"</f>
        <v xml:space="preserve"> 20</v>
      </c>
      <c r="I1792" s="14">
        <v>500.01</v>
      </c>
      <c r="J1792" s="14">
        <v>9999999.9900000002</v>
      </c>
      <c r="K1792" s="14" t="s">
        <v>414</v>
      </c>
      <c r="L1792" s="14" t="s">
        <v>411</v>
      </c>
      <c r="M1792" s="14" t="s">
        <v>412</v>
      </c>
      <c r="P1792" s="14" t="s">
        <v>39</v>
      </c>
      <c r="Q1792" s="14" t="s">
        <v>25</v>
      </c>
      <c r="R1792" s="14" t="s">
        <v>410</v>
      </c>
    </row>
    <row r="1793" spans="1:18" s="14" customFormat="1" x14ac:dyDescent="0.25">
      <c r="A1793" s="14" t="str">
        <f>"30006"</f>
        <v>30006</v>
      </c>
      <c r="B1793" s="14" t="str">
        <f>"06060"</f>
        <v>06060</v>
      </c>
      <c r="C1793" s="14" t="str">
        <f>"1700"</f>
        <v>1700</v>
      </c>
      <c r="D1793" s="14" t="str">
        <f>"06060D"</f>
        <v>06060D</v>
      </c>
      <c r="E1793" s="14" t="s">
        <v>948</v>
      </c>
      <c r="F1793" s="14" t="s">
        <v>423</v>
      </c>
      <c r="G1793" s="14" t="str">
        <f>""</f>
        <v/>
      </c>
      <c r="H1793" s="14" t="str">
        <f>" 10"</f>
        <v xml:space="preserve"> 10</v>
      </c>
      <c r="I1793" s="14">
        <v>0.01</v>
      </c>
      <c r="J1793" s="14">
        <v>500</v>
      </c>
      <c r="K1793" s="14" t="s">
        <v>410</v>
      </c>
      <c r="L1793" s="14" t="s">
        <v>411</v>
      </c>
      <c r="M1793" s="14" t="s">
        <v>412</v>
      </c>
      <c r="N1793" s="14" t="s">
        <v>413</v>
      </c>
      <c r="P1793" s="14" t="s">
        <v>39</v>
      </c>
      <c r="Q1793" s="14" t="s">
        <v>25</v>
      </c>
      <c r="R1793" s="14" t="s">
        <v>410</v>
      </c>
    </row>
    <row r="1794" spans="1:18" s="14" customFormat="1" x14ac:dyDescent="0.25">
      <c r="A1794" s="14" t="str">
        <f>"30006"</f>
        <v>30006</v>
      </c>
      <c r="B1794" s="14" t="str">
        <f>"06060"</f>
        <v>06060</v>
      </c>
      <c r="C1794" s="14" t="str">
        <f>"1700"</f>
        <v>1700</v>
      </c>
      <c r="D1794" s="14" t="str">
        <f>"06060D"</f>
        <v>06060D</v>
      </c>
      <c r="E1794" s="14" t="s">
        <v>948</v>
      </c>
      <c r="F1794" s="14" t="s">
        <v>423</v>
      </c>
      <c r="G1794" s="14" t="str">
        <f>""</f>
        <v/>
      </c>
      <c r="H1794" s="14" t="str">
        <f>" 20"</f>
        <v xml:space="preserve"> 20</v>
      </c>
      <c r="I1794" s="14">
        <v>500.01</v>
      </c>
      <c r="J1794" s="14">
        <v>9999999.9900000002</v>
      </c>
      <c r="K1794" s="14" t="s">
        <v>414</v>
      </c>
      <c r="L1794" s="14" t="s">
        <v>411</v>
      </c>
      <c r="M1794" s="14" t="s">
        <v>412</v>
      </c>
      <c r="P1794" s="14" t="s">
        <v>39</v>
      </c>
      <c r="Q1794" s="14" t="s">
        <v>25</v>
      </c>
      <c r="R1794" s="14" t="s">
        <v>410</v>
      </c>
    </row>
    <row r="1795" spans="1:18" s="14" customFormat="1" x14ac:dyDescent="0.25">
      <c r="A1795" s="14" t="str">
        <f>"30006"</f>
        <v>30006</v>
      </c>
      <c r="B1795" s="14" t="str">
        <f>"06070"</f>
        <v>06070</v>
      </c>
      <c r="C1795" s="14" t="str">
        <f>"1700"</f>
        <v>1700</v>
      </c>
      <c r="D1795" s="14" t="str">
        <f>"06070D"</f>
        <v>06070D</v>
      </c>
      <c r="E1795" s="14" t="s">
        <v>948</v>
      </c>
      <c r="F1795" s="14" t="s">
        <v>424</v>
      </c>
      <c r="G1795" s="14" t="str">
        <f>""</f>
        <v/>
      </c>
      <c r="H1795" s="14" t="str">
        <f>" 10"</f>
        <v xml:space="preserve"> 10</v>
      </c>
      <c r="I1795" s="14">
        <v>0.01</v>
      </c>
      <c r="J1795" s="14">
        <v>500</v>
      </c>
      <c r="K1795" s="14" t="s">
        <v>410</v>
      </c>
      <c r="L1795" s="14" t="s">
        <v>411</v>
      </c>
      <c r="M1795" s="14" t="s">
        <v>412</v>
      </c>
      <c r="N1795" s="14" t="s">
        <v>413</v>
      </c>
      <c r="P1795" s="14" t="s">
        <v>39</v>
      </c>
      <c r="Q1795" s="14" t="s">
        <v>25</v>
      </c>
      <c r="R1795" s="14" t="s">
        <v>410</v>
      </c>
    </row>
    <row r="1796" spans="1:18" s="14" customFormat="1" x14ac:dyDescent="0.25">
      <c r="A1796" s="14" t="str">
        <f>"30006"</f>
        <v>30006</v>
      </c>
      <c r="B1796" s="14" t="str">
        <f>"06070"</f>
        <v>06070</v>
      </c>
      <c r="C1796" s="14" t="str">
        <f>"1700"</f>
        <v>1700</v>
      </c>
      <c r="D1796" s="14" t="str">
        <f>"06070D"</f>
        <v>06070D</v>
      </c>
      <c r="E1796" s="14" t="s">
        <v>948</v>
      </c>
      <c r="F1796" s="14" t="s">
        <v>424</v>
      </c>
      <c r="G1796" s="14" t="str">
        <f>""</f>
        <v/>
      </c>
      <c r="H1796" s="14" t="str">
        <f>" 20"</f>
        <v xml:space="preserve"> 20</v>
      </c>
      <c r="I1796" s="14">
        <v>500.01</v>
      </c>
      <c r="J1796" s="14">
        <v>9999999.9900000002</v>
      </c>
      <c r="K1796" s="14" t="s">
        <v>414</v>
      </c>
      <c r="L1796" s="14" t="s">
        <v>411</v>
      </c>
      <c r="M1796" s="14" t="s">
        <v>412</v>
      </c>
      <c r="P1796" s="14" t="s">
        <v>39</v>
      </c>
      <c r="Q1796" s="14" t="s">
        <v>25</v>
      </c>
      <c r="R1796" s="14" t="s">
        <v>410</v>
      </c>
    </row>
    <row r="1797" spans="1:18" s="14" customFormat="1" x14ac:dyDescent="0.25">
      <c r="A1797" s="14" t="str">
        <f>"30006"</f>
        <v>30006</v>
      </c>
      <c r="B1797" s="14" t="str">
        <f>"06080"</f>
        <v>06080</v>
      </c>
      <c r="C1797" s="14" t="str">
        <f>"1700"</f>
        <v>1700</v>
      </c>
      <c r="D1797" s="14" t="str">
        <f>"06080D"</f>
        <v>06080D</v>
      </c>
      <c r="E1797" s="14" t="s">
        <v>948</v>
      </c>
      <c r="F1797" s="14" t="s">
        <v>425</v>
      </c>
      <c r="G1797" s="14" t="str">
        <f>""</f>
        <v/>
      </c>
      <c r="H1797" s="14" t="str">
        <f>" 10"</f>
        <v xml:space="preserve"> 10</v>
      </c>
      <c r="I1797" s="14">
        <v>0.01</v>
      </c>
      <c r="J1797" s="14">
        <v>500</v>
      </c>
      <c r="K1797" s="14" t="s">
        <v>410</v>
      </c>
      <c r="L1797" s="14" t="s">
        <v>411</v>
      </c>
      <c r="M1797" s="14" t="s">
        <v>412</v>
      </c>
      <c r="N1797" s="14" t="s">
        <v>413</v>
      </c>
      <c r="P1797" s="14" t="s">
        <v>39</v>
      </c>
      <c r="Q1797" s="14" t="s">
        <v>25</v>
      </c>
      <c r="R1797" s="14" t="s">
        <v>410</v>
      </c>
    </row>
    <row r="1798" spans="1:18" s="14" customFormat="1" x14ac:dyDescent="0.25">
      <c r="A1798" s="14" t="str">
        <f>"30006"</f>
        <v>30006</v>
      </c>
      <c r="B1798" s="14" t="str">
        <f>"06080"</f>
        <v>06080</v>
      </c>
      <c r="C1798" s="14" t="str">
        <f>"1700"</f>
        <v>1700</v>
      </c>
      <c r="D1798" s="14" t="str">
        <f>"06080D"</f>
        <v>06080D</v>
      </c>
      <c r="E1798" s="14" t="s">
        <v>948</v>
      </c>
      <c r="F1798" s="14" t="s">
        <v>425</v>
      </c>
      <c r="G1798" s="14" t="str">
        <f>""</f>
        <v/>
      </c>
      <c r="H1798" s="14" t="str">
        <f>" 20"</f>
        <v xml:space="preserve"> 20</v>
      </c>
      <c r="I1798" s="14">
        <v>500.01</v>
      </c>
      <c r="J1798" s="14">
        <v>9999999.9900000002</v>
      </c>
      <c r="K1798" s="14" t="s">
        <v>414</v>
      </c>
      <c r="L1798" s="14" t="s">
        <v>411</v>
      </c>
      <c r="M1798" s="14" t="s">
        <v>412</v>
      </c>
      <c r="P1798" s="14" t="s">
        <v>39</v>
      </c>
      <c r="Q1798" s="14" t="s">
        <v>25</v>
      </c>
      <c r="R1798" s="14" t="s">
        <v>410</v>
      </c>
    </row>
    <row r="1799" spans="1:18" s="14" customFormat="1" x14ac:dyDescent="0.25">
      <c r="A1799" s="14" t="str">
        <f>"30006"</f>
        <v>30006</v>
      </c>
      <c r="B1799" s="14" t="str">
        <f>"06090"</f>
        <v>06090</v>
      </c>
      <c r="C1799" s="14" t="str">
        <f>"1700"</f>
        <v>1700</v>
      </c>
      <c r="D1799" s="14" t="str">
        <f>"06090D"</f>
        <v>06090D</v>
      </c>
      <c r="E1799" s="14" t="s">
        <v>948</v>
      </c>
      <c r="F1799" s="14" t="s">
        <v>426</v>
      </c>
      <c r="G1799" s="14" t="str">
        <f>""</f>
        <v/>
      </c>
      <c r="H1799" s="14" t="str">
        <f>" 10"</f>
        <v xml:space="preserve"> 10</v>
      </c>
      <c r="I1799" s="14">
        <v>0.01</v>
      </c>
      <c r="J1799" s="14">
        <v>500</v>
      </c>
      <c r="K1799" s="14" t="s">
        <v>410</v>
      </c>
      <c r="L1799" s="14" t="s">
        <v>411</v>
      </c>
      <c r="M1799" s="14" t="s">
        <v>412</v>
      </c>
      <c r="N1799" s="14" t="s">
        <v>413</v>
      </c>
      <c r="P1799" s="14" t="s">
        <v>39</v>
      </c>
      <c r="Q1799" s="14" t="s">
        <v>25</v>
      </c>
      <c r="R1799" s="14" t="s">
        <v>410</v>
      </c>
    </row>
    <row r="1800" spans="1:18" s="14" customFormat="1" x14ac:dyDescent="0.25">
      <c r="A1800" s="14" t="str">
        <f>"30006"</f>
        <v>30006</v>
      </c>
      <c r="B1800" s="14" t="str">
        <f>"06090"</f>
        <v>06090</v>
      </c>
      <c r="C1800" s="14" t="str">
        <f>"1700"</f>
        <v>1700</v>
      </c>
      <c r="D1800" s="14" t="str">
        <f>"06090D"</f>
        <v>06090D</v>
      </c>
      <c r="E1800" s="14" t="s">
        <v>948</v>
      </c>
      <c r="F1800" s="14" t="s">
        <v>426</v>
      </c>
      <c r="G1800" s="14" t="str">
        <f>""</f>
        <v/>
      </c>
      <c r="H1800" s="14" t="str">
        <f>" 20"</f>
        <v xml:space="preserve"> 20</v>
      </c>
      <c r="I1800" s="14">
        <v>500.01</v>
      </c>
      <c r="J1800" s="14">
        <v>9999999.9900000002</v>
      </c>
      <c r="K1800" s="14" t="s">
        <v>414</v>
      </c>
      <c r="L1800" s="14" t="s">
        <v>411</v>
      </c>
      <c r="M1800" s="14" t="s">
        <v>412</v>
      </c>
      <c r="P1800" s="14" t="s">
        <v>39</v>
      </c>
      <c r="Q1800" s="14" t="s">
        <v>25</v>
      </c>
      <c r="R1800" s="14" t="s">
        <v>410</v>
      </c>
    </row>
    <row r="1801" spans="1:18" s="14" customFormat="1" x14ac:dyDescent="0.25">
      <c r="A1801" s="14" t="str">
        <f>"30006"</f>
        <v>30006</v>
      </c>
      <c r="B1801" s="14" t="str">
        <f>"06100"</f>
        <v>06100</v>
      </c>
      <c r="C1801" s="14" t="str">
        <f>"1700"</f>
        <v>1700</v>
      </c>
      <c r="D1801" s="14" t="str">
        <f>"06100D"</f>
        <v>06100D</v>
      </c>
      <c r="E1801" s="14" t="s">
        <v>948</v>
      </c>
      <c r="F1801" s="14" t="s">
        <v>427</v>
      </c>
      <c r="G1801" s="14" t="str">
        <f>""</f>
        <v/>
      </c>
      <c r="H1801" s="14" t="str">
        <f>" 10"</f>
        <v xml:space="preserve"> 10</v>
      </c>
      <c r="I1801" s="14">
        <v>0.01</v>
      </c>
      <c r="J1801" s="14">
        <v>500</v>
      </c>
      <c r="K1801" s="14" t="s">
        <v>410</v>
      </c>
      <c r="L1801" s="14" t="s">
        <v>411</v>
      </c>
      <c r="M1801" s="14" t="s">
        <v>412</v>
      </c>
      <c r="N1801" s="14" t="s">
        <v>413</v>
      </c>
      <c r="P1801" s="14" t="s">
        <v>39</v>
      </c>
      <c r="Q1801" s="14" t="s">
        <v>25</v>
      </c>
      <c r="R1801" s="14" t="s">
        <v>410</v>
      </c>
    </row>
    <row r="1802" spans="1:18" s="14" customFormat="1" x14ac:dyDescent="0.25">
      <c r="A1802" s="14" t="str">
        <f>"30006"</f>
        <v>30006</v>
      </c>
      <c r="B1802" s="14" t="str">
        <f>"06100"</f>
        <v>06100</v>
      </c>
      <c r="C1802" s="14" t="str">
        <f>"1700"</f>
        <v>1700</v>
      </c>
      <c r="D1802" s="14" t="str">
        <f>"06100D"</f>
        <v>06100D</v>
      </c>
      <c r="E1802" s="14" t="s">
        <v>948</v>
      </c>
      <c r="F1802" s="14" t="s">
        <v>427</v>
      </c>
      <c r="G1802" s="14" t="str">
        <f>""</f>
        <v/>
      </c>
      <c r="H1802" s="14" t="str">
        <f>" 20"</f>
        <v xml:space="preserve"> 20</v>
      </c>
      <c r="I1802" s="14">
        <v>500.01</v>
      </c>
      <c r="J1802" s="14">
        <v>9999999.9900000002</v>
      </c>
      <c r="K1802" s="14" t="s">
        <v>414</v>
      </c>
      <c r="L1802" s="14" t="s">
        <v>411</v>
      </c>
      <c r="M1802" s="14" t="s">
        <v>412</v>
      </c>
      <c r="P1802" s="14" t="s">
        <v>39</v>
      </c>
      <c r="Q1802" s="14" t="s">
        <v>25</v>
      </c>
      <c r="R1802" s="14" t="s">
        <v>410</v>
      </c>
    </row>
    <row r="1803" spans="1:18" s="14" customFormat="1" x14ac:dyDescent="0.25">
      <c r="A1803" s="14" t="str">
        <f>"30006"</f>
        <v>30006</v>
      </c>
      <c r="B1803" s="14" t="str">
        <f>"06110"</f>
        <v>06110</v>
      </c>
      <c r="C1803" s="14" t="str">
        <f>"1700"</f>
        <v>1700</v>
      </c>
      <c r="D1803" s="14" t="str">
        <f>"06110D"</f>
        <v>06110D</v>
      </c>
      <c r="E1803" s="14" t="s">
        <v>948</v>
      </c>
      <c r="F1803" s="14" t="s">
        <v>428</v>
      </c>
      <c r="G1803" s="14" t="str">
        <f>""</f>
        <v/>
      </c>
      <c r="H1803" s="14" t="str">
        <f>" 10"</f>
        <v xml:space="preserve"> 10</v>
      </c>
      <c r="I1803" s="14">
        <v>0.01</v>
      </c>
      <c r="J1803" s="14">
        <v>500</v>
      </c>
      <c r="K1803" s="14" t="s">
        <v>410</v>
      </c>
      <c r="L1803" s="14" t="s">
        <v>411</v>
      </c>
      <c r="M1803" s="14" t="s">
        <v>412</v>
      </c>
      <c r="N1803" s="14" t="s">
        <v>413</v>
      </c>
      <c r="P1803" s="14" t="s">
        <v>39</v>
      </c>
      <c r="Q1803" s="14" t="s">
        <v>25</v>
      </c>
      <c r="R1803" s="14" t="s">
        <v>410</v>
      </c>
    </row>
    <row r="1804" spans="1:18" s="14" customFormat="1" x14ac:dyDescent="0.25">
      <c r="A1804" s="14" t="str">
        <f>"30006"</f>
        <v>30006</v>
      </c>
      <c r="B1804" s="14" t="str">
        <f>"06110"</f>
        <v>06110</v>
      </c>
      <c r="C1804" s="14" t="str">
        <f>"1700"</f>
        <v>1700</v>
      </c>
      <c r="D1804" s="14" t="str">
        <f>"06110D"</f>
        <v>06110D</v>
      </c>
      <c r="E1804" s="14" t="s">
        <v>948</v>
      </c>
      <c r="F1804" s="14" t="s">
        <v>428</v>
      </c>
      <c r="G1804" s="14" t="str">
        <f>""</f>
        <v/>
      </c>
      <c r="H1804" s="14" t="str">
        <f>" 20"</f>
        <v xml:space="preserve"> 20</v>
      </c>
      <c r="I1804" s="14">
        <v>500.01</v>
      </c>
      <c r="J1804" s="14">
        <v>9999999.9900000002</v>
      </c>
      <c r="K1804" s="14" t="s">
        <v>414</v>
      </c>
      <c r="L1804" s="14" t="s">
        <v>411</v>
      </c>
      <c r="M1804" s="14" t="s">
        <v>412</v>
      </c>
      <c r="P1804" s="14" t="s">
        <v>39</v>
      </c>
      <c r="Q1804" s="14" t="s">
        <v>25</v>
      </c>
      <c r="R1804" s="14" t="s">
        <v>410</v>
      </c>
    </row>
    <row r="1805" spans="1:18" s="14" customFormat="1" x14ac:dyDescent="0.25">
      <c r="A1805" s="14" t="str">
        <f>"30006"</f>
        <v>30006</v>
      </c>
      <c r="B1805" s="14" t="str">
        <f>"06120"</f>
        <v>06120</v>
      </c>
      <c r="C1805" s="14" t="str">
        <f>"1700"</f>
        <v>1700</v>
      </c>
      <c r="D1805" s="14" t="str">
        <f>"06120D"</f>
        <v>06120D</v>
      </c>
      <c r="E1805" s="14" t="s">
        <v>948</v>
      </c>
      <c r="F1805" s="14" t="s">
        <v>429</v>
      </c>
      <c r="G1805" s="14" t="str">
        <f>""</f>
        <v/>
      </c>
      <c r="H1805" s="14" t="str">
        <f>" 10"</f>
        <v xml:space="preserve"> 10</v>
      </c>
      <c r="I1805" s="14">
        <v>0.01</v>
      </c>
      <c r="J1805" s="14">
        <v>500</v>
      </c>
      <c r="K1805" s="14" t="s">
        <v>410</v>
      </c>
      <c r="L1805" s="14" t="s">
        <v>411</v>
      </c>
      <c r="M1805" s="14" t="s">
        <v>412</v>
      </c>
      <c r="N1805" s="14" t="s">
        <v>413</v>
      </c>
      <c r="P1805" s="14" t="s">
        <v>39</v>
      </c>
      <c r="Q1805" s="14" t="s">
        <v>25</v>
      </c>
      <c r="R1805" s="14" t="s">
        <v>410</v>
      </c>
    </row>
    <row r="1806" spans="1:18" s="14" customFormat="1" x14ac:dyDescent="0.25">
      <c r="A1806" s="14" t="str">
        <f>"30006"</f>
        <v>30006</v>
      </c>
      <c r="B1806" s="14" t="str">
        <f>"06120"</f>
        <v>06120</v>
      </c>
      <c r="C1806" s="14" t="str">
        <f>"1700"</f>
        <v>1700</v>
      </c>
      <c r="D1806" s="14" t="str">
        <f>"06120D"</f>
        <v>06120D</v>
      </c>
      <c r="E1806" s="14" t="s">
        <v>948</v>
      </c>
      <c r="F1806" s="14" t="s">
        <v>429</v>
      </c>
      <c r="G1806" s="14" t="str">
        <f>""</f>
        <v/>
      </c>
      <c r="H1806" s="14" t="str">
        <f>" 20"</f>
        <v xml:space="preserve"> 20</v>
      </c>
      <c r="I1806" s="14">
        <v>500.01</v>
      </c>
      <c r="J1806" s="14">
        <v>9999999.9900000002</v>
      </c>
      <c r="K1806" s="14" t="s">
        <v>414</v>
      </c>
      <c r="L1806" s="14" t="s">
        <v>411</v>
      </c>
      <c r="M1806" s="14" t="s">
        <v>412</v>
      </c>
      <c r="P1806" s="14" t="s">
        <v>39</v>
      </c>
      <c r="Q1806" s="14" t="s">
        <v>25</v>
      </c>
      <c r="R1806" s="14" t="s">
        <v>410</v>
      </c>
    </row>
    <row r="1807" spans="1:18" s="14" customFormat="1" x14ac:dyDescent="0.25">
      <c r="A1807" s="14" t="str">
        <f>"30006"</f>
        <v>30006</v>
      </c>
      <c r="B1807" s="14" t="str">
        <f>"06130"</f>
        <v>06130</v>
      </c>
      <c r="C1807" s="14" t="str">
        <f>"1700"</f>
        <v>1700</v>
      </c>
      <c r="D1807" s="14" t="str">
        <f>"06130D"</f>
        <v>06130D</v>
      </c>
      <c r="E1807" s="14" t="s">
        <v>948</v>
      </c>
      <c r="F1807" s="14" t="s">
        <v>430</v>
      </c>
      <c r="G1807" s="14" t="str">
        <f>""</f>
        <v/>
      </c>
      <c r="H1807" s="14" t="str">
        <f>" 10"</f>
        <v xml:space="preserve"> 10</v>
      </c>
      <c r="I1807" s="14">
        <v>0.01</v>
      </c>
      <c r="J1807" s="14">
        <v>500</v>
      </c>
      <c r="K1807" s="14" t="s">
        <v>410</v>
      </c>
      <c r="L1807" s="14" t="s">
        <v>411</v>
      </c>
      <c r="M1807" s="14" t="s">
        <v>412</v>
      </c>
      <c r="N1807" s="14" t="s">
        <v>413</v>
      </c>
      <c r="P1807" s="14" t="s">
        <v>39</v>
      </c>
      <c r="Q1807" s="14" t="s">
        <v>25</v>
      </c>
      <c r="R1807" s="14" t="s">
        <v>410</v>
      </c>
    </row>
    <row r="1808" spans="1:18" s="14" customFormat="1" x14ac:dyDescent="0.25">
      <c r="A1808" s="14" t="str">
        <f>"30006"</f>
        <v>30006</v>
      </c>
      <c r="B1808" s="14" t="str">
        <f>"06130"</f>
        <v>06130</v>
      </c>
      <c r="C1808" s="14" t="str">
        <f>"1700"</f>
        <v>1700</v>
      </c>
      <c r="D1808" s="14" t="str">
        <f>"06130D"</f>
        <v>06130D</v>
      </c>
      <c r="E1808" s="14" t="s">
        <v>948</v>
      </c>
      <c r="F1808" s="14" t="s">
        <v>430</v>
      </c>
      <c r="G1808" s="14" t="str">
        <f>""</f>
        <v/>
      </c>
      <c r="H1808" s="14" t="str">
        <f>" 20"</f>
        <v xml:space="preserve"> 20</v>
      </c>
      <c r="I1808" s="14">
        <v>500.01</v>
      </c>
      <c r="J1808" s="14">
        <v>9999999.9900000002</v>
      </c>
      <c r="K1808" s="14" t="s">
        <v>414</v>
      </c>
      <c r="L1808" s="14" t="s">
        <v>411</v>
      </c>
      <c r="M1808" s="14" t="s">
        <v>412</v>
      </c>
      <c r="P1808" s="14" t="s">
        <v>39</v>
      </c>
      <c r="Q1808" s="14" t="s">
        <v>25</v>
      </c>
      <c r="R1808" s="14" t="s">
        <v>410</v>
      </c>
    </row>
    <row r="1809" spans="1:18" s="14" customFormat="1" x14ac:dyDescent="0.25">
      <c r="A1809" s="14" t="str">
        <f>"30006"</f>
        <v>30006</v>
      </c>
      <c r="B1809" s="14" t="str">
        <f>"06140"</f>
        <v>06140</v>
      </c>
      <c r="C1809" s="14" t="str">
        <f>"1700"</f>
        <v>1700</v>
      </c>
      <c r="D1809" s="14" t="str">
        <f>"06140D"</f>
        <v>06140D</v>
      </c>
      <c r="E1809" s="14" t="s">
        <v>948</v>
      </c>
      <c r="F1809" s="14" t="s">
        <v>431</v>
      </c>
      <c r="G1809" s="14" t="str">
        <f>""</f>
        <v/>
      </c>
      <c r="H1809" s="14" t="str">
        <f>" 10"</f>
        <v xml:space="preserve"> 10</v>
      </c>
      <c r="I1809" s="14">
        <v>0.01</v>
      </c>
      <c r="J1809" s="14">
        <v>500</v>
      </c>
      <c r="K1809" s="14" t="s">
        <v>410</v>
      </c>
      <c r="L1809" s="14" t="s">
        <v>411</v>
      </c>
      <c r="M1809" s="14" t="s">
        <v>412</v>
      </c>
      <c r="N1809" s="14" t="s">
        <v>413</v>
      </c>
      <c r="P1809" s="14" t="s">
        <v>39</v>
      </c>
      <c r="Q1809" s="14" t="s">
        <v>25</v>
      </c>
      <c r="R1809" s="14" t="s">
        <v>410</v>
      </c>
    </row>
    <row r="1810" spans="1:18" s="14" customFormat="1" x14ac:dyDescent="0.25">
      <c r="A1810" s="14" t="str">
        <f>"30006"</f>
        <v>30006</v>
      </c>
      <c r="B1810" s="14" t="str">
        <f>"06140"</f>
        <v>06140</v>
      </c>
      <c r="C1810" s="14" t="str">
        <f>"1700"</f>
        <v>1700</v>
      </c>
      <c r="D1810" s="14" t="str">
        <f>"06140D"</f>
        <v>06140D</v>
      </c>
      <c r="E1810" s="14" t="s">
        <v>948</v>
      </c>
      <c r="F1810" s="14" t="s">
        <v>431</v>
      </c>
      <c r="G1810" s="14" t="str">
        <f>""</f>
        <v/>
      </c>
      <c r="H1810" s="14" t="str">
        <f>" 20"</f>
        <v xml:space="preserve"> 20</v>
      </c>
      <c r="I1810" s="14">
        <v>500.01</v>
      </c>
      <c r="J1810" s="14">
        <v>9999999.9900000002</v>
      </c>
      <c r="K1810" s="14" t="s">
        <v>414</v>
      </c>
      <c r="L1810" s="14" t="s">
        <v>411</v>
      </c>
      <c r="M1810" s="14" t="s">
        <v>412</v>
      </c>
      <c r="P1810" s="14" t="s">
        <v>39</v>
      </c>
      <c r="Q1810" s="14" t="s">
        <v>25</v>
      </c>
      <c r="R1810" s="14" t="s">
        <v>410</v>
      </c>
    </row>
    <row r="1811" spans="1:18" s="14" customFormat="1" x14ac:dyDescent="0.25">
      <c r="A1811" s="14" t="str">
        <f>"30006"</f>
        <v>30006</v>
      </c>
      <c r="B1811" s="14" t="str">
        <f>"06150"</f>
        <v>06150</v>
      </c>
      <c r="C1811" s="14" t="str">
        <f>"1700"</f>
        <v>1700</v>
      </c>
      <c r="D1811" s="14" t="str">
        <f>"06150D"</f>
        <v>06150D</v>
      </c>
      <c r="E1811" s="14" t="s">
        <v>948</v>
      </c>
      <c r="F1811" s="14" t="s">
        <v>432</v>
      </c>
      <c r="G1811" s="14" t="str">
        <f>""</f>
        <v/>
      </c>
      <c r="H1811" s="14" t="str">
        <f>" 10"</f>
        <v xml:space="preserve"> 10</v>
      </c>
      <c r="I1811" s="14">
        <v>0.01</v>
      </c>
      <c r="J1811" s="14">
        <v>500</v>
      </c>
      <c r="K1811" s="14" t="s">
        <v>410</v>
      </c>
      <c r="L1811" s="14" t="s">
        <v>411</v>
      </c>
      <c r="M1811" s="14" t="s">
        <v>412</v>
      </c>
      <c r="N1811" s="14" t="s">
        <v>413</v>
      </c>
      <c r="P1811" s="14" t="s">
        <v>39</v>
      </c>
      <c r="Q1811" s="14" t="s">
        <v>25</v>
      </c>
      <c r="R1811" s="14" t="s">
        <v>410</v>
      </c>
    </row>
    <row r="1812" spans="1:18" s="14" customFormat="1" x14ac:dyDescent="0.25">
      <c r="A1812" s="14" t="str">
        <f>"30006"</f>
        <v>30006</v>
      </c>
      <c r="B1812" s="14" t="str">
        <f>"06150"</f>
        <v>06150</v>
      </c>
      <c r="C1812" s="14" t="str">
        <f>"1700"</f>
        <v>1700</v>
      </c>
      <c r="D1812" s="14" t="str">
        <f>"06150D"</f>
        <v>06150D</v>
      </c>
      <c r="E1812" s="14" t="s">
        <v>948</v>
      </c>
      <c r="F1812" s="14" t="s">
        <v>432</v>
      </c>
      <c r="G1812" s="14" t="str">
        <f>""</f>
        <v/>
      </c>
      <c r="H1812" s="14" t="str">
        <f>" 20"</f>
        <v xml:space="preserve"> 20</v>
      </c>
      <c r="I1812" s="14">
        <v>500.01</v>
      </c>
      <c r="J1812" s="14">
        <v>9999999.9900000002</v>
      </c>
      <c r="K1812" s="14" t="s">
        <v>414</v>
      </c>
      <c r="L1812" s="14" t="s">
        <v>411</v>
      </c>
      <c r="M1812" s="14" t="s">
        <v>412</v>
      </c>
      <c r="P1812" s="14" t="s">
        <v>39</v>
      </c>
      <c r="Q1812" s="14" t="s">
        <v>25</v>
      </c>
      <c r="R1812" s="14" t="s">
        <v>410</v>
      </c>
    </row>
    <row r="1813" spans="1:18" s="14" customFormat="1" x14ac:dyDescent="0.25">
      <c r="A1813" s="14" t="str">
        <f>"30006"</f>
        <v>30006</v>
      </c>
      <c r="B1813" s="14" t="str">
        <f>"06151"</f>
        <v>06151</v>
      </c>
      <c r="C1813" s="14" t="str">
        <f>"1700"</f>
        <v>1700</v>
      </c>
      <c r="D1813" s="14" t="str">
        <f>"06151D"</f>
        <v>06151D</v>
      </c>
      <c r="E1813" s="14" t="s">
        <v>948</v>
      </c>
      <c r="F1813" s="14" t="s">
        <v>433</v>
      </c>
      <c r="G1813" s="14" t="str">
        <f>""</f>
        <v/>
      </c>
      <c r="H1813" s="14" t="str">
        <f>" 10"</f>
        <v xml:space="preserve"> 10</v>
      </c>
      <c r="I1813" s="14">
        <v>0.01</v>
      </c>
      <c r="J1813" s="14">
        <v>500</v>
      </c>
      <c r="K1813" s="14" t="s">
        <v>410</v>
      </c>
      <c r="L1813" s="14" t="s">
        <v>411</v>
      </c>
      <c r="M1813" s="14" t="s">
        <v>412</v>
      </c>
      <c r="N1813" s="14" t="s">
        <v>413</v>
      </c>
      <c r="P1813" s="14" t="s">
        <v>39</v>
      </c>
      <c r="Q1813" s="14" t="s">
        <v>25</v>
      </c>
      <c r="R1813" s="14" t="s">
        <v>410</v>
      </c>
    </row>
    <row r="1814" spans="1:18" s="14" customFormat="1" x14ac:dyDescent="0.25">
      <c r="A1814" s="14" t="str">
        <f>"30006"</f>
        <v>30006</v>
      </c>
      <c r="B1814" s="14" t="str">
        <f>"06151"</f>
        <v>06151</v>
      </c>
      <c r="C1814" s="14" t="str">
        <f>"1700"</f>
        <v>1700</v>
      </c>
      <c r="D1814" s="14" t="str">
        <f>"06151D"</f>
        <v>06151D</v>
      </c>
      <c r="E1814" s="14" t="s">
        <v>948</v>
      </c>
      <c r="F1814" s="14" t="s">
        <v>433</v>
      </c>
      <c r="G1814" s="14" t="str">
        <f>""</f>
        <v/>
      </c>
      <c r="H1814" s="14" t="str">
        <f>" 20"</f>
        <v xml:space="preserve"> 20</v>
      </c>
      <c r="I1814" s="14">
        <v>500.01</v>
      </c>
      <c r="J1814" s="14">
        <v>9999999.9900000002</v>
      </c>
      <c r="K1814" s="14" t="s">
        <v>414</v>
      </c>
      <c r="L1814" s="14" t="s">
        <v>411</v>
      </c>
      <c r="M1814" s="14" t="s">
        <v>412</v>
      </c>
      <c r="P1814" s="14" t="s">
        <v>39</v>
      </c>
      <c r="Q1814" s="14" t="s">
        <v>25</v>
      </c>
      <c r="R1814" s="14" t="s">
        <v>410</v>
      </c>
    </row>
    <row r="1815" spans="1:18" s="14" customFormat="1" x14ac:dyDescent="0.25">
      <c r="A1815" s="14" t="str">
        <f>"30006"</f>
        <v>30006</v>
      </c>
      <c r="B1815" s="14" t="str">
        <f>"06152"</f>
        <v>06152</v>
      </c>
      <c r="C1815" s="14" t="str">
        <f>"1700"</f>
        <v>1700</v>
      </c>
      <c r="D1815" s="14" t="str">
        <f>"06152D"</f>
        <v>06152D</v>
      </c>
      <c r="E1815" s="14" t="s">
        <v>948</v>
      </c>
      <c r="F1815" s="14" t="s">
        <v>434</v>
      </c>
      <c r="G1815" s="14" t="str">
        <f>""</f>
        <v/>
      </c>
      <c r="H1815" s="14" t="str">
        <f>" 10"</f>
        <v xml:space="preserve"> 10</v>
      </c>
      <c r="I1815" s="14">
        <v>0.01</v>
      </c>
      <c r="J1815" s="14">
        <v>500</v>
      </c>
      <c r="K1815" s="14" t="s">
        <v>410</v>
      </c>
      <c r="L1815" s="14" t="s">
        <v>411</v>
      </c>
      <c r="M1815" s="14" t="s">
        <v>412</v>
      </c>
      <c r="N1815" s="14" t="s">
        <v>413</v>
      </c>
      <c r="P1815" s="14" t="s">
        <v>39</v>
      </c>
      <c r="Q1815" s="14" t="s">
        <v>25</v>
      </c>
      <c r="R1815" s="14" t="s">
        <v>410</v>
      </c>
    </row>
    <row r="1816" spans="1:18" s="14" customFormat="1" x14ac:dyDescent="0.25">
      <c r="A1816" s="14" t="str">
        <f>"30006"</f>
        <v>30006</v>
      </c>
      <c r="B1816" s="14" t="str">
        <f>"06152"</f>
        <v>06152</v>
      </c>
      <c r="C1816" s="14" t="str">
        <f>"1700"</f>
        <v>1700</v>
      </c>
      <c r="D1816" s="14" t="str">
        <f>"06152D"</f>
        <v>06152D</v>
      </c>
      <c r="E1816" s="14" t="s">
        <v>948</v>
      </c>
      <c r="F1816" s="14" t="s">
        <v>434</v>
      </c>
      <c r="G1816" s="14" t="str">
        <f>""</f>
        <v/>
      </c>
      <c r="H1816" s="14" t="str">
        <f>" 20"</f>
        <v xml:space="preserve"> 20</v>
      </c>
      <c r="I1816" s="14">
        <v>500.01</v>
      </c>
      <c r="J1816" s="14">
        <v>9999999.9900000002</v>
      </c>
      <c r="K1816" s="14" t="s">
        <v>414</v>
      </c>
      <c r="L1816" s="14" t="s">
        <v>411</v>
      </c>
      <c r="M1816" s="14" t="s">
        <v>412</v>
      </c>
      <c r="P1816" s="14" t="s">
        <v>39</v>
      </c>
      <c r="Q1816" s="14" t="s">
        <v>25</v>
      </c>
      <c r="R1816" s="14" t="s">
        <v>410</v>
      </c>
    </row>
    <row r="1817" spans="1:18" s="14" customFormat="1" x14ac:dyDescent="0.25">
      <c r="A1817" s="14" t="str">
        <f>"30010"</f>
        <v>30010</v>
      </c>
      <c r="B1817" s="14" t="str">
        <f>"06000"</f>
        <v>06000</v>
      </c>
      <c r="C1817" s="14" t="str">
        <f>"1700"</f>
        <v>1700</v>
      </c>
      <c r="D1817" s="14" t="str">
        <f>""</f>
        <v/>
      </c>
      <c r="E1817" s="14" t="s">
        <v>949</v>
      </c>
      <c r="F1817" s="14" t="s">
        <v>409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414</v>
      </c>
      <c r="L1817" s="14" t="s">
        <v>411</v>
      </c>
      <c r="M1817" s="14" t="s">
        <v>412</v>
      </c>
      <c r="P1817" s="14" t="s">
        <v>39</v>
      </c>
      <c r="Q1817" s="14" t="s">
        <v>25</v>
      </c>
      <c r="R1817" s="14" t="s">
        <v>410</v>
      </c>
    </row>
    <row r="1818" spans="1:18" s="14" customFormat="1" x14ac:dyDescent="0.25">
      <c r="A1818" s="14" t="str">
        <f>"30015"</f>
        <v>30015</v>
      </c>
      <c r="B1818" s="14" t="str">
        <f>"06000"</f>
        <v>06000</v>
      </c>
      <c r="C1818" s="14" t="str">
        <f>"1800"</f>
        <v>1800</v>
      </c>
      <c r="D1818" s="14" t="str">
        <f>"06000C"</f>
        <v>06000C</v>
      </c>
      <c r="E1818" s="14" t="s">
        <v>950</v>
      </c>
      <c r="F1818" s="14" t="s">
        <v>409</v>
      </c>
      <c r="G1818" s="14" t="str">
        <f>""</f>
        <v/>
      </c>
      <c r="H1818" s="14" t="str">
        <f>" 10"</f>
        <v xml:space="preserve"> 10</v>
      </c>
      <c r="I1818" s="14">
        <v>0.01</v>
      </c>
      <c r="J1818" s="14">
        <v>500</v>
      </c>
      <c r="K1818" s="14" t="s">
        <v>410</v>
      </c>
      <c r="L1818" s="14" t="s">
        <v>411</v>
      </c>
      <c r="M1818" s="14" t="s">
        <v>412</v>
      </c>
      <c r="N1818" s="14" t="s">
        <v>413</v>
      </c>
      <c r="P1818" s="14" t="s">
        <v>39</v>
      </c>
      <c r="Q1818" s="14" t="s">
        <v>25</v>
      </c>
      <c r="R1818" s="14" t="s">
        <v>410</v>
      </c>
    </row>
    <row r="1819" spans="1:18" s="14" customFormat="1" x14ac:dyDescent="0.25">
      <c r="A1819" s="14" t="str">
        <f>"30015"</f>
        <v>30015</v>
      </c>
      <c r="B1819" s="14" t="str">
        <f>"06000"</f>
        <v>06000</v>
      </c>
      <c r="C1819" s="14" t="str">
        <f>"1800"</f>
        <v>1800</v>
      </c>
      <c r="D1819" s="14" t="str">
        <f>"06000C"</f>
        <v>06000C</v>
      </c>
      <c r="E1819" s="14" t="s">
        <v>950</v>
      </c>
      <c r="F1819" s="14" t="s">
        <v>409</v>
      </c>
      <c r="G1819" s="14" t="str">
        <f>""</f>
        <v/>
      </c>
      <c r="H1819" s="14" t="str">
        <f>" 20"</f>
        <v xml:space="preserve"> 20</v>
      </c>
      <c r="I1819" s="14">
        <v>500.01</v>
      </c>
      <c r="J1819" s="14">
        <v>9999999.9900000002</v>
      </c>
      <c r="K1819" s="14" t="s">
        <v>414</v>
      </c>
      <c r="L1819" s="14" t="s">
        <v>411</v>
      </c>
      <c r="M1819" s="14" t="s">
        <v>412</v>
      </c>
      <c r="P1819" s="14" t="s">
        <v>39</v>
      </c>
      <c r="Q1819" s="14" t="s">
        <v>25</v>
      </c>
      <c r="R1819" s="14" t="s">
        <v>410</v>
      </c>
    </row>
    <row r="1820" spans="1:18" s="14" customFormat="1" x14ac:dyDescent="0.25">
      <c r="A1820" s="14" t="str">
        <f>"30015"</f>
        <v>30015</v>
      </c>
      <c r="B1820" s="14" t="str">
        <f>"06010"</f>
        <v>06010</v>
      </c>
      <c r="C1820" s="14" t="str">
        <f>"1800"</f>
        <v>1800</v>
      </c>
      <c r="D1820" s="14" t="str">
        <f>"06010B"</f>
        <v>06010B</v>
      </c>
      <c r="E1820" s="14" t="s">
        <v>950</v>
      </c>
      <c r="F1820" s="14" t="s">
        <v>416</v>
      </c>
      <c r="G1820" s="14" t="str">
        <f>""</f>
        <v/>
      </c>
      <c r="H1820" s="14" t="str">
        <f>" 10"</f>
        <v xml:space="preserve"> 10</v>
      </c>
      <c r="I1820" s="14">
        <v>0.01</v>
      </c>
      <c r="J1820" s="14">
        <v>500</v>
      </c>
      <c r="K1820" s="14" t="s">
        <v>410</v>
      </c>
      <c r="L1820" s="14" t="s">
        <v>411</v>
      </c>
      <c r="M1820" s="14" t="s">
        <v>412</v>
      </c>
      <c r="N1820" s="14" t="s">
        <v>413</v>
      </c>
      <c r="P1820" s="14" t="s">
        <v>39</v>
      </c>
      <c r="Q1820" s="14" t="s">
        <v>25</v>
      </c>
      <c r="R1820" s="14" t="s">
        <v>410</v>
      </c>
    </row>
    <row r="1821" spans="1:18" s="14" customFormat="1" x14ac:dyDescent="0.25">
      <c r="A1821" s="14" t="str">
        <f>"30015"</f>
        <v>30015</v>
      </c>
      <c r="B1821" s="14" t="str">
        <f>"06010"</f>
        <v>06010</v>
      </c>
      <c r="C1821" s="14" t="str">
        <f>"1800"</f>
        <v>1800</v>
      </c>
      <c r="D1821" s="14" t="str">
        <f>"06010B"</f>
        <v>06010B</v>
      </c>
      <c r="E1821" s="14" t="s">
        <v>950</v>
      </c>
      <c r="F1821" s="14" t="s">
        <v>416</v>
      </c>
      <c r="G1821" s="14" t="str">
        <f>""</f>
        <v/>
      </c>
      <c r="H1821" s="14" t="str">
        <f>" 20"</f>
        <v xml:space="preserve"> 20</v>
      </c>
      <c r="I1821" s="14">
        <v>500.01</v>
      </c>
      <c r="J1821" s="14">
        <v>9999999.9900000002</v>
      </c>
      <c r="K1821" s="14" t="s">
        <v>414</v>
      </c>
      <c r="L1821" s="14" t="s">
        <v>411</v>
      </c>
      <c r="M1821" s="14" t="s">
        <v>412</v>
      </c>
      <c r="P1821" s="14" t="s">
        <v>39</v>
      </c>
      <c r="Q1821" s="14" t="s">
        <v>25</v>
      </c>
      <c r="R1821" s="14" t="s">
        <v>410</v>
      </c>
    </row>
    <row r="1822" spans="1:18" s="14" customFormat="1" x14ac:dyDescent="0.25">
      <c r="A1822" s="14" t="str">
        <f>"30015"</f>
        <v>30015</v>
      </c>
      <c r="B1822" s="14" t="str">
        <f>"06030"</f>
        <v>06030</v>
      </c>
      <c r="C1822" s="14" t="str">
        <f>"1800"</f>
        <v>1800</v>
      </c>
      <c r="D1822" s="14" t="str">
        <f>"06030B"</f>
        <v>06030B</v>
      </c>
      <c r="E1822" s="14" t="s">
        <v>950</v>
      </c>
      <c r="F1822" s="14" t="s">
        <v>420</v>
      </c>
      <c r="G1822" s="14" t="str">
        <f>""</f>
        <v/>
      </c>
      <c r="H1822" s="14" t="str">
        <f>" 10"</f>
        <v xml:space="preserve"> 10</v>
      </c>
      <c r="I1822" s="14">
        <v>0.01</v>
      </c>
      <c r="J1822" s="14">
        <v>500</v>
      </c>
      <c r="K1822" s="14" t="s">
        <v>410</v>
      </c>
      <c r="L1822" s="14" t="s">
        <v>411</v>
      </c>
      <c r="M1822" s="14" t="s">
        <v>412</v>
      </c>
      <c r="N1822" s="14" t="s">
        <v>413</v>
      </c>
      <c r="P1822" s="14" t="s">
        <v>39</v>
      </c>
      <c r="Q1822" s="14" t="s">
        <v>25</v>
      </c>
      <c r="R1822" s="14" t="s">
        <v>410</v>
      </c>
    </row>
    <row r="1823" spans="1:18" s="14" customFormat="1" x14ac:dyDescent="0.25">
      <c r="A1823" s="14" t="str">
        <f>"30015"</f>
        <v>30015</v>
      </c>
      <c r="B1823" s="14" t="str">
        <f>"06030"</f>
        <v>06030</v>
      </c>
      <c r="C1823" s="14" t="str">
        <f>"1800"</f>
        <v>1800</v>
      </c>
      <c r="D1823" s="14" t="str">
        <f>"06030B"</f>
        <v>06030B</v>
      </c>
      <c r="E1823" s="14" t="s">
        <v>950</v>
      </c>
      <c r="F1823" s="14" t="s">
        <v>420</v>
      </c>
      <c r="G1823" s="14" t="str">
        <f>""</f>
        <v/>
      </c>
      <c r="H1823" s="14" t="str">
        <f>" 20"</f>
        <v xml:space="preserve"> 20</v>
      </c>
      <c r="I1823" s="14">
        <v>500.01</v>
      </c>
      <c r="J1823" s="14">
        <v>9999999.9900000002</v>
      </c>
      <c r="K1823" s="14" t="s">
        <v>414</v>
      </c>
      <c r="L1823" s="14" t="s">
        <v>411</v>
      </c>
      <c r="M1823" s="14" t="s">
        <v>412</v>
      </c>
      <c r="P1823" s="14" t="s">
        <v>39</v>
      </c>
      <c r="Q1823" s="14" t="s">
        <v>25</v>
      </c>
      <c r="R1823" s="14" t="s">
        <v>410</v>
      </c>
    </row>
    <row r="1824" spans="1:18" s="14" customFormat="1" x14ac:dyDescent="0.25">
      <c r="A1824" s="14" t="str">
        <f>"30015"</f>
        <v>30015</v>
      </c>
      <c r="B1824" s="14" t="str">
        <f>"06040"</f>
        <v>06040</v>
      </c>
      <c r="C1824" s="14" t="str">
        <f>"1800"</f>
        <v>1800</v>
      </c>
      <c r="D1824" s="14" t="str">
        <f>"06040B"</f>
        <v>06040B</v>
      </c>
      <c r="E1824" s="14" t="s">
        <v>950</v>
      </c>
      <c r="F1824" s="14" t="s">
        <v>421</v>
      </c>
      <c r="G1824" s="14" t="str">
        <f>""</f>
        <v/>
      </c>
      <c r="H1824" s="14" t="str">
        <f>" 10"</f>
        <v xml:space="preserve"> 10</v>
      </c>
      <c r="I1824" s="14">
        <v>0.01</v>
      </c>
      <c r="J1824" s="14">
        <v>500</v>
      </c>
      <c r="K1824" s="14" t="s">
        <v>410</v>
      </c>
      <c r="L1824" s="14" t="s">
        <v>411</v>
      </c>
      <c r="M1824" s="14" t="s">
        <v>412</v>
      </c>
      <c r="N1824" s="14" t="s">
        <v>413</v>
      </c>
      <c r="P1824" s="14" t="s">
        <v>39</v>
      </c>
      <c r="Q1824" s="14" t="s">
        <v>25</v>
      </c>
      <c r="R1824" s="14" t="s">
        <v>410</v>
      </c>
    </row>
    <row r="1825" spans="1:18" s="14" customFormat="1" x14ac:dyDescent="0.25">
      <c r="A1825" s="14" t="str">
        <f>"30015"</f>
        <v>30015</v>
      </c>
      <c r="B1825" s="14" t="str">
        <f>"06040"</f>
        <v>06040</v>
      </c>
      <c r="C1825" s="14" t="str">
        <f>"1800"</f>
        <v>1800</v>
      </c>
      <c r="D1825" s="14" t="str">
        <f>"06040B"</f>
        <v>06040B</v>
      </c>
      <c r="E1825" s="14" t="s">
        <v>950</v>
      </c>
      <c r="F1825" s="14" t="s">
        <v>421</v>
      </c>
      <c r="G1825" s="14" t="str">
        <f>""</f>
        <v/>
      </c>
      <c r="H1825" s="14" t="str">
        <f>" 20"</f>
        <v xml:space="preserve"> 20</v>
      </c>
      <c r="I1825" s="14">
        <v>500.01</v>
      </c>
      <c r="J1825" s="14">
        <v>9999999.9900000002</v>
      </c>
      <c r="K1825" s="14" t="s">
        <v>414</v>
      </c>
      <c r="L1825" s="14" t="s">
        <v>411</v>
      </c>
      <c r="M1825" s="14" t="s">
        <v>412</v>
      </c>
      <c r="P1825" s="14" t="s">
        <v>39</v>
      </c>
      <c r="Q1825" s="14" t="s">
        <v>25</v>
      </c>
      <c r="R1825" s="14" t="s">
        <v>410</v>
      </c>
    </row>
    <row r="1826" spans="1:18" s="14" customFormat="1" x14ac:dyDescent="0.25">
      <c r="A1826" s="14" t="str">
        <f>"30015"</f>
        <v>30015</v>
      </c>
      <c r="B1826" s="14" t="str">
        <f>"06050"</f>
        <v>06050</v>
      </c>
      <c r="C1826" s="14" t="str">
        <f>"1800"</f>
        <v>1800</v>
      </c>
      <c r="D1826" s="14" t="str">
        <f>"06050B"</f>
        <v>06050B</v>
      </c>
      <c r="E1826" s="14" t="s">
        <v>950</v>
      </c>
      <c r="F1826" s="14" t="s">
        <v>422</v>
      </c>
      <c r="G1826" s="14" t="str">
        <f>""</f>
        <v/>
      </c>
      <c r="H1826" s="14" t="str">
        <f>" 10"</f>
        <v xml:space="preserve"> 10</v>
      </c>
      <c r="I1826" s="14">
        <v>0.01</v>
      </c>
      <c r="J1826" s="14">
        <v>500</v>
      </c>
      <c r="K1826" s="14" t="s">
        <v>410</v>
      </c>
      <c r="L1826" s="14" t="s">
        <v>411</v>
      </c>
      <c r="M1826" s="14" t="s">
        <v>412</v>
      </c>
      <c r="N1826" s="14" t="s">
        <v>413</v>
      </c>
      <c r="P1826" s="14" t="s">
        <v>39</v>
      </c>
      <c r="Q1826" s="14" t="s">
        <v>25</v>
      </c>
      <c r="R1826" s="14" t="s">
        <v>410</v>
      </c>
    </row>
    <row r="1827" spans="1:18" s="14" customFormat="1" x14ac:dyDescent="0.25">
      <c r="A1827" s="14" t="str">
        <f>"30015"</f>
        <v>30015</v>
      </c>
      <c r="B1827" s="14" t="str">
        <f>"06050"</f>
        <v>06050</v>
      </c>
      <c r="C1827" s="14" t="str">
        <f>"1800"</f>
        <v>1800</v>
      </c>
      <c r="D1827" s="14" t="str">
        <f>"06050B"</f>
        <v>06050B</v>
      </c>
      <c r="E1827" s="14" t="s">
        <v>950</v>
      </c>
      <c r="F1827" s="14" t="s">
        <v>422</v>
      </c>
      <c r="G1827" s="14" t="str">
        <f>""</f>
        <v/>
      </c>
      <c r="H1827" s="14" t="str">
        <f>" 20"</f>
        <v xml:space="preserve"> 20</v>
      </c>
      <c r="I1827" s="14">
        <v>500.01</v>
      </c>
      <c r="J1827" s="14">
        <v>9999999.9900000002</v>
      </c>
      <c r="K1827" s="14" t="s">
        <v>414</v>
      </c>
      <c r="L1827" s="14" t="s">
        <v>411</v>
      </c>
      <c r="M1827" s="14" t="s">
        <v>412</v>
      </c>
      <c r="P1827" s="14" t="s">
        <v>39</v>
      </c>
      <c r="Q1827" s="14" t="s">
        <v>25</v>
      </c>
      <c r="R1827" s="14" t="s">
        <v>410</v>
      </c>
    </row>
    <row r="1828" spans="1:18" s="14" customFormat="1" x14ac:dyDescent="0.25">
      <c r="A1828" s="14" t="str">
        <f>"30015"</f>
        <v>30015</v>
      </c>
      <c r="B1828" s="14" t="str">
        <f>"06060"</f>
        <v>06060</v>
      </c>
      <c r="C1828" s="14" t="str">
        <f>"1800"</f>
        <v>1800</v>
      </c>
      <c r="D1828" s="14" t="str">
        <f>"06060B"</f>
        <v>06060B</v>
      </c>
      <c r="E1828" s="14" t="s">
        <v>950</v>
      </c>
      <c r="F1828" s="14" t="s">
        <v>423</v>
      </c>
      <c r="G1828" s="14" t="str">
        <f>""</f>
        <v/>
      </c>
      <c r="H1828" s="14" t="str">
        <f>" 10"</f>
        <v xml:space="preserve"> 10</v>
      </c>
      <c r="I1828" s="14">
        <v>0.01</v>
      </c>
      <c r="J1828" s="14">
        <v>500</v>
      </c>
      <c r="K1828" s="14" t="s">
        <v>410</v>
      </c>
      <c r="L1828" s="14" t="s">
        <v>411</v>
      </c>
      <c r="M1828" s="14" t="s">
        <v>412</v>
      </c>
      <c r="N1828" s="14" t="s">
        <v>413</v>
      </c>
      <c r="P1828" s="14" t="s">
        <v>39</v>
      </c>
      <c r="Q1828" s="14" t="s">
        <v>25</v>
      </c>
      <c r="R1828" s="14" t="s">
        <v>410</v>
      </c>
    </row>
    <row r="1829" spans="1:18" s="14" customFormat="1" x14ac:dyDescent="0.25">
      <c r="A1829" s="14" t="str">
        <f>"30015"</f>
        <v>30015</v>
      </c>
      <c r="B1829" s="14" t="str">
        <f>"06060"</f>
        <v>06060</v>
      </c>
      <c r="C1829" s="14" t="str">
        <f>"1800"</f>
        <v>1800</v>
      </c>
      <c r="D1829" s="14" t="str">
        <f>"06060B"</f>
        <v>06060B</v>
      </c>
      <c r="E1829" s="14" t="s">
        <v>950</v>
      </c>
      <c r="F1829" s="14" t="s">
        <v>423</v>
      </c>
      <c r="G1829" s="14" t="str">
        <f>""</f>
        <v/>
      </c>
      <c r="H1829" s="14" t="str">
        <f>" 20"</f>
        <v xml:space="preserve"> 20</v>
      </c>
      <c r="I1829" s="14">
        <v>500.01</v>
      </c>
      <c r="J1829" s="14">
        <v>9999999.9900000002</v>
      </c>
      <c r="K1829" s="14" t="s">
        <v>414</v>
      </c>
      <c r="L1829" s="14" t="s">
        <v>411</v>
      </c>
      <c r="M1829" s="14" t="s">
        <v>412</v>
      </c>
      <c r="P1829" s="14" t="s">
        <v>39</v>
      </c>
      <c r="Q1829" s="14" t="s">
        <v>25</v>
      </c>
      <c r="R1829" s="14" t="s">
        <v>410</v>
      </c>
    </row>
    <row r="1830" spans="1:18" s="14" customFormat="1" x14ac:dyDescent="0.25">
      <c r="A1830" s="14" t="str">
        <f>"30015"</f>
        <v>30015</v>
      </c>
      <c r="B1830" s="14" t="str">
        <f>"06070"</f>
        <v>06070</v>
      </c>
      <c r="C1830" s="14" t="str">
        <f>"1800"</f>
        <v>1800</v>
      </c>
      <c r="D1830" s="14" t="str">
        <f>"06070B"</f>
        <v>06070B</v>
      </c>
      <c r="E1830" s="14" t="s">
        <v>950</v>
      </c>
      <c r="F1830" s="14" t="s">
        <v>424</v>
      </c>
      <c r="G1830" s="14" t="str">
        <f>""</f>
        <v/>
      </c>
      <c r="H1830" s="14" t="str">
        <f>" 10"</f>
        <v xml:space="preserve"> 10</v>
      </c>
      <c r="I1830" s="14">
        <v>0.01</v>
      </c>
      <c r="J1830" s="14">
        <v>500</v>
      </c>
      <c r="K1830" s="14" t="s">
        <v>410</v>
      </c>
      <c r="L1830" s="14" t="s">
        <v>411</v>
      </c>
      <c r="M1830" s="14" t="s">
        <v>412</v>
      </c>
      <c r="N1830" s="14" t="s">
        <v>413</v>
      </c>
      <c r="P1830" s="14" t="s">
        <v>39</v>
      </c>
      <c r="Q1830" s="14" t="s">
        <v>25</v>
      </c>
      <c r="R1830" s="14" t="s">
        <v>410</v>
      </c>
    </row>
    <row r="1831" spans="1:18" s="14" customFormat="1" x14ac:dyDescent="0.25">
      <c r="A1831" s="14" t="str">
        <f>"30015"</f>
        <v>30015</v>
      </c>
      <c r="B1831" s="14" t="str">
        <f>"06070"</f>
        <v>06070</v>
      </c>
      <c r="C1831" s="14" t="str">
        <f>"1800"</f>
        <v>1800</v>
      </c>
      <c r="D1831" s="14" t="str">
        <f>"06070B"</f>
        <v>06070B</v>
      </c>
      <c r="E1831" s="14" t="s">
        <v>950</v>
      </c>
      <c r="F1831" s="14" t="s">
        <v>424</v>
      </c>
      <c r="G1831" s="14" t="str">
        <f>""</f>
        <v/>
      </c>
      <c r="H1831" s="14" t="str">
        <f>" 20"</f>
        <v xml:space="preserve"> 20</v>
      </c>
      <c r="I1831" s="14">
        <v>500.01</v>
      </c>
      <c r="J1831" s="14">
        <v>9999999.9900000002</v>
      </c>
      <c r="K1831" s="14" t="s">
        <v>414</v>
      </c>
      <c r="L1831" s="14" t="s">
        <v>411</v>
      </c>
      <c r="M1831" s="14" t="s">
        <v>412</v>
      </c>
      <c r="P1831" s="14" t="s">
        <v>39</v>
      </c>
      <c r="Q1831" s="14" t="s">
        <v>25</v>
      </c>
      <c r="R1831" s="14" t="s">
        <v>410</v>
      </c>
    </row>
    <row r="1832" spans="1:18" s="14" customFormat="1" x14ac:dyDescent="0.25">
      <c r="A1832" s="14" t="str">
        <f>"30015"</f>
        <v>30015</v>
      </c>
      <c r="B1832" s="14" t="str">
        <f>"06080"</f>
        <v>06080</v>
      </c>
      <c r="C1832" s="14" t="str">
        <f>"1800"</f>
        <v>1800</v>
      </c>
      <c r="D1832" s="14" t="str">
        <f>"06080B"</f>
        <v>06080B</v>
      </c>
      <c r="E1832" s="14" t="s">
        <v>950</v>
      </c>
      <c r="F1832" s="14" t="s">
        <v>425</v>
      </c>
      <c r="G1832" s="14" t="str">
        <f>""</f>
        <v/>
      </c>
      <c r="H1832" s="14" t="str">
        <f>" 10"</f>
        <v xml:space="preserve"> 10</v>
      </c>
      <c r="I1832" s="14">
        <v>0.01</v>
      </c>
      <c r="J1832" s="14">
        <v>500</v>
      </c>
      <c r="K1832" s="14" t="s">
        <v>410</v>
      </c>
      <c r="L1832" s="14" t="s">
        <v>411</v>
      </c>
      <c r="M1832" s="14" t="s">
        <v>412</v>
      </c>
      <c r="N1832" s="14" t="s">
        <v>413</v>
      </c>
      <c r="P1832" s="14" t="s">
        <v>39</v>
      </c>
      <c r="Q1832" s="14" t="s">
        <v>25</v>
      </c>
      <c r="R1832" s="14" t="s">
        <v>410</v>
      </c>
    </row>
    <row r="1833" spans="1:18" s="14" customFormat="1" x14ac:dyDescent="0.25">
      <c r="A1833" s="14" t="str">
        <f>"30015"</f>
        <v>30015</v>
      </c>
      <c r="B1833" s="14" t="str">
        <f>"06080"</f>
        <v>06080</v>
      </c>
      <c r="C1833" s="14" t="str">
        <f>"1800"</f>
        <v>1800</v>
      </c>
      <c r="D1833" s="14" t="str">
        <f>"06080B"</f>
        <v>06080B</v>
      </c>
      <c r="E1833" s="14" t="s">
        <v>950</v>
      </c>
      <c r="F1833" s="14" t="s">
        <v>425</v>
      </c>
      <c r="G1833" s="14" t="str">
        <f>""</f>
        <v/>
      </c>
      <c r="H1833" s="14" t="str">
        <f>" 20"</f>
        <v xml:space="preserve"> 20</v>
      </c>
      <c r="I1833" s="14">
        <v>500.01</v>
      </c>
      <c r="J1833" s="14">
        <v>9999999.9900000002</v>
      </c>
      <c r="K1833" s="14" t="s">
        <v>414</v>
      </c>
      <c r="L1833" s="14" t="s">
        <v>411</v>
      </c>
      <c r="M1833" s="14" t="s">
        <v>412</v>
      </c>
      <c r="P1833" s="14" t="s">
        <v>39</v>
      </c>
      <c r="Q1833" s="14" t="s">
        <v>25</v>
      </c>
      <c r="R1833" s="14" t="s">
        <v>410</v>
      </c>
    </row>
    <row r="1834" spans="1:18" s="14" customFormat="1" x14ac:dyDescent="0.25">
      <c r="A1834" s="14" t="str">
        <f>"30015"</f>
        <v>30015</v>
      </c>
      <c r="B1834" s="14" t="str">
        <f>"06090"</f>
        <v>06090</v>
      </c>
      <c r="C1834" s="14" t="str">
        <f>"1800"</f>
        <v>1800</v>
      </c>
      <c r="D1834" s="14" t="str">
        <f>"06090B"</f>
        <v>06090B</v>
      </c>
      <c r="E1834" s="14" t="s">
        <v>950</v>
      </c>
      <c r="F1834" s="14" t="s">
        <v>426</v>
      </c>
      <c r="G1834" s="14" t="str">
        <f>""</f>
        <v/>
      </c>
      <c r="H1834" s="14" t="str">
        <f>" 10"</f>
        <v xml:space="preserve"> 10</v>
      </c>
      <c r="I1834" s="14">
        <v>0.01</v>
      </c>
      <c r="J1834" s="14">
        <v>500</v>
      </c>
      <c r="K1834" s="14" t="s">
        <v>410</v>
      </c>
      <c r="L1834" s="14" t="s">
        <v>411</v>
      </c>
      <c r="M1834" s="14" t="s">
        <v>412</v>
      </c>
      <c r="N1834" s="14" t="s">
        <v>413</v>
      </c>
      <c r="P1834" s="14" t="s">
        <v>39</v>
      </c>
      <c r="Q1834" s="14" t="s">
        <v>25</v>
      </c>
      <c r="R1834" s="14" t="s">
        <v>410</v>
      </c>
    </row>
    <row r="1835" spans="1:18" s="14" customFormat="1" x14ac:dyDescent="0.25">
      <c r="A1835" s="14" t="str">
        <f>"30015"</f>
        <v>30015</v>
      </c>
      <c r="B1835" s="14" t="str">
        <f>"06090"</f>
        <v>06090</v>
      </c>
      <c r="C1835" s="14" t="str">
        <f>"1800"</f>
        <v>1800</v>
      </c>
      <c r="D1835" s="14" t="str">
        <f>"06090B"</f>
        <v>06090B</v>
      </c>
      <c r="E1835" s="14" t="s">
        <v>950</v>
      </c>
      <c r="F1835" s="14" t="s">
        <v>426</v>
      </c>
      <c r="G1835" s="14" t="str">
        <f>""</f>
        <v/>
      </c>
      <c r="H1835" s="14" t="str">
        <f>" 20"</f>
        <v xml:space="preserve"> 20</v>
      </c>
      <c r="I1835" s="14">
        <v>500.01</v>
      </c>
      <c r="J1835" s="14">
        <v>9999999.9900000002</v>
      </c>
      <c r="K1835" s="14" t="s">
        <v>414</v>
      </c>
      <c r="L1835" s="14" t="s">
        <v>411</v>
      </c>
      <c r="M1835" s="14" t="s">
        <v>412</v>
      </c>
      <c r="P1835" s="14" t="s">
        <v>39</v>
      </c>
      <c r="Q1835" s="14" t="s">
        <v>25</v>
      </c>
      <c r="R1835" s="14" t="s">
        <v>410</v>
      </c>
    </row>
    <row r="1836" spans="1:18" s="14" customFormat="1" x14ac:dyDescent="0.25">
      <c r="A1836" s="14" t="str">
        <f>"30015"</f>
        <v>30015</v>
      </c>
      <c r="B1836" s="14" t="str">
        <f>"06100"</f>
        <v>06100</v>
      </c>
      <c r="C1836" s="14" t="str">
        <f>"1800"</f>
        <v>1800</v>
      </c>
      <c r="D1836" s="14" t="str">
        <f>"06100B"</f>
        <v>06100B</v>
      </c>
      <c r="E1836" s="14" t="s">
        <v>950</v>
      </c>
      <c r="F1836" s="14" t="s">
        <v>427</v>
      </c>
      <c r="G1836" s="14" t="str">
        <f>""</f>
        <v/>
      </c>
      <c r="H1836" s="14" t="str">
        <f>" 10"</f>
        <v xml:space="preserve"> 10</v>
      </c>
      <c r="I1836" s="14">
        <v>0.01</v>
      </c>
      <c r="J1836" s="14">
        <v>500</v>
      </c>
      <c r="K1836" s="14" t="s">
        <v>410</v>
      </c>
      <c r="L1836" s="14" t="s">
        <v>411</v>
      </c>
      <c r="M1836" s="14" t="s">
        <v>412</v>
      </c>
      <c r="N1836" s="14" t="s">
        <v>413</v>
      </c>
      <c r="P1836" s="14" t="s">
        <v>39</v>
      </c>
      <c r="Q1836" s="14" t="s">
        <v>25</v>
      </c>
      <c r="R1836" s="14" t="s">
        <v>410</v>
      </c>
    </row>
    <row r="1837" spans="1:18" s="14" customFormat="1" x14ac:dyDescent="0.25">
      <c r="A1837" s="14" t="str">
        <f>"30015"</f>
        <v>30015</v>
      </c>
      <c r="B1837" s="14" t="str">
        <f>"06100"</f>
        <v>06100</v>
      </c>
      <c r="C1837" s="14" t="str">
        <f>"1800"</f>
        <v>1800</v>
      </c>
      <c r="D1837" s="14" t="str">
        <f>"06100B"</f>
        <v>06100B</v>
      </c>
      <c r="E1837" s="14" t="s">
        <v>950</v>
      </c>
      <c r="F1837" s="14" t="s">
        <v>427</v>
      </c>
      <c r="G1837" s="14" t="str">
        <f>""</f>
        <v/>
      </c>
      <c r="H1837" s="14" t="str">
        <f>" 20"</f>
        <v xml:space="preserve"> 20</v>
      </c>
      <c r="I1837" s="14">
        <v>500.01</v>
      </c>
      <c r="J1837" s="14">
        <v>9999999.9900000002</v>
      </c>
      <c r="K1837" s="14" t="s">
        <v>414</v>
      </c>
      <c r="L1837" s="14" t="s">
        <v>411</v>
      </c>
      <c r="M1837" s="14" t="s">
        <v>412</v>
      </c>
      <c r="P1837" s="14" t="s">
        <v>39</v>
      </c>
      <c r="Q1837" s="14" t="s">
        <v>25</v>
      </c>
      <c r="R1837" s="14" t="s">
        <v>410</v>
      </c>
    </row>
    <row r="1838" spans="1:18" s="14" customFormat="1" x14ac:dyDescent="0.25">
      <c r="A1838" s="14" t="str">
        <f>"30015"</f>
        <v>30015</v>
      </c>
      <c r="B1838" s="14" t="str">
        <f>"06110"</f>
        <v>06110</v>
      </c>
      <c r="C1838" s="14" t="str">
        <f>"1800"</f>
        <v>1800</v>
      </c>
      <c r="D1838" s="14" t="str">
        <f>"06110B"</f>
        <v>06110B</v>
      </c>
      <c r="E1838" s="14" t="s">
        <v>950</v>
      </c>
      <c r="F1838" s="14" t="s">
        <v>428</v>
      </c>
      <c r="G1838" s="14" t="str">
        <f>""</f>
        <v/>
      </c>
      <c r="H1838" s="14" t="str">
        <f>" 10"</f>
        <v xml:space="preserve"> 10</v>
      </c>
      <c r="I1838" s="14">
        <v>0.01</v>
      </c>
      <c r="J1838" s="14">
        <v>500</v>
      </c>
      <c r="K1838" s="14" t="s">
        <v>410</v>
      </c>
      <c r="L1838" s="14" t="s">
        <v>411</v>
      </c>
      <c r="M1838" s="14" t="s">
        <v>412</v>
      </c>
      <c r="N1838" s="14" t="s">
        <v>413</v>
      </c>
      <c r="P1838" s="14" t="s">
        <v>39</v>
      </c>
      <c r="Q1838" s="14" t="s">
        <v>25</v>
      </c>
      <c r="R1838" s="14" t="s">
        <v>410</v>
      </c>
    </row>
    <row r="1839" spans="1:18" s="14" customFormat="1" x14ac:dyDescent="0.25">
      <c r="A1839" s="14" t="str">
        <f>"30015"</f>
        <v>30015</v>
      </c>
      <c r="B1839" s="14" t="str">
        <f>"06110"</f>
        <v>06110</v>
      </c>
      <c r="C1839" s="14" t="str">
        <f>"1800"</f>
        <v>1800</v>
      </c>
      <c r="D1839" s="14" t="str">
        <f>"06110B"</f>
        <v>06110B</v>
      </c>
      <c r="E1839" s="14" t="s">
        <v>950</v>
      </c>
      <c r="F1839" s="14" t="s">
        <v>428</v>
      </c>
      <c r="G1839" s="14" t="str">
        <f>""</f>
        <v/>
      </c>
      <c r="H1839" s="14" t="str">
        <f>" 20"</f>
        <v xml:space="preserve"> 20</v>
      </c>
      <c r="I1839" s="14">
        <v>500.01</v>
      </c>
      <c r="J1839" s="14">
        <v>9999999.9900000002</v>
      </c>
      <c r="K1839" s="14" t="s">
        <v>414</v>
      </c>
      <c r="L1839" s="14" t="s">
        <v>411</v>
      </c>
      <c r="M1839" s="14" t="s">
        <v>412</v>
      </c>
      <c r="P1839" s="14" t="s">
        <v>39</v>
      </c>
      <c r="Q1839" s="14" t="s">
        <v>25</v>
      </c>
      <c r="R1839" s="14" t="s">
        <v>410</v>
      </c>
    </row>
    <row r="1840" spans="1:18" s="14" customFormat="1" x14ac:dyDescent="0.25">
      <c r="A1840" s="14" t="str">
        <f>"30015"</f>
        <v>30015</v>
      </c>
      <c r="B1840" s="14" t="str">
        <f>"06120"</f>
        <v>06120</v>
      </c>
      <c r="C1840" s="14" t="str">
        <f>"1800"</f>
        <v>1800</v>
      </c>
      <c r="D1840" s="14" t="str">
        <f>"06120B"</f>
        <v>06120B</v>
      </c>
      <c r="E1840" s="14" t="s">
        <v>950</v>
      </c>
      <c r="F1840" s="14" t="s">
        <v>429</v>
      </c>
      <c r="G1840" s="14" t="str">
        <f>""</f>
        <v/>
      </c>
      <c r="H1840" s="14" t="str">
        <f>" 10"</f>
        <v xml:space="preserve"> 10</v>
      </c>
      <c r="I1840" s="14">
        <v>0.01</v>
      </c>
      <c r="J1840" s="14">
        <v>500</v>
      </c>
      <c r="K1840" s="14" t="s">
        <v>410</v>
      </c>
      <c r="L1840" s="14" t="s">
        <v>411</v>
      </c>
      <c r="M1840" s="14" t="s">
        <v>412</v>
      </c>
      <c r="N1840" s="14" t="s">
        <v>413</v>
      </c>
      <c r="P1840" s="14" t="s">
        <v>39</v>
      </c>
      <c r="Q1840" s="14" t="s">
        <v>25</v>
      </c>
      <c r="R1840" s="14" t="s">
        <v>410</v>
      </c>
    </row>
    <row r="1841" spans="1:18" s="14" customFormat="1" x14ac:dyDescent="0.25">
      <c r="A1841" s="14" t="str">
        <f>"30015"</f>
        <v>30015</v>
      </c>
      <c r="B1841" s="14" t="str">
        <f>"06120"</f>
        <v>06120</v>
      </c>
      <c r="C1841" s="14" t="str">
        <f>"1800"</f>
        <v>1800</v>
      </c>
      <c r="D1841" s="14" t="str">
        <f>"06120B"</f>
        <v>06120B</v>
      </c>
      <c r="E1841" s="14" t="s">
        <v>950</v>
      </c>
      <c r="F1841" s="14" t="s">
        <v>429</v>
      </c>
      <c r="G1841" s="14" t="str">
        <f>""</f>
        <v/>
      </c>
      <c r="H1841" s="14" t="str">
        <f>" 20"</f>
        <v xml:space="preserve"> 20</v>
      </c>
      <c r="I1841" s="14">
        <v>500.01</v>
      </c>
      <c r="J1841" s="14">
        <v>9999999.9900000002</v>
      </c>
      <c r="K1841" s="14" t="s">
        <v>414</v>
      </c>
      <c r="L1841" s="14" t="s">
        <v>411</v>
      </c>
      <c r="M1841" s="14" t="s">
        <v>412</v>
      </c>
      <c r="P1841" s="14" t="s">
        <v>39</v>
      </c>
      <c r="Q1841" s="14" t="s">
        <v>25</v>
      </c>
      <c r="R1841" s="14" t="s">
        <v>410</v>
      </c>
    </row>
    <row r="1842" spans="1:18" s="14" customFormat="1" x14ac:dyDescent="0.25">
      <c r="A1842" s="14" t="str">
        <f>"30015"</f>
        <v>30015</v>
      </c>
      <c r="B1842" s="14" t="str">
        <f>"06130"</f>
        <v>06130</v>
      </c>
      <c r="C1842" s="14" t="str">
        <f>"1800"</f>
        <v>1800</v>
      </c>
      <c r="D1842" s="14" t="str">
        <f>"06130B"</f>
        <v>06130B</v>
      </c>
      <c r="E1842" s="14" t="s">
        <v>950</v>
      </c>
      <c r="F1842" s="14" t="s">
        <v>430</v>
      </c>
      <c r="G1842" s="14" t="str">
        <f>""</f>
        <v/>
      </c>
      <c r="H1842" s="14" t="str">
        <f>" 10"</f>
        <v xml:space="preserve"> 10</v>
      </c>
      <c r="I1842" s="14">
        <v>0.01</v>
      </c>
      <c r="J1842" s="14">
        <v>500</v>
      </c>
      <c r="K1842" s="14" t="s">
        <v>410</v>
      </c>
      <c r="L1842" s="14" t="s">
        <v>411</v>
      </c>
      <c r="M1842" s="14" t="s">
        <v>412</v>
      </c>
      <c r="N1842" s="14" t="s">
        <v>413</v>
      </c>
      <c r="P1842" s="14" t="s">
        <v>39</v>
      </c>
      <c r="Q1842" s="14" t="s">
        <v>25</v>
      </c>
      <c r="R1842" s="14" t="s">
        <v>410</v>
      </c>
    </row>
    <row r="1843" spans="1:18" s="14" customFormat="1" x14ac:dyDescent="0.25">
      <c r="A1843" s="14" t="str">
        <f>"30015"</f>
        <v>30015</v>
      </c>
      <c r="B1843" s="14" t="str">
        <f>"06130"</f>
        <v>06130</v>
      </c>
      <c r="C1843" s="14" t="str">
        <f>"1800"</f>
        <v>1800</v>
      </c>
      <c r="D1843" s="14" t="str">
        <f>"06130B"</f>
        <v>06130B</v>
      </c>
      <c r="E1843" s="14" t="s">
        <v>950</v>
      </c>
      <c r="F1843" s="14" t="s">
        <v>430</v>
      </c>
      <c r="G1843" s="14" t="str">
        <f>""</f>
        <v/>
      </c>
      <c r="H1843" s="14" t="str">
        <f>" 20"</f>
        <v xml:space="preserve"> 20</v>
      </c>
      <c r="I1843" s="14">
        <v>500.01</v>
      </c>
      <c r="J1843" s="14">
        <v>9999999.9900000002</v>
      </c>
      <c r="K1843" s="14" t="s">
        <v>414</v>
      </c>
      <c r="L1843" s="14" t="s">
        <v>411</v>
      </c>
      <c r="M1843" s="14" t="s">
        <v>412</v>
      </c>
      <c r="P1843" s="14" t="s">
        <v>39</v>
      </c>
      <c r="Q1843" s="14" t="s">
        <v>25</v>
      </c>
      <c r="R1843" s="14" t="s">
        <v>410</v>
      </c>
    </row>
    <row r="1844" spans="1:18" s="14" customFormat="1" x14ac:dyDescent="0.25">
      <c r="A1844" s="14" t="str">
        <f>"30015"</f>
        <v>30015</v>
      </c>
      <c r="B1844" s="14" t="str">
        <f>"06140"</f>
        <v>06140</v>
      </c>
      <c r="C1844" s="14" t="str">
        <f>"1800"</f>
        <v>1800</v>
      </c>
      <c r="D1844" s="14" t="str">
        <f>"06140B"</f>
        <v>06140B</v>
      </c>
      <c r="E1844" s="14" t="s">
        <v>950</v>
      </c>
      <c r="F1844" s="14" t="s">
        <v>431</v>
      </c>
      <c r="G1844" s="14" t="str">
        <f>""</f>
        <v/>
      </c>
      <c r="H1844" s="14" t="str">
        <f>" 10"</f>
        <v xml:space="preserve"> 10</v>
      </c>
      <c r="I1844" s="14">
        <v>0.01</v>
      </c>
      <c r="J1844" s="14">
        <v>500</v>
      </c>
      <c r="K1844" s="14" t="s">
        <v>410</v>
      </c>
      <c r="L1844" s="14" t="s">
        <v>411</v>
      </c>
      <c r="M1844" s="14" t="s">
        <v>412</v>
      </c>
      <c r="N1844" s="14" t="s">
        <v>413</v>
      </c>
      <c r="P1844" s="14" t="s">
        <v>39</v>
      </c>
      <c r="Q1844" s="14" t="s">
        <v>25</v>
      </c>
      <c r="R1844" s="14" t="s">
        <v>410</v>
      </c>
    </row>
    <row r="1845" spans="1:18" s="14" customFormat="1" x14ac:dyDescent="0.25">
      <c r="A1845" s="14" t="str">
        <f>"30015"</f>
        <v>30015</v>
      </c>
      <c r="B1845" s="14" t="str">
        <f>"06140"</f>
        <v>06140</v>
      </c>
      <c r="C1845" s="14" t="str">
        <f>"1800"</f>
        <v>1800</v>
      </c>
      <c r="D1845" s="14" t="str">
        <f>"06140B"</f>
        <v>06140B</v>
      </c>
      <c r="E1845" s="14" t="s">
        <v>950</v>
      </c>
      <c r="F1845" s="14" t="s">
        <v>431</v>
      </c>
      <c r="G1845" s="14" t="str">
        <f>""</f>
        <v/>
      </c>
      <c r="H1845" s="14" t="str">
        <f>" 20"</f>
        <v xml:space="preserve"> 20</v>
      </c>
      <c r="I1845" s="14">
        <v>500.01</v>
      </c>
      <c r="J1845" s="14">
        <v>9999999.9900000002</v>
      </c>
      <c r="K1845" s="14" t="s">
        <v>414</v>
      </c>
      <c r="L1845" s="14" t="s">
        <v>411</v>
      </c>
      <c r="M1845" s="14" t="s">
        <v>412</v>
      </c>
      <c r="P1845" s="14" t="s">
        <v>39</v>
      </c>
      <c r="Q1845" s="14" t="s">
        <v>25</v>
      </c>
      <c r="R1845" s="14" t="s">
        <v>410</v>
      </c>
    </row>
    <row r="1846" spans="1:18" s="14" customFormat="1" x14ac:dyDescent="0.25">
      <c r="A1846" s="14" t="str">
        <f>"30015"</f>
        <v>30015</v>
      </c>
      <c r="B1846" s="14" t="str">
        <f>"06150"</f>
        <v>06150</v>
      </c>
      <c r="C1846" s="14" t="str">
        <f>"1800"</f>
        <v>1800</v>
      </c>
      <c r="D1846" s="14" t="str">
        <f>"06150B"</f>
        <v>06150B</v>
      </c>
      <c r="E1846" s="14" t="s">
        <v>950</v>
      </c>
      <c r="F1846" s="14" t="s">
        <v>432</v>
      </c>
      <c r="G1846" s="14" t="str">
        <f>""</f>
        <v/>
      </c>
      <c r="H1846" s="14" t="str">
        <f>" 10"</f>
        <v xml:space="preserve"> 10</v>
      </c>
      <c r="I1846" s="14">
        <v>0.01</v>
      </c>
      <c r="J1846" s="14">
        <v>500</v>
      </c>
      <c r="K1846" s="14" t="s">
        <v>410</v>
      </c>
      <c r="L1846" s="14" t="s">
        <v>411</v>
      </c>
      <c r="M1846" s="14" t="s">
        <v>412</v>
      </c>
      <c r="N1846" s="14" t="s">
        <v>413</v>
      </c>
      <c r="P1846" s="14" t="s">
        <v>39</v>
      </c>
      <c r="Q1846" s="14" t="s">
        <v>25</v>
      </c>
      <c r="R1846" s="14" t="s">
        <v>410</v>
      </c>
    </row>
    <row r="1847" spans="1:18" s="14" customFormat="1" x14ac:dyDescent="0.25">
      <c r="A1847" s="14" t="str">
        <f>"30015"</f>
        <v>30015</v>
      </c>
      <c r="B1847" s="14" t="str">
        <f>"06150"</f>
        <v>06150</v>
      </c>
      <c r="C1847" s="14" t="str">
        <f>"1800"</f>
        <v>1800</v>
      </c>
      <c r="D1847" s="14" t="str">
        <f>"06150B"</f>
        <v>06150B</v>
      </c>
      <c r="E1847" s="14" t="s">
        <v>950</v>
      </c>
      <c r="F1847" s="14" t="s">
        <v>432</v>
      </c>
      <c r="G1847" s="14" t="str">
        <f>""</f>
        <v/>
      </c>
      <c r="H1847" s="14" t="str">
        <f>" 20"</f>
        <v xml:space="preserve"> 20</v>
      </c>
      <c r="I1847" s="14">
        <v>500.01</v>
      </c>
      <c r="J1847" s="14">
        <v>9999999.9900000002</v>
      </c>
      <c r="K1847" s="14" t="s">
        <v>414</v>
      </c>
      <c r="L1847" s="14" t="s">
        <v>411</v>
      </c>
      <c r="M1847" s="14" t="s">
        <v>412</v>
      </c>
      <c r="P1847" s="14" t="s">
        <v>39</v>
      </c>
      <c r="Q1847" s="14" t="s">
        <v>25</v>
      </c>
      <c r="R1847" s="14" t="s">
        <v>410</v>
      </c>
    </row>
    <row r="1848" spans="1:18" s="14" customFormat="1" x14ac:dyDescent="0.25">
      <c r="A1848" s="14" t="str">
        <f>"30015"</f>
        <v>30015</v>
      </c>
      <c r="B1848" s="14" t="str">
        <f>"06151"</f>
        <v>06151</v>
      </c>
      <c r="C1848" s="14" t="str">
        <f>"1800"</f>
        <v>1800</v>
      </c>
      <c r="D1848" s="14" t="str">
        <f>"06151B"</f>
        <v>06151B</v>
      </c>
      <c r="E1848" s="14" t="s">
        <v>950</v>
      </c>
      <c r="F1848" s="14" t="s">
        <v>433</v>
      </c>
      <c r="G1848" s="14" t="str">
        <f>""</f>
        <v/>
      </c>
      <c r="H1848" s="14" t="str">
        <f>" 10"</f>
        <v xml:space="preserve"> 10</v>
      </c>
      <c r="I1848" s="14">
        <v>0.01</v>
      </c>
      <c r="J1848" s="14">
        <v>500</v>
      </c>
      <c r="K1848" s="14" t="s">
        <v>410</v>
      </c>
      <c r="L1848" s="14" t="s">
        <v>411</v>
      </c>
      <c r="M1848" s="14" t="s">
        <v>412</v>
      </c>
      <c r="N1848" s="14" t="s">
        <v>413</v>
      </c>
      <c r="P1848" s="14" t="s">
        <v>39</v>
      </c>
      <c r="Q1848" s="14" t="s">
        <v>25</v>
      </c>
      <c r="R1848" s="14" t="s">
        <v>410</v>
      </c>
    </row>
    <row r="1849" spans="1:18" s="14" customFormat="1" x14ac:dyDescent="0.25">
      <c r="A1849" s="14" t="str">
        <f>"30015"</f>
        <v>30015</v>
      </c>
      <c r="B1849" s="14" t="str">
        <f>"06151"</f>
        <v>06151</v>
      </c>
      <c r="C1849" s="14" t="str">
        <f>"1800"</f>
        <v>1800</v>
      </c>
      <c r="D1849" s="14" t="str">
        <f>"06151B"</f>
        <v>06151B</v>
      </c>
      <c r="E1849" s="14" t="s">
        <v>950</v>
      </c>
      <c r="F1849" s="14" t="s">
        <v>433</v>
      </c>
      <c r="G1849" s="14" t="str">
        <f>""</f>
        <v/>
      </c>
      <c r="H1849" s="14" t="str">
        <f>" 20"</f>
        <v xml:space="preserve"> 20</v>
      </c>
      <c r="I1849" s="14">
        <v>500.01</v>
      </c>
      <c r="J1849" s="14">
        <v>9999999.9900000002</v>
      </c>
      <c r="K1849" s="14" t="s">
        <v>414</v>
      </c>
      <c r="L1849" s="14" t="s">
        <v>411</v>
      </c>
      <c r="M1849" s="14" t="s">
        <v>412</v>
      </c>
      <c r="P1849" s="14" t="s">
        <v>39</v>
      </c>
      <c r="Q1849" s="14" t="s">
        <v>25</v>
      </c>
      <c r="R1849" s="14" t="s">
        <v>410</v>
      </c>
    </row>
    <row r="1850" spans="1:18" s="14" customFormat="1" x14ac:dyDescent="0.25">
      <c r="A1850" s="14" t="str">
        <f>"30015"</f>
        <v>30015</v>
      </c>
      <c r="B1850" s="14" t="str">
        <f>"06152"</f>
        <v>06152</v>
      </c>
      <c r="C1850" s="14" t="str">
        <f>"1800"</f>
        <v>1800</v>
      </c>
      <c r="D1850" s="14" t="str">
        <f>"06152B"</f>
        <v>06152B</v>
      </c>
      <c r="E1850" s="14" t="s">
        <v>950</v>
      </c>
      <c r="F1850" s="14" t="s">
        <v>434</v>
      </c>
      <c r="G1850" s="14" t="str">
        <f>""</f>
        <v/>
      </c>
      <c r="H1850" s="14" t="str">
        <f>" 10"</f>
        <v xml:space="preserve"> 10</v>
      </c>
      <c r="I1850" s="14">
        <v>0.01</v>
      </c>
      <c r="J1850" s="14">
        <v>500</v>
      </c>
      <c r="K1850" s="14" t="s">
        <v>410</v>
      </c>
      <c r="L1850" s="14" t="s">
        <v>411</v>
      </c>
      <c r="M1850" s="14" t="s">
        <v>412</v>
      </c>
      <c r="N1850" s="14" t="s">
        <v>413</v>
      </c>
      <c r="P1850" s="14" t="s">
        <v>39</v>
      </c>
      <c r="Q1850" s="14" t="s">
        <v>25</v>
      </c>
      <c r="R1850" s="14" t="s">
        <v>410</v>
      </c>
    </row>
    <row r="1851" spans="1:18" s="14" customFormat="1" x14ac:dyDescent="0.25">
      <c r="A1851" s="14" t="str">
        <f>"30015"</f>
        <v>30015</v>
      </c>
      <c r="B1851" s="14" t="str">
        <f>"06152"</f>
        <v>06152</v>
      </c>
      <c r="C1851" s="14" t="str">
        <f>"1800"</f>
        <v>1800</v>
      </c>
      <c r="D1851" s="14" t="str">
        <f>"06152B"</f>
        <v>06152B</v>
      </c>
      <c r="E1851" s="14" t="s">
        <v>950</v>
      </c>
      <c r="F1851" s="14" t="s">
        <v>434</v>
      </c>
      <c r="G1851" s="14" t="str">
        <f>""</f>
        <v/>
      </c>
      <c r="H1851" s="14" t="str">
        <f>" 20"</f>
        <v xml:space="preserve"> 20</v>
      </c>
      <c r="I1851" s="14">
        <v>500.01</v>
      </c>
      <c r="J1851" s="14">
        <v>9999999.9900000002</v>
      </c>
      <c r="K1851" s="14" t="s">
        <v>414</v>
      </c>
      <c r="L1851" s="14" t="s">
        <v>411</v>
      </c>
      <c r="M1851" s="14" t="s">
        <v>412</v>
      </c>
      <c r="P1851" s="14" t="s">
        <v>39</v>
      </c>
      <c r="Q1851" s="14" t="s">
        <v>25</v>
      </c>
      <c r="R1851" s="14" t="s">
        <v>410</v>
      </c>
    </row>
    <row r="1852" spans="1:18" s="14" customFormat="1" x14ac:dyDescent="0.25">
      <c r="A1852" s="14" t="str">
        <f>"35021"</f>
        <v>35021</v>
      </c>
      <c r="B1852" s="14" t="str">
        <f>"06020"</f>
        <v>06020</v>
      </c>
      <c r="C1852" s="14" t="str">
        <f>"1930"</f>
        <v>1930</v>
      </c>
      <c r="D1852" s="14" t="str">
        <f>"35021"</f>
        <v>35021</v>
      </c>
      <c r="E1852" s="14" t="s">
        <v>986</v>
      </c>
      <c r="F1852" s="14" t="s">
        <v>417</v>
      </c>
      <c r="G1852" s="14" t="str">
        <f>""</f>
        <v/>
      </c>
      <c r="H1852" s="14" t="str">
        <f>" 10"</f>
        <v xml:space="preserve"> 10</v>
      </c>
      <c r="I1852" s="14">
        <v>0.01</v>
      </c>
      <c r="J1852" s="14">
        <v>500</v>
      </c>
      <c r="K1852" s="14" t="s">
        <v>410</v>
      </c>
      <c r="L1852" s="14" t="s">
        <v>411</v>
      </c>
      <c r="M1852" s="14" t="s">
        <v>412</v>
      </c>
      <c r="N1852" s="14" t="s">
        <v>413</v>
      </c>
      <c r="P1852" s="14" t="s">
        <v>39</v>
      </c>
      <c r="Q1852" s="14" t="s">
        <v>25</v>
      </c>
      <c r="R1852" s="14" t="s">
        <v>410</v>
      </c>
    </row>
    <row r="1853" spans="1:18" s="14" customFormat="1" x14ac:dyDescent="0.25">
      <c r="A1853" s="14" t="str">
        <f>"35021"</f>
        <v>35021</v>
      </c>
      <c r="B1853" s="14" t="str">
        <f>"06020"</f>
        <v>06020</v>
      </c>
      <c r="C1853" s="14" t="str">
        <f>"1930"</f>
        <v>1930</v>
      </c>
      <c r="D1853" s="14" t="str">
        <f>"35021"</f>
        <v>35021</v>
      </c>
      <c r="E1853" s="14" t="s">
        <v>986</v>
      </c>
      <c r="F1853" s="14" t="s">
        <v>417</v>
      </c>
      <c r="G1853" s="14" t="str">
        <f>""</f>
        <v/>
      </c>
      <c r="H1853" s="14" t="str">
        <f>" 20"</f>
        <v xml:space="preserve"> 20</v>
      </c>
      <c r="I1853" s="14">
        <v>500.01</v>
      </c>
      <c r="J1853" s="14">
        <v>9999999.9900000002</v>
      </c>
      <c r="K1853" s="14" t="s">
        <v>414</v>
      </c>
      <c r="L1853" s="14" t="s">
        <v>411</v>
      </c>
      <c r="M1853" s="14" t="s">
        <v>412</v>
      </c>
      <c r="N1853" s="14" t="s">
        <v>418</v>
      </c>
      <c r="P1853" s="14" t="s">
        <v>39</v>
      </c>
      <c r="Q1853" s="14" t="s">
        <v>25</v>
      </c>
      <c r="R1853" s="14" t="s">
        <v>410</v>
      </c>
    </row>
    <row r="1854" spans="1:18" s="14" customFormat="1" x14ac:dyDescent="0.25">
      <c r="A1854" s="14" t="str">
        <f>"85008"</f>
        <v>85008</v>
      </c>
      <c r="B1854" s="14" t="str">
        <f>"07030"</f>
        <v>07030</v>
      </c>
      <c r="C1854" s="14" t="str">
        <f>"8000"</f>
        <v>8000</v>
      </c>
      <c r="D1854" s="14" t="str">
        <f>"85008"</f>
        <v>85008</v>
      </c>
      <c r="E1854" s="14" t="s">
        <v>1775</v>
      </c>
      <c r="F1854" s="14" t="s">
        <v>1776</v>
      </c>
      <c r="G1854" s="14" t="str">
        <f>""</f>
        <v/>
      </c>
      <c r="H1854" s="14" t="str">
        <f>" 10"</f>
        <v xml:space="preserve"> 10</v>
      </c>
      <c r="I1854" s="14">
        <v>0.01</v>
      </c>
      <c r="J1854" s="14">
        <v>500</v>
      </c>
      <c r="K1854" s="14" t="s">
        <v>410</v>
      </c>
      <c r="L1854" s="14" t="s">
        <v>411</v>
      </c>
      <c r="M1854" s="14" t="s">
        <v>412</v>
      </c>
      <c r="N1854" s="14" t="s">
        <v>413</v>
      </c>
      <c r="P1854" s="14" t="s">
        <v>39</v>
      </c>
      <c r="Q1854" s="14" t="s">
        <v>39</v>
      </c>
      <c r="R1854" s="14" t="s">
        <v>410</v>
      </c>
    </row>
    <row r="1855" spans="1:18" s="14" customFormat="1" x14ac:dyDescent="0.25">
      <c r="A1855" s="14" t="str">
        <f>"85008"</f>
        <v>85008</v>
      </c>
      <c r="B1855" s="14" t="str">
        <f>"07030"</f>
        <v>07030</v>
      </c>
      <c r="C1855" s="14" t="str">
        <f>"8000"</f>
        <v>8000</v>
      </c>
      <c r="D1855" s="14" t="str">
        <f>"85008"</f>
        <v>85008</v>
      </c>
      <c r="E1855" s="14" t="s">
        <v>1775</v>
      </c>
      <c r="F1855" s="14" t="s">
        <v>1776</v>
      </c>
      <c r="G1855" s="14" t="str">
        <f>""</f>
        <v/>
      </c>
      <c r="H1855" s="14" t="str">
        <f>" 20"</f>
        <v xml:space="preserve"> 20</v>
      </c>
      <c r="I1855" s="14">
        <v>500.01</v>
      </c>
      <c r="J1855" s="14">
        <v>9999999.9900000002</v>
      </c>
      <c r="K1855" s="14" t="s">
        <v>414</v>
      </c>
      <c r="L1855" s="14" t="s">
        <v>411</v>
      </c>
      <c r="M1855" s="14" t="s">
        <v>412</v>
      </c>
      <c r="P1855" s="14" t="s">
        <v>39</v>
      </c>
      <c r="Q1855" s="14" t="s">
        <v>39</v>
      </c>
      <c r="R1855" s="14" t="s">
        <v>410</v>
      </c>
    </row>
    <row r="1856" spans="1:18" s="14" customFormat="1" x14ac:dyDescent="0.25">
      <c r="A1856" s="14" t="str">
        <f>"85026"</f>
        <v>85026</v>
      </c>
      <c r="B1856" s="14" t="str">
        <f>"07030"</f>
        <v>07030</v>
      </c>
      <c r="C1856" s="14" t="str">
        <f>"8000"</f>
        <v>8000</v>
      </c>
      <c r="D1856" s="14" t="str">
        <f>"85026"</f>
        <v>85026</v>
      </c>
      <c r="E1856" s="14" t="s">
        <v>1780</v>
      </c>
      <c r="F1856" s="14" t="s">
        <v>1776</v>
      </c>
      <c r="G1856" s="14" t="str">
        <f>""</f>
        <v/>
      </c>
      <c r="H1856" s="14" t="str">
        <f>" 10"</f>
        <v xml:space="preserve"> 10</v>
      </c>
      <c r="I1856" s="14">
        <v>0.01</v>
      </c>
      <c r="J1856" s="14">
        <v>500</v>
      </c>
      <c r="K1856" s="14" t="s">
        <v>146</v>
      </c>
      <c r="L1856" s="14" t="s">
        <v>162</v>
      </c>
      <c r="P1856" s="14" t="s">
        <v>39</v>
      </c>
      <c r="Q1856" s="14" t="s">
        <v>39</v>
      </c>
      <c r="R1856" s="14" t="s">
        <v>146</v>
      </c>
    </row>
    <row r="1857" spans="1:18" s="14" customFormat="1" x14ac:dyDescent="0.25">
      <c r="A1857" s="14" t="str">
        <f>"85026"</f>
        <v>85026</v>
      </c>
      <c r="B1857" s="14" t="str">
        <f>"07030"</f>
        <v>07030</v>
      </c>
      <c r="C1857" s="14" t="str">
        <f>"8000"</f>
        <v>8000</v>
      </c>
      <c r="D1857" s="14" t="str">
        <f>"85026"</f>
        <v>85026</v>
      </c>
      <c r="E1857" s="14" t="s">
        <v>1780</v>
      </c>
      <c r="F1857" s="14" t="s">
        <v>1776</v>
      </c>
      <c r="G1857" s="14" t="str">
        <f>""</f>
        <v/>
      </c>
      <c r="H1857" s="14" t="str">
        <f>" 20"</f>
        <v xml:space="preserve"> 20</v>
      </c>
      <c r="I1857" s="14">
        <v>500.01</v>
      </c>
      <c r="J1857" s="14">
        <v>9999999.9900000002</v>
      </c>
      <c r="K1857" s="14" t="s">
        <v>162</v>
      </c>
      <c r="L1857" s="14" t="s">
        <v>147</v>
      </c>
      <c r="M1857" s="14" t="s">
        <v>156</v>
      </c>
      <c r="P1857" s="14" t="s">
        <v>39</v>
      </c>
      <c r="Q1857" s="14" t="s">
        <v>39</v>
      </c>
      <c r="R1857" s="14" t="s">
        <v>146</v>
      </c>
    </row>
    <row r="1858" spans="1:18" s="14" customFormat="1" x14ac:dyDescent="0.25">
      <c r="A1858" s="14" t="str">
        <f>"85038"</f>
        <v>85038</v>
      </c>
      <c r="B1858" s="14" t="str">
        <f>"07030"</f>
        <v>07030</v>
      </c>
      <c r="C1858" s="14" t="str">
        <f>"8000"</f>
        <v>8000</v>
      </c>
      <c r="D1858" s="14" t="str">
        <f>"85038"</f>
        <v>85038</v>
      </c>
      <c r="E1858" s="14" t="s">
        <v>1782</v>
      </c>
      <c r="F1858" s="14" t="s">
        <v>1776</v>
      </c>
      <c r="G1858" s="14" t="str">
        <f>""</f>
        <v/>
      </c>
      <c r="H1858" s="14" t="str">
        <f>" 00"</f>
        <v xml:space="preserve"> 00</v>
      </c>
      <c r="I1858" s="14">
        <v>0.01</v>
      </c>
      <c r="J1858" s="14">
        <v>9999999.9900000002</v>
      </c>
      <c r="K1858" s="14" t="s">
        <v>898</v>
      </c>
      <c r="L1858" s="14" t="s">
        <v>72</v>
      </c>
      <c r="P1858" s="14" t="s">
        <v>39</v>
      </c>
      <c r="Q1858" s="14" t="s">
        <v>39</v>
      </c>
      <c r="R1858" s="14" t="s">
        <v>72</v>
      </c>
    </row>
    <row r="1859" spans="1:18" s="14" customFormat="1" x14ac:dyDescent="0.25">
      <c r="A1859" s="14" t="str">
        <f>"85055"</f>
        <v>85055</v>
      </c>
      <c r="B1859" s="14" t="str">
        <f>"07030"</f>
        <v>07030</v>
      </c>
      <c r="C1859" s="14" t="str">
        <f>"8000"</f>
        <v>8000</v>
      </c>
      <c r="D1859" s="14" t="str">
        <f>"85055"</f>
        <v>85055</v>
      </c>
      <c r="E1859" s="14" t="s">
        <v>1783</v>
      </c>
      <c r="F1859" s="14" t="s">
        <v>1776</v>
      </c>
      <c r="G1859" s="14" t="str">
        <f>""</f>
        <v/>
      </c>
      <c r="H1859" s="14" t="str">
        <f>" 10"</f>
        <v xml:space="preserve"> 10</v>
      </c>
      <c r="I1859" s="14">
        <v>0.01</v>
      </c>
      <c r="J1859" s="14">
        <v>500</v>
      </c>
      <c r="K1859" s="14" t="s">
        <v>146</v>
      </c>
      <c r="L1859" s="14" t="s">
        <v>147</v>
      </c>
      <c r="P1859" s="14" t="s">
        <v>39</v>
      </c>
      <c r="Q1859" s="14" t="s">
        <v>39</v>
      </c>
      <c r="R1859" s="14" t="s">
        <v>146</v>
      </c>
    </row>
    <row r="1860" spans="1:18" s="14" customFormat="1" x14ac:dyDescent="0.25">
      <c r="A1860" s="14" t="str">
        <f>"85055"</f>
        <v>85055</v>
      </c>
      <c r="B1860" s="14" t="str">
        <f>"07030"</f>
        <v>07030</v>
      </c>
      <c r="C1860" s="14" t="str">
        <f>"8000"</f>
        <v>8000</v>
      </c>
      <c r="D1860" s="14" t="str">
        <f>"85055"</f>
        <v>85055</v>
      </c>
      <c r="E1860" s="14" t="s">
        <v>1783</v>
      </c>
      <c r="F1860" s="14" t="s">
        <v>1776</v>
      </c>
      <c r="G1860" s="14" t="str">
        <f>""</f>
        <v/>
      </c>
      <c r="H1860" s="14" t="str">
        <f>" 20"</f>
        <v xml:space="preserve"> 20</v>
      </c>
      <c r="I1860" s="14">
        <v>500.01</v>
      </c>
      <c r="J1860" s="14">
        <v>9999999.9900000002</v>
      </c>
      <c r="K1860" s="14" t="s">
        <v>147</v>
      </c>
      <c r="L1860" s="14" t="s">
        <v>146</v>
      </c>
      <c r="P1860" s="14" t="s">
        <v>39</v>
      </c>
      <c r="Q1860" s="14" t="s">
        <v>39</v>
      </c>
      <c r="R1860" s="14" t="s">
        <v>146</v>
      </c>
    </row>
    <row r="1861" spans="1:18" s="14" customFormat="1" x14ac:dyDescent="0.25">
      <c r="A1861" s="14" t="str">
        <f>"85121"</f>
        <v>85121</v>
      </c>
      <c r="B1861" s="14" t="str">
        <f>"07030"</f>
        <v>07030</v>
      </c>
      <c r="C1861" s="14" t="str">
        <f>"8000"</f>
        <v>8000</v>
      </c>
      <c r="D1861" s="14" t="str">
        <f>"85121"</f>
        <v>85121</v>
      </c>
      <c r="E1861" s="14" t="s">
        <v>1790</v>
      </c>
      <c r="F1861" s="14" t="s">
        <v>1776</v>
      </c>
      <c r="G1861" s="14" t="str">
        <f>""</f>
        <v/>
      </c>
      <c r="H1861" s="14" t="str">
        <f>" 00"</f>
        <v xml:space="preserve"> 00</v>
      </c>
      <c r="I1861" s="14">
        <v>0.01</v>
      </c>
      <c r="J1861" s="14">
        <v>9999999.9900000002</v>
      </c>
      <c r="K1861" s="14" t="s">
        <v>48</v>
      </c>
      <c r="L1861" s="14" t="s">
        <v>97</v>
      </c>
      <c r="M1861" s="14" t="s">
        <v>98</v>
      </c>
      <c r="P1861" s="14" t="s">
        <v>39</v>
      </c>
      <c r="Q1861" s="14" t="s">
        <v>39</v>
      </c>
      <c r="R1861" s="14" t="s">
        <v>98</v>
      </c>
    </row>
    <row r="1862" spans="1:18" s="14" customFormat="1" x14ac:dyDescent="0.25">
      <c r="A1862" s="14" t="str">
        <f>"85124"</f>
        <v>85124</v>
      </c>
      <c r="B1862" s="14" t="str">
        <f>"07030"</f>
        <v>07030</v>
      </c>
      <c r="C1862" s="14" t="str">
        <f>"8000"</f>
        <v>8000</v>
      </c>
      <c r="D1862" s="14" t="str">
        <f>"85124"</f>
        <v>85124</v>
      </c>
      <c r="E1862" s="14" t="s">
        <v>1791</v>
      </c>
      <c r="F1862" s="14" t="s">
        <v>1776</v>
      </c>
      <c r="G1862" s="14" t="str">
        <f>""</f>
        <v/>
      </c>
      <c r="H1862" s="14" t="str">
        <f>" 00"</f>
        <v xml:space="preserve"> 00</v>
      </c>
      <c r="I1862" s="14">
        <v>0.01</v>
      </c>
      <c r="J1862" s="14">
        <v>9999999.9900000002</v>
      </c>
      <c r="K1862" s="14" t="s">
        <v>404</v>
      </c>
      <c r="L1862" s="14" t="s">
        <v>405</v>
      </c>
      <c r="P1862" s="14" t="s">
        <v>39</v>
      </c>
      <c r="Q1862" s="14" t="s">
        <v>39</v>
      </c>
      <c r="R1862" s="14" t="s">
        <v>403</v>
      </c>
    </row>
    <row r="1863" spans="1:18" s="14" customFormat="1" x14ac:dyDescent="0.25"/>
    <row r="1864" spans="1:18" s="14" customFormat="1" x14ac:dyDescent="0.25"/>
    <row r="1865" spans="1:18" s="14" customFormat="1" x14ac:dyDescent="0.25"/>
    <row r="1866" spans="1:18" s="14" customFormat="1" x14ac:dyDescent="0.25"/>
    <row r="1867" spans="1:18" s="14" customFormat="1" x14ac:dyDescent="0.25"/>
    <row r="1868" spans="1:18" s="14" customFormat="1" x14ac:dyDescent="0.25"/>
    <row r="1869" spans="1:18" s="14" customFormat="1" x14ac:dyDescent="0.25"/>
    <row r="1870" spans="1:18" s="14" customFormat="1" x14ac:dyDescent="0.25"/>
    <row r="1871" spans="1:18" s="14" customFormat="1" x14ac:dyDescent="0.25"/>
    <row r="1872" spans="1:18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62">
    <sortCondition ref="P3:P186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5716CF0537418EB09F2237B795AE" ma:contentTypeVersion="14" ma:contentTypeDescription="Create a new document." ma:contentTypeScope="" ma:versionID="fc30dbfa86905a0007cf1c14785d16d6">
  <xsd:schema xmlns:xsd="http://www.w3.org/2001/XMLSchema" xmlns:xs="http://www.w3.org/2001/XMLSchema" xmlns:p="http://schemas.microsoft.com/office/2006/metadata/properties" xmlns:ns1="http://schemas.microsoft.com/sharepoint/v3" xmlns:ns3="b2adcb0f-2276-4996-9755-287d782a2636" xmlns:ns4="3d3703b6-88d7-457b-aaad-a0b3cc2afc48" targetNamespace="http://schemas.microsoft.com/office/2006/metadata/properties" ma:root="true" ma:fieldsID="c25f341140b497f1b00759e7505eb67a" ns1:_="" ns3:_="" ns4:_="">
    <xsd:import namespace="http://schemas.microsoft.com/sharepoint/v3"/>
    <xsd:import namespace="b2adcb0f-2276-4996-9755-287d782a2636"/>
    <xsd:import namespace="3d3703b6-88d7-457b-aaad-a0b3cc2afc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dcb0f-2276-4996-9755-287d782a2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703b6-88d7-457b-aaad-a0b3cc2afc4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455E47-9253-4EE9-98DE-9ABE83261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5DE2D1-4D22-4AF9-87F5-C531FCF7B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adcb0f-2276-4996-9755-287d782a2636"/>
    <ds:schemaRef ds:uri="3d3703b6-88d7-457b-aaad-a0b3cc2af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3ECCE3-B9DB-41F7-BD18-3134409BAFC7}">
  <ds:schemaRefs>
    <ds:schemaRef ds:uri="http://schemas.microsoft.com/office/2006/documentManagement/types"/>
    <ds:schemaRef ds:uri="http://purl.org/dc/elements/1.1/"/>
    <ds:schemaRef ds:uri="b2adcb0f-2276-4996-9755-287d782a2636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d3703b6-88d7-457b-aaad-a0b3cc2afc48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Fund</vt:lpstr>
      <vt:lpstr>By Financial Manager</vt:lpstr>
      <vt:lpstr>By Budget Contact</vt:lpstr>
      <vt:lpstr>By Accounting Contact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Carol</dc:creator>
  <cp:keywords/>
  <dc:description/>
  <cp:lastModifiedBy>Shoptaw, Jonathan C</cp:lastModifiedBy>
  <cp:revision/>
  <cp:lastPrinted>2017-12-21T15:18:37Z</cp:lastPrinted>
  <dcterms:created xsi:type="dcterms:W3CDTF">2017-05-16T12:58:23Z</dcterms:created>
  <dcterms:modified xsi:type="dcterms:W3CDTF">2024-06-27T00:41:54Z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32cc9-dea4-49e2-bfe2-7f42b17a9d2b_Enabled">
    <vt:lpwstr>true</vt:lpwstr>
  </property>
  <property fmtid="{D5CDD505-2E9C-101B-9397-08002B2CF9AE}" pid="3" name="MSIP_Label_93932cc9-dea4-49e2-bfe2-7f42b17a9d2b_SetDate">
    <vt:lpwstr>2019-11-14T21:24:40Z</vt:lpwstr>
  </property>
  <property fmtid="{D5CDD505-2E9C-101B-9397-08002B2CF9AE}" pid="4" name="MSIP_Label_93932cc9-dea4-49e2-bfe2-7f42b17a9d2b_Method">
    <vt:lpwstr>Standard</vt:lpwstr>
  </property>
  <property fmtid="{D5CDD505-2E9C-101B-9397-08002B2CF9AE}" pid="5" name="MSIP_Label_93932cc9-dea4-49e2-bfe2-7f42b17a9d2b_Name">
    <vt:lpwstr>USI Internal</vt:lpwstr>
  </property>
  <property fmtid="{D5CDD505-2E9C-101B-9397-08002B2CF9AE}" pid="6" name="MSIP_Label_93932cc9-dea4-49e2-bfe2-7f42b17a9d2b_SiteId">
    <vt:lpwstr>ae1d882c-786b-492c-9095-3d81d0a2f615</vt:lpwstr>
  </property>
  <property fmtid="{D5CDD505-2E9C-101B-9397-08002B2CF9AE}" pid="7" name="MSIP_Label_93932cc9-dea4-49e2-bfe2-7f42b17a9d2b_ActionId">
    <vt:lpwstr>453dd9ca-3aac-4e9f-b4e6-00003e77f1c5</vt:lpwstr>
  </property>
  <property fmtid="{D5CDD505-2E9C-101B-9397-08002B2CF9AE}" pid="8" name="MSIP_Label_93932cc9-dea4-49e2-bfe2-7f42b17a9d2b_ContentBits">
    <vt:lpwstr>0</vt:lpwstr>
  </property>
  <property fmtid="{D5CDD505-2E9C-101B-9397-08002B2CF9AE}" pid="9" name="ContentTypeId">
    <vt:lpwstr>0x010100E1605716CF0537418EB09F2237B795AE</vt:lpwstr>
  </property>
</Properties>
</file>